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F:\2025-1-0917中信信诚-山东\"/>
    </mc:Choice>
  </mc:AlternateContent>
  <xr:revisionPtr revIDLastSave="0" documentId="13_ncr:1_{E1D37D25-B541-451E-8D4F-16258BAA0206}" xr6:coauthVersionLast="47" xr6:coauthVersionMax="47" xr10:uidLastSave="{00000000-0000-0000-0000-000000000000}"/>
  <bookViews>
    <workbookView xWindow="-120" yWindow="-120" windowWidth="38640" windowHeight="21240" tabRatio="899" firstSheet="14"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最终结果" sheetId="82" r:id="rId18"/>
    <sheet name="结果表-1层商业" sheetId="9" r:id="rId19"/>
    <sheet name="成本法" sheetId="68" state="hidden" r:id="rId20"/>
    <sheet name="假设开发法" sheetId="12" state="hidden" r:id="rId21"/>
    <sheet name="收益法" sheetId="15" state="hidden" r:id="rId22"/>
    <sheet name="收益法 (元)-商业" sheetId="67" r:id="rId23"/>
    <sheet name="收益法-酒店模型" sheetId="77" state="hidden" r:id="rId24"/>
    <sheet name="比较法-商业" sheetId="33" r:id="rId25"/>
    <sheet name="市场售价案例" sheetId="87" r:id="rId26"/>
    <sheet name="结果表-办公" sheetId="88" r:id="rId27"/>
    <sheet name="收益法 (元)-办公" sheetId="84" r:id="rId28"/>
    <sheet name="比较法-办公" sheetId="34" r:id="rId29"/>
    <sheet name="结果表-车位" sheetId="89" r:id="rId30"/>
    <sheet name="收益法 (元)-车位" sheetId="85" r:id="rId31"/>
    <sheet name="比较法-车位" sheetId="35" r:id="rId32"/>
    <sheet name="结果表-仓储" sheetId="91" r:id="rId33"/>
    <sheet name="收益法 (元)-仓储" sheetId="86" r:id="rId34"/>
    <sheet name="比较法-仓储" sheetId="36" r:id="rId35"/>
    <sheet name="收益法（汇总）" sheetId="70" r:id="rId36"/>
    <sheet name="比较法-住宅" sheetId="21" r:id="rId37"/>
    <sheet name="比较法-工业" sheetId="37" state="hidden" r:id="rId38"/>
    <sheet name="权属信息" sheetId="83" r:id="rId39"/>
    <sheet name="租金案例" sheetId="80" r:id="rId40"/>
    <sheet name="成本法 (元)-商业" sheetId="69" r:id="rId41"/>
    <sheet name="土地比较法-住宅、综合" sheetId="39" r:id="rId42"/>
    <sheet name="土地案例" sheetId="81" r:id="rId43"/>
    <sheet name="土地比较法-工业" sheetId="40" state="hidden" r:id="rId44"/>
    <sheet name="典型户型修正" sheetId="31" state="hidden" r:id="rId45"/>
    <sheet name="基准地价（汇总）" sheetId="76" state="hidden" r:id="rId46"/>
    <sheet name="基准地价修正" sheetId="4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28" hidden="1">'比较法-办公'!$A$1:$L$50</definedName>
    <definedName name="_xlnm._FilterDatabase" localSheetId="34" hidden="1">'比较法-仓储'!$A$1:$L$37</definedName>
    <definedName name="_xlnm._FilterDatabase" localSheetId="31" hidden="1">'比较法-车位'!$A$1:$L$39</definedName>
    <definedName name="_xlnm._FilterDatabase" localSheetId="37" hidden="1">'比较法-工业'!$A$1:$L$43</definedName>
    <definedName name="_xlnm._FilterDatabase" localSheetId="24"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1" hidden="1">'土地比较法-住宅、综合'!$A$1:$L$48</definedName>
    <definedName name="_xlnm._FilterDatabase" localSheetId="11" hidden="1">项目基本情况!$A$42:$N$42</definedName>
    <definedName name="_xlnm._FilterDatabase" localSheetId="17" hidden="1">最终结果!$A$1:$BF$107</definedName>
    <definedName name="_xlnm.Print_Area" localSheetId="28">'比较法-办公'!$A$1:$K$55,'比较法-办公'!$A$58:$M$132</definedName>
    <definedName name="_xlnm.Print_Area" localSheetId="34">'比较法-仓储'!$A$1:$K$42,'比较法-仓储'!$A$45:$M$96</definedName>
    <definedName name="_xlnm.Print_Area" localSheetId="31">'比较法-车位'!$A$1:$K$44,'比较法-车位'!$A$47:$M$102</definedName>
    <definedName name="_xlnm.Print_Area" localSheetId="37">'比较法-工业'!$A$1:$K$48,'比较法-工业'!$A$51:$M$113</definedName>
    <definedName name="_xlnm.Print_Area" localSheetId="24">'比较法-商业'!$A$1:$K$54,'比较法-商业'!$A$57:$M$131</definedName>
    <definedName name="_xlnm.Print_Area" localSheetId="36">'比较法-住宅'!$A$1:$K$54,'比较法-住宅'!$A$57:$M$131</definedName>
    <definedName name="_xlnm.Print_Area" localSheetId="19">成本法!$A$1:$G$57</definedName>
    <definedName name="_xlnm.Print_Area" localSheetId="40">'成本法 (元)-商业'!$A$1:$G$57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8">'结果表-1层商业'!$A$1:$I$127</definedName>
    <definedName name="_xlnm.Print_Area" localSheetId="26">'结果表-办公'!$A$1:$I$127</definedName>
    <definedName name="_xlnm.Print_Area" localSheetId="32">'结果表-仓储'!$A$1:$I$127</definedName>
    <definedName name="_xlnm.Print_Area" localSheetId="29">'结果表-车位'!$A$1:$I$127</definedName>
    <definedName name="_xlnm.Print_Area" localSheetId="21">收益法!$A$1:$F$43,收益法!$H$3:$M$29,收益法!$A$46:$F$71,收益法!$I$46:$N$65</definedName>
    <definedName name="_xlnm.Print_Area" localSheetId="27">'收益法 (元)-办公'!$A$1:$F$43,'收益法 (元)-办公'!$H$3:$M$29,'收益法 (元)-办公'!$A$45:$F$71,'收益法 (元)-办公'!$I$46:$N$65</definedName>
    <definedName name="_xlnm.Print_Area" localSheetId="33">'收益法 (元)-仓储'!$A$1:$F$43,'收益法 (元)-仓储'!$H$3:$M$29,'收益法 (元)-仓储'!$A$45:$F$71,'收益法 (元)-仓储'!$I$46:$N$65</definedName>
    <definedName name="_xlnm.Print_Area" localSheetId="30">'收益法 (元)-车位'!$A$1:$F$43,'收益法 (元)-车位'!$H$3:$M$29,'收益法 (元)-车位'!$A$45:$F$71,'收益法 (元)-车位'!$I$46:$N$65</definedName>
    <definedName name="_xlnm.Print_Area" localSheetId="22">'收益法 (元)-商业'!$A$1:$F$43,'收益法 (元)-商业'!$H$3:$M$29,'收益法 (元)-商业'!$A$45:$F$71,'收益法 (元)-商业'!$I$46:$N$65</definedName>
    <definedName name="_xlnm.Print_Area" localSheetId="35">'收益法（汇总）'!$A$1:$F$13</definedName>
    <definedName name="_xlnm.Print_Area" localSheetId="13">'数据-汇总表'!$A$1:$P$32</definedName>
    <definedName name="_xlnm.Print_Area" localSheetId="43">'土地比较法-工业'!$A$1:$K$61,'土地比较法-工业'!$A$64:$M$121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B16" i="74"/>
  <c r="B17" i="74"/>
  <c r="B14" i="74"/>
  <c r="S47" i="82"/>
  <c r="S46" i="82"/>
  <c r="S45" i="82"/>
  <c r="S44" i="82"/>
  <c r="S43" i="82"/>
  <c r="R40" i="82"/>
  <c r="Q40" i="82"/>
  <c r="R38" i="82"/>
  <c r="Q38" i="82"/>
  <c r="R27" i="82"/>
  <c r="Q27" i="82"/>
  <c r="V24" i="82"/>
  <c r="U24" i="82"/>
  <c r="T24" i="82"/>
  <c r="S24" i="82"/>
  <c r="R24" i="82"/>
  <c r="Q24" i="82"/>
  <c r="P46" i="36"/>
  <c r="Q46" i="36" s="1"/>
  <c r="R46" i="36" s="1"/>
  <c r="S46" i="36" s="1"/>
  <c r="T46" i="36" s="1"/>
  <c r="U46" i="36" s="1"/>
  <c r="V46" i="36" s="1"/>
  <c r="W46" i="36" s="1"/>
  <c r="X46" i="36" s="1"/>
  <c r="Y46" i="36" s="1"/>
  <c r="Z46" i="36" s="1"/>
  <c r="AA46" i="36" s="1"/>
  <c r="AB46" i="36" s="1"/>
  <c r="AC46" i="36" s="1"/>
  <c r="I7" i="36"/>
  <c r="G7" i="36"/>
  <c r="I5" i="36"/>
  <c r="G5" i="36"/>
  <c r="E5" i="36"/>
  <c r="E7" i="36"/>
  <c r="E35" i="36"/>
  <c r="I35" i="36"/>
  <c r="G35" i="36"/>
  <c r="I37" i="35"/>
  <c r="G37" i="35"/>
  <c r="E37" i="35"/>
  <c r="A126" i="91"/>
  <c r="A124" i="91"/>
  <c r="A122" i="91"/>
  <c r="A120" i="91"/>
  <c r="A118" i="91"/>
  <c r="E111" i="91"/>
  <c r="H112" i="91" s="1"/>
  <c r="H109" i="91"/>
  <c r="D124" i="91" s="1"/>
  <c r="D125" i="91" s="1"/>
  <c r="E109" i="91"/>
  <c r="E107" i="91"/>
  <c r="H106" i="91"/>
  <c r="H105" i="91"/>
  <c r="H104" i="91"/>
  <c r="H103" i="91"/>
  <c r="D120" i="91" s="1"/>
  <c r="D101" i="91"/>
  <c r="C101" i="91"/>
  <c r="D93" i="91"/>
  <c r="C91" i="91"/>
  <c r="E90" i="91"/>
  <c r="D89" i="91"/>
  <c r="C89" i="91" s="1"/>
  <c r="C87" i="91" s="1"/>
  <c r="D78" i="91"/>
  <c r="H77" i="91"/>
  <c r="D77" i="91"/>
  <c r="C77" i="91"/>
  <c r="C76" i="91"/>
  <c r="C74" i="91"/>
  <c r="D68" i="91"/>
  <c r="F59" i="91"/>
  <c r="E59" i="91"/>
  <c r="N55" i="91" s="1"/>
  <c r="N56" i="91"/>
  <c r="M56" i="91"/>
  <c r="K56" i="91"/>
  <c r="J56" i="91"/>
  <c r="F56" i="91"/>
  <c r="O55" i="91"/>
  <c r="K55" i="91"/>
  <c r="J55" i="91"/>
  <c r="J57" i="91" s="1"/>
  <c r="J59" i="91" s="1"/>
  <c r="J61" i="91" s="1"/>
  <c r="I55" i="91"/>
  <c r="F55" i="91"/>
  <c r="O54" i="91"/>
  <c r="N54" i="91"/>
  <c r="F54" i="91"/>
  <c r="O53" i="91"/>
  <c r="N53" i="91"/>
  <c r="F53" i="91"/>
  <c r="F52" i="91"/>
  <c r="M49" i="91"/>
  <c r="L66" i="91" s="1"/>
  <c r="M66" i="91" s="1"/>
  <c r="K49" i="91"/>
  <c r="F48" i="91"/>
  <c r="O52" i="91" s="1"/>
  <c r="E48" i="91"/>
  <c r="N52" i="91" s="1"/>
  <c r="D48" i="91"/>
  <c r="M52" i="91" s="1"/>
  <c r="M47" i="91"/>
  <c r="F33" i="91"/>
  <c r="D27" i="91"/>
  <c r="C25" i="91"/>
  <c r="C24" i="91"/>
  <c r="C18" i="91"/>
  <c r="D18" i="91" s="1"/>
  <c r="D17" i="91"/>
  <c r="C17" i="91"/>
  <c r="D14" i="91"/>
  <c r="L4" i="91"/>
  <c r="K4" i="91"/>
  <c r="A2" i="91"/>
  <c r="H1" i="91"/>
  <c r="A126" i="89"/>
  <c r="A124" i="89"/>
  <c r="A122" i="89"/>
  <c r="A120" i="89"/>
  <c r="A118" i="89"/>
  <c r="E111" i="89"/>
  <c r="H112" i="89" s="1"/>
  <c r="E109" i="89"/>
  <c r="H109" i="89" s="1"/>
  <c r="E107" i="89"/>
  <c r="H106" i="89"/>
  <c r="H105" i="89"/>
  <c r="H104" i="89"/>
  <c r="H103" i="89"/>
  <c r="D120" i="89" s="1"/>
  <c r="D101" i="89"/>
  <c r="C101" i="89"/>
  <c r="D93" i="89"/>
  <c r="C91" i="89"/>
  <c r="E90" i="89"/>
  <c r="D89" i="89"/>
  <c r="C89" i="89" s="1"/>
  <c r="C87" i="89" s="1"/>
  <c r="D78" i="89"/>
  <c r="H77" i="89"/>
  <c r="D77" i="89"/>
  <c r="C77" i="89"/>
  <c r="C76" i="89"/>
  <c r="C74" i="89"/>
  <c r="D68" i="89"/>
  <c r="F59" i="89"/>
  <c r="E59" i="89"/>
  <c r="N55" i="89" s="1"/>
  <c r="N56" i="89"/>
  <c r="M56" i="89"/>
  <c r="K56" i="89"/>
  <c r="J56" i="89"/>
  <c r="F56" i="89"/>
  <c r="O54" i="89" s="1"/>
  <c r="O55" i="89"/>
  <c r="K55" i="89"/>
  <c r="J55" i="89"/>
  <c r="J57" i="89" s="1"/>
  <c r="J59" i="89" s="1"/>
  <c r="J61" i="89" s="1"/>
  <c r="I55" i="89"/>
  <c r="F55" i="89"/>
  <c r="O53" i="89" s="1"/>
  <c r="N54" i="89"/>
  <c r="F54" i="89"/>
  <c r="N53" i="89"/>
  <c r="F53" i="89"/>
  <c r="F52" i="89"/>
  <c r="K49" i="89"/>
  <c r="F48" i="89"/>
  <c r="O52" i="89" s="1"/>
  <c r="E48" i="89"/>
  <c r="N52" i="89" s="1"/>
  <c r="D48" i="89"/>
  <c r="M52" i="89" s="1"/>
  <c r="M47" i="89"/>
  <c r="F33" i="89"/>
  <c r="D27" i="89"/>
  <c r="C25" i="89"/>
  <c r="C24" i="89"/>
  <c r="C17" i="89"/>
  <c r="C18" i="89" s="1"/>
  <c r="D18" i="89" s="1"/>
  <c r="D14" i="89"/>
  <c r="D17" i="89" s="1"/>
  <c r="L4" i="89"/>
  <c r="K4" i="89"/>
  <c r="A2" i="89"/>
  <c r="H1" i="89"/>
  <c r="D35" i="91"/>
  <c r="D34" i="91"/>
  <c r="D35" i="89"/>
  <c r="D34" i="89"/>
  <c r="C92" i="91" l="1"/>
  <c r="C94" i="91"/>
  <c r="D121" i="91"/>
  <c r="K120" i="91"/>
  <c r="L65" i="91"/>
  <c r="M65" i="91" s="1"/>
  <c r="H111" i="91"/>
  <c r="D126" i="91" s="1"/>
  <c r="D127" i="91" s="1"/>
  <c r="L67" i="91"/>
  <c r="M67" i="91" s="1"/>
  <c r="L68" i="91"/>
  <c r="M68" i="91" s="1"/>
  <c r="L63" i="91"/>
  <c r="M63" i="91" s="1"/>
  <c r="M69" i="91" s="1"/>
  <c r="N69" i="91" s="1"/>
  <c r="L64" i="91"/>
  <c r="M64" i="91" s="1"/>
  <c r="H110" i="91"/>
  <c r="D121" i="89"/>
  <c r="K120" i="89"/>
  <c r="D124" i="89"/>
  <c r="D125" i="89" s="1"/>
  <c r="H110" i="89"/>
  <c r="M49" i="89"/>
  <c r="C92" i="89"/>
  <c r="C94" i="89"/>
  <c r="H111" i="89"/>
  <c r="D126" i="89" s="1"/>
  <c r="D127" i="89" s="1"/>
  <c r="I60" i="34"/>
  <c r="I34" i="34"/>
  <c r="G34" i="34"/>
  <c r="E34" i="34"/>
  <c r="C34" i="34"/>
  <c r="G5" i="34"/>
  <c r="E5" i="34"/>
  <c r="P59" i="34"/>
  <c r="Q59" i="34" s="1"/>
  <c r="R59" i="34" s="1"/>
  <c r="S59" i="34" s="1"/>
  <c r="T59" i="34" s="1"/>
  <c r="U59" i="34" s="1"/>
  <c r="V59" i="34" s="1"/>
  <c r="W59" i="34" s="1"/>
  <c r="X59" i="34" s="1"/>
  <c r="Y59" i="34" s="1"/>
  <c r="Z59" i="34" s="1"/>
  <c r="G7" i="34"/>
  <c r="E7" i="34"/>
  <c r="G48" i="34"/>
  <c r="E48" i="34"/>
  <c r="A126" i="88"/>
  <c r="A124" i="88"/>
  <c r="A122" i="88"/>
  <c r="A120" i="88"/>
  <c r="A118" i="88"/>
  <c r="E111" i="88"/>
  <c r="H112" i="88" s="1"/>
  <c r="H109" i="88"/>
  <c r="D124" i="88" s="1"/>
  <c r="D125" i="88" s="1"/>
  <c r="E109" i="88"/>
  <c r="E107" i="88"/>
  <c r="H106" i="88"/>
  <c r="H105" i="88"/>
  <c r="H104" i="88"/>
  <c r="H103" i="88"/>
  <c r="D120" i="88" s="1"/>
  <c r="D101" i="88"/>
  <c r="C101" i="88"/>
  <c r="D93" i="88"/>
  <c r="C91" i="88"/>
  <c r="E90" i="88"/>
  <c r="D89" i="88"/>
  <c r="C89" i="88" s="1"/>
  <c r="C87" i="88" s="1"/>
  <c r="D78" i="88"/>
  <c r="H77" i="88"/>
  <c r="D77" i="88"/>
  <c r="C77" i="88"/>
  <c r="C76" i="88"/>
  <c r="C74" i="88"/>
  <c r="D68" i="88"/>
  <c r="F59" i="88"/>
  <c r="E59" i="88"/>
  <c r="J57" i="88"/>
  <c r="J59" i="88" s="1"/>
  <c r="J61" i="88" s="1"/>
  <c r="N56" i="88"/>
  <c r="M56" i="88"/>
  <c r="K56" i="88"/>
  <c r="J56" i="88"/>
  <c r="F56" i="88"/>
  <c r="O55" i="88"/>
  <c r="N55" i="88"/>
  <c r="K55" i="88"/>
  <c r="J55" i="88"/>
  <c r="I55" i="88"/>
  <c r="F55" i="88"/>
  <c r="O54" i="88"/>
  <c r="N54" i="88"/>
  <c r="F54" i="88"/>
  <c r="O53" i="88"/>
  <c r="N53" i="88"/>
  <c r="F53" i="88"/>
  <c r="F52" i="88"/>
  <c r="M49" i="88"/>
  <c r="L66" i="88" s="1"/>
  <c r="M66" i="88" s="1"/>
  <c r="K49" i="88"/>
  <c r="F48" i="88"/>
  <c r="O52" i="88" s="1"/>
  <c r="E48" i="88"/>
  <c r="N52" i="88" s="1"/>
  <c r="D48" i="88"/>
  <c r="M52" i="88" s="1"/>
  <c r="M47" i="88"/>
  <c r="F33" i="88"/>
  <c r="D27" i="88"/>
  <c r="C25" i="88"/>
  <c r="C24" i="88"/>
  <c r="C17" i="88"/>
  <c r="D14" i="88"/>
  <c r="D17" i="88" s="1"/>
  <c r="L4" i="88"/>
  <c r="K4" i="88"/>
  <c r="A2" i="88"/>
  <c r="H1" i="88"/>
  <c r="D14" i="9"/>
  <c r="E33" i="33"/>
  <c r="I47" i="33"/>
  <c r="G47" i="33"/>
  <c r="E47" i="33"/>
  <c r="I7" i="33"/>
  <c r="G7" i="33"/>
  <c r="E7" i="33"/>
  <c r="F19" i="6"/>
  <c r="C33" i="33" s="1"/>
  <c r="L136" i="80"/>
  <c r="L135" i="80"/>
  <c r="D34" i="88"/>
  <c r="D35" i="88"/>
  <c r="L66" i="89" l="1"/>
  <c r="M66" i="89" s="1"/>
  <c r="L64" i="89"/>
  <c r="M64" i="89" s="1"/>
  <c r="L68" i="89"/>
  <c r="M68" i="89" s="1"/>
  <c r="L67" i="89"/>
  <c r="M67" i="89" s="1"/>
  <c r="L65" i="89"/>
  <c r="M65" i="89" s="1"/>
  <c r="L63" i="89"/>
  <c r="M63" i="89" s="1"/>
  <c r="M69" i="89" s="1"/>
  <c r="N69" i="89" s="1"/>
  <c r="C18" i="88"/>
  <c r="D18" i="88" s="1"/>
  <c r="D121" i="88"/>
  <c r="K120" i="88"/>
  <c r="C92" i="88"/>
  <c r="C94" i="88"/>
  <c r="L63" i="88"/>
  <c r="M63" i="88" s="1"/>
  <c r="M69" i="88" s="1"/>
  <c r="N69" i="88" s="1"/>
  <c r="L65" i="88"/>
  <c r="M65" i="88" s="1"/>
  <c r="H111" i="88"/>
  <c r="D126" i="88" s="1"/>
  <c r="D127" i="88" s="1"/>
  <c r="L67" i="88"/>
  <c r="M67" i="88" s="1"/>
  <c r="L68" i="88"/>
  <c r="M68" i="88" s="1"/>
  <c r="L64" i="88"/>
  <c r="M64" i="88" s="1"/>
  <c r="H110" i="88"/>
  <c r="E117" i="39"/>
  <c r="F117" i="39" s="1"/>
  <c r="G117" i="39" s="1"/>
  <c r="D117" i="39"/>
  <c r="I38" i="39"/>
  <c r="G38" i="39"/>
  <c r="E38" i="39"/>
  <c r="C38" i="39"/>
  <c r="I7" i="39"/>
  <c r="G7" i="39"/>
  <c r="E7" i="39"/>
  <c r="G46" i="39"/>
  <c r="E46" i="39"/>
  <c r="I46" i="39"/>
  <c r="U3" i="81"/>
  <c r="U4" i="81"/>
  <c r="U5" i="81"/>
  <c r="U6" i="81"/>
  <c r="U7" i="81"/>
  <c r="U8" i="81"/>
  <c r="U9" i="81"/>
  <c r="U10" i="81"/>
  <c r="U11" i="81"/>
  <c r="U12" i="81"/>
  <c r="U13" i="81"/>
  <c r="U14" i="81"/>
  <c r="U15" i="81"/>
  <c r="U16" i="81"/>
  <c r="U17" i="81"/>
  <c r="U18" i="81"/>
  <c r="U19" i="81"/>
  <c r="U20" i="81"/>
  <c r="U21" i="81"/>
  <c r="U22" i="81"/>
  <c r="U23" i="81"/>
  <c r="U24" i="81"/>
  <c r="U25" i="81"/>
  <c r="U26" i="81"/>
  <c r="U27" i="81"/>
  <c r="U28" i="81"/>
  <c r="U29" i="81"/>
  <c r="U30" i="81"/>
  <c r="U31" i="81"/>
  <c r="U32" i="81"/>
  <c r="U33" i="81"/>
  <c r="U34" i="81"/>
  <c r="U35" i="81"/>
  <c r="U36" i="81"/>
  <c r="U37" i="81"/>
  <c r="U38" i="81"/>
  <c r="U39" i="81"/>
  <c r="U40" i="81"/>
  <c r="U41" i="81"/>
  <c r="U42" i="81"/>
  <c r="U43" i="81"/>
  <c r="U44" i="81"/>
  <c r="U45" i="81"/>
  <c r="U46" i="81"/>
  <c r="U47" i="81"/>
  <c r="U48" i="81"/>
  <c r="U49" i="81"/>
  <c r="U50" i="81"/>
  <c r="U51" i="81"/>
  <c r="U52" i="81"/>
  <c r="U53" i="81"/>
  <c r="U54" i="81"/>
  <c r="U55" i="81"/>
  <c r="U56" i="81"/>
  <c r="U57" i="81"/>
  <c r="U2" i="81"/>
  <c r="AH8" i="1"/>
  <c r="AM9" i="1"/>
  <c r="AM8" i="1"/>
  <c r="AM7" i="1"/>
  <c r="AL9" i="1"/>
  <c r="AL8" i="1"/>
  <c r="AL7" i="1"/>
  <c r="AK9" i="1"/>
  <c r="AK8" i="1"/>
  <c r="AK7" i="1"/>
  <c r="Q72" i="86"/>
  <c r="Q59" i="86"/>
  <c r="K59" i="86"/>
  <c r="P74" i="86" s="1"/>
  <c r="F59" i="86"/>
  <c r="Q58" i="86"/>
  <c r="Q51" i="86"/>
  <c r="J50" i="86"/>
  <c r="M47" i="86"/>
  <c r="D46" i="86"/>
  <c r="F34" i="86"/>
  <c r="F62" i="86" s="1"/>
  <c r="F33" i="86"/>
  <c r="F61" i="86" s="1"/>
  <c r="F31" i="86"/>
  <c r="F23" i="86"/>
  <c r="D24" i="86" s="1"/>
  <c r="D23" i="86"/>
  <c r="F21" i="86"/>
  <c r="M20" i="86"/>
  <c r="F20" i="86"/>
  <c r="M19" i="86"/>
  <c r="F18" i="86"/>
  <c r="M17" i="86"/>
  <c r="F17" i="86"/>
  <c r="F15" i="86"/>
  <c r="Q72" i="85"/>
  <c r="Q59" i="85"/>
  <c r="K59" i="85"/>
  <c r="P74" i="85" s="1"/>
  <c r="F59" i="85"/>
  <c r="Q58" i="85"/>
  <c r="Q51" i="85"/>
  <c r="J50" i="85"/>
  <c r="M47" i="85"/>
  <c r="D46" i="85"/>
  <c r="F34" i="85"/>
  <c r="F62" i="85" s="1"/>
  <c r="F33" i="85"/>
  <c r="F61" i="85" s="1"/>
  <c r="F31" i="85"/>
  <c r="F23" i="85"/>
  <c r="D24" i="85" s="1"/>
  <c r="D23" i="85"/>
  <c r="F21" i="85"/>
  <c r="M20" i="85"/>
  <c r="F20" i="85"/>
  <c r="M19" i="85"/>
  <c r="F18" i="85"/>
  <c r="M17" i="85"/>
  <c r="F17" i="85"/>
  <c r="F15" i="85"/>
  <c r="Y7" i="1"/>
  <c r="Y8" i="1"/>
  <c r="Y9" i="1"/>
  <c r="Y6" i="1"/>
  <c r="N9" i="1"/>
  <c r="N8" i="1"/>
  <c r="N7" i="1"/>
  <c r="N21" i="1"/>
  <c r="X4" i="82"/>
  <c r="X3" i="82"/>
  <c r="J9" i="1"/>
  <c r="J8" i="1"/>
  <c r="I8" i="1"/>
  <c r="I9" i="1" s="1"/>
  <c r="H8" i="1"/>
  <c r="H9" i="1" s="1"/>
  <c r="J7" i="1"/>
  <c r="I7" i="1"/>
  <c r="H7" i="1"/>
  <c r="K13" i="3"/>
  <c r="I13" i="3"/>
  <c r="F23" i="6" s="1"/>
  <c r="U7" i="82"/>
  <c r="S7" i="82"/>
  <c r="T7" i="82"/>
  <c r="U3" i="82"/>
  <c r="V3" i="82"/>
  <c r="W3" i="82"/>
  <c r="T3" i="82"/>
  <c r="D22" i="85" l="1"/>
  <c r="D22" i="86"/>
  <c r="P61" i="86"/>
  <c r="J51" i="86"/>
  <c r="P61" i="85"/>
  <c r="J51" i="85"/>
  <c r="B3" i="4"/>
  <c r="Q72" i="84"/>
  <c r="Q59" i="84"/>
  <c r="K59" i="84"/>
  <c r="P74" i="84" s="1"/>
  <c r="Q58" i="84"/>
  <c r="Q51" i="84"/>
  <c r="J50" i="84"/>
  <c r="M47" i="84"/>
  <c r="D46" i="84"/>
  <c r="F34" i="84"/>
  <c r="F62" i="84" s="1"/>
  <c r="F33" i="84"/>
  <c r="F61" i="84" s="1"/>
  <c r="F23" i="84"/>
  <c r="D24" i="84" s="1"/>
  <c r="D23" i="84"/>
  <c r="F21" i="84"/>
  <c r="M20" i="84"/>
  <c r="F20" i="84"/>
  <c r="M19" i="84"/>
  <c r="F18" i="84"/>
  <c r="F17" i="84"/>
  <c r="F15" i="84"/>
  <c r="O63" i="83"/>
  <c r="O62" i="83"/>
  <c r="G62" i="83"/>
  <c r="W61" i="83"/>
  <c r="O61" i="83"/>
  <c r="G61" i="83"/>
  <c r="W60" i="83"/>
  <c r="O60" i="83"/>
  <c r="G60" i="83"/>
  <c r="F51" i="83"/>
  <c r="S14" i="82"/>
  <c r="R14" i="82"/>
  <c r="S13" i="82"/>
  <c r="R13" i="82"/>
  <c r="S12" i="82"/>
  <c r="O13" i="3" s="1"/>
  <c r="G22" i="6" s="1"/>
  <c r="R12" i="82"/>
  <c r="S9" i="82"/>
  <c r="R9" i="82"/>
  <c r="S8" i="82"/>
  <c r="F20" i="6" s="1"/>
  <c r="R8" i="82"/>
  <c r="R7" i="82"/>
  <c r="S4" i="82"/>
  <c r="R4" i="82"/>
  <c r="S3" i="82"/>
  <c r="R3" i="82"/>
  <c r="D22" i="84" l="1"/>
  <c r="R17" i="82"/>
  <c r="T17" i="82" s="1"/>
  <c r="R15" i="82"/>
  <c r="T15" i="82" s="1"/>
  <c r="M13" i="3"/>
  <c r="G21" i="6" s="1"/>
  <c r="R16" i="82"/>
  <c r="T16" i="82" s="1"/>
  <c r="P61" i="84"/>
  <c r="J51" i="84"/>
  <c r="T18" i="82" l="1"/>
  <c r="V19" i="82" s="1"/>
  <c r="F31" i="84"/>
  <c r="E27" i="45"/>
  <c r="M17" i="84" l="1"/>
  <c r="F59" i="8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6" i="79"/>
  <c r="AD34" i="79"/>
  <c r="AD38" i="79"/>
  <c r="AD37"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F27" i="71"/>
  <c r="F26"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L493" i="3" s="1"/>
  <c r="BP493" i="3"/>
  <c r="BR493" i="3"/>
  <c r="BS493" i="3"/>
  <c r="BT493" i="3"/>
  <c r="BT5" i="3" s="1"/>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D5" i="3" s="1"/>
  <c r="BE496" i="3"/>
  <c r="BF496" i="3"/>
  <c r="BG496" i="3"/>
  <c r="BH496" i="3"/>
  <c r="BH5" i="3" s="1"/>
  <c r="BI496" i="3"/>
  <c r="BJ496" i="3"/>
  <c r="BK496" i="3"/>
  <c r="BM496" i="3"/>
  <c r="BM5"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AZ510" i="3" s="1"/>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F14" i="39" s="1"/>
  <c r="S14" i="39" s="1"/>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J25" i="35" s="1"/>
  <c r="B75" i="35"/>
  <c r="J24" i="35" s="1"/>
  <c r="AC24" i="35" s="1"/>
  <c r="B73" i="35"/>
  <c r="J23" i="35" s="1"/>
  <c r="AC23" i="35" s="1"/>
  <c r="H23" i="35"/>
  <c r="U23" i="35" s="1"/>
  <c r="B57" i="35"/>
  <c r="F11" i="35" s="1"/>
  <c r="S11" i="35" s="1"/>
  <c r="B61" i="35"/>
  <c r="B59" i="35"/>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AC9" i="35" s="1"/>
  <c r="P39" i="35"/>
  <c r="P38" i="35"/>
  <c r="V37" i="35"/>
  <c r="T37" i="35"/>
  <c r="R37" i="35"/>
  <c r="P37" i="35"/>
  <c r="Q36" i="35"/>
  <c r="Z36" i="35" s="1"/>
  <c r="J36" i="35"/>
  <c r="AC36" i="35" s="1"/>
  <c r="Q35" i="35"/>
  <c r="Z35" i="35"/>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B94" i="21"/>
  <c r="J29" i="21" s="1"/>
  <c r="AC29" i="21" s="1"/>
  <c r="B92" i="21"/>
  <c r="J28" i="21" s="1"/>
  <c r="W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c r="F36" i="39"/>
  <c r="S36" i="39" s="1"/>
  <c r="H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F36" i="34"/>
  <c r="J35" i="34"/>
  <c r="U34" i="34"/>
  <c r="H39" i="33"/>
  <c r="AB39" i="33"/>
  <c r="F26" i="33"/>
  <c r="AA26" i="33"/>
  <c r="U35" i="33"/>
  <c r="S40" i="33"/>
  <c r="W39" i="33"/>
  <c r="H39" i="37"/>
  <c r="AB39" i="37" s="1"/>
  <c r="S27" i="35"/>
  <c r="F11" i="40"/>
  <c r="AA11" i="40"/>
  <c r="H11" i="40"/>
  <c r="AB11" i="40"/>
  <c r="W8" i="40"/>
  <c r="AB39" i="40"/>
  <c r="U9" i="40"/>
  <c r="S34" i="40"/>
  <c r="U38"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AB11" i="39" s="1"/>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W8" i="34"/>
  <c r="J28" i="34"/>
  <c r="F41" i="33"/>
  <c r="AA41" i="33" s="1"/>
  <c r="S38"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H30" i="21"/>
  <c r="AB30" i="21" s="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H27" i="21"/>
  <c r="AB27" i="2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J14" i="33"/>
  <c r="H30" i="33"/>
  <c r="AB30" i="33" s="1"/>
  <c r="F30" i="33"/>
  <c r="J30" i="33"/>
  <c r="H44" i="33"/>
  <c r="U44" i="33" s="1"/>
  <c r="J44" i="33"/>
  <c r="AC44" i="33"/>
  <c r="F44" i="33"/>
  <c r="S44" i="33" s="1"/>
  <c r="J46" i="33"/>
  <c r="AC46" i="33" s="1"/>
  <c r="F46" i="33"/>
  <c r="AA46" i="33" s="1"/>
  <c r="H46" i="33"/>
  <c r="AB46" i="33"/>
  <c r="H13" i="34"/>
  <c r="U13" i="34" s="1"/>
  <c r="J13" i="34"/>
  <c r="W13" i="34" s="1"/>
  <c r="F13" i="34"/>
  <c r="AA13" i="34" s="1"/>
  <c r="J29" i="34"/>
  <c r="W29" i="34" s="1"/>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c r="H13" i="35"/>
  <c r="U13" i="35" s="1"/>
  <c r="W25" i="35"/>
  <c r="F25" i="35"/>
  <c r="S25" i="35" s="1"/>
  <c r="H25" i="35"/>
  <c r="AB25" i="35" s="1"/>
  <c r="J35" i="35"/>
  <c r="AC35" i="35" s="1"/>
  <c r="F35" i="35"/>
  <c r="AA35" i="35" s="1"/>
  <c r="H35" i="35"/>
  <c r="J25" i="36"/>
  <c r="W25" i="36"/>
  <c r="F25" i="36"/>
  <c r="S25" i="36" s="1"/>
  <c r="H25" i="36"/>
  <c r="AB25" i="36"/>
  <c r="H13" i="37"/>
  <c r="AB13" i="37" s="1"/>
  <c r="F28" i="37"/>
  <c r="AA28" i="37" s="1"/>
  <c r="J28" i="37"/>
  <c r="AC28" i="37" s="1"/>
  <c r="H28" i="37"/>
  <c r="H38" i="37"/>
  <c r="AB38" i="37"/>
  <c r="F38" i="37"/>
  <c r="S38" i="37" s="1"/>
  <c r="F43" i="39"/>
  <c r="AA43" i="39" s="1"/>
  <c r="H43" i="39"/>
  <c r="J14" i="39"/>
  <c r="AC14" i="39" s="1"/>
  <c r="F12" i="40"/>
  <c r="S12" i="40"/>
  <c r="H12" i="40"/>
  <c r="AB12" i="40" s="1"/>
  <c r="H30" i="40"/>
  <c r="AB30" i="40"/>
  <c r="F33" i="40"/>
  <c r="AA33" i="40" s="1"/>
  <c r="H33" i="40"/>
  <c r="U33" i="40"/>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S11" i="36"/>
  <c r="AB46" i="34"/>
  <c r="S45" i="33"/>
  <c r="AB45" i="33"/>
  <c r="BA586" i="3"/>
  <c r="F17" i="21"/>
  <c r="AA17" i="21" s="1"/>
  <c r="H17" i="21"/>
  <c r="AB17" i="21" s="1"/>
  <c r="F15" i="21"/>
  <c r="S15" i="21" s="1"/>
  <c r="J41" i="39"/>
  <c r="W41" i="39" s="1"/>
  <c r="W44" i="39"/>
  <c r="S35" i="39"/>
  <c r="G544" i="3"/>
  <c r="G536" i="3"/>
  <c r="G532" i="3"/>
  <c r="G531" i="3"/>
  <c r="G528" i="3"/>
  <c r="G523" i="3"/>
  <c r="G514" i="3"/>
  <c r="G508" i="3"/>
  <c r="G500" i="3"/>
  <c r="G584" i="3"/>
  <c r="G580" i="3"/>
  <c r="G576" i="3"/>
  <c r="G572" i="3"/>
  <c r="G568" i="3"/>
  <c r="G564" i="3"/>
  <c r="G554" i="3"/>
  <c r="BL584" i="3"/>
  <c r="AZ584" i="3" s="1"/>
  <c r="BL580" i="3"/>
  <c r="BL576" i="3"/>
  <c r="BL572" i="3"/>
  <c r="BL568" i="3"/>
  <c r="BL538" i="3"/>
  <c r="BL516" i="3"/>
  <c r="BL494" i="3"/>
  <c r="BL582" i="3"/>
  <c r="BL578" i="3"/>
  <c r="BL574" i="3"/>
  <c r="BL570" i="3"/>
  <c r="BL540" i="3"/>
  <c r="G529" i="3"/>
  <c r="BL528" i="3"/>
  <c r="BL510" i="3"/>
  <c r="G493" i="3"/>
  <c r="BA584" i="3"/>
  <c r="BA582" i="3"/>
  <c r="AZ582" i="3" s="1"/>
  <c r="BA580" i="3"/>
  <c r="AZ580" i="3" s="1"/>
  <c r="BA578" i="3"/>
  <c r="BA576" i="3"/>
  <c r="BA574" i="3"/>
  <c r="BA572" i="3"/>
  <c r="BA570" i="3"/>
  <c r="BA566" i="3"/>
  <c r="BA552" i="3"/>
  <c r="BA542" i="3"/>
  <c r="BA536" i="3"/>
  <c r="BA520" i="3"/>
  <c r="BA504" i="3"/>
  <c r="BA496" i="3"/>
  <c r="BA583" i="3"/>
  <c r="BA581" i="3"/>
  <c r="BA579" i="3"/>
  <c r="BA577" i="3"/>
  <c r="BA575" i="3"/>
  <c r="AZ575" i="3" s="1"/>
  <c r="BA573" i="3"/>
  <c r="BA571" i="3"/>
  <c r="BA567" i="3"/>
  <c r="BA563" i="3"/>
  <c r="BA547" i="3"/>
  <c r="BA537" i="3"/>
  <c r="BA527" i="3"/>
  <c r="BA513" i="3"/>
  <c r="BA501"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c r="BQ573" i="3"/>
  <c r="BL573" i="3" s="1"/>
  <c r="BQ571" i="3"/>
  <c r="BL571" i="3" s="1"/>
  <c r="BQ569" i="3"/>
  <c r="BL569" i="3" s="1"/>
  <c r="BQ567" i="3"/>
  <c r="BL567" i="3"/>
  <c r="BQ565" i="3"/>
  <c r="BQ563" i="3"/>
  <c r="BL563" i="3"/>
  <c r="BQ561" i="3"/>
  <c r="BQ559" i="3"/>
  <c r="G555" i="3"/>
  <c r="G547" i="3"/>
  <c r="G545" i="3"/>
  <c r="G539" i="3"/>
  <c r="G537" i="3"/>
  <c r="BQ555" i="3"/>
  <c r="BQ553" i="3"/>
  <c r="BQ551" i="3"/>
  <c r="BQ549" i="3"/>
  <c r="BQ547" i="3"/>
  <c r="BL547" i="3" s="1"/>
  <c r="AZ547" i="3" s="1"/>
  <c r="BQ545" i="3"/>
  <c r="BQ543" i="3"/>
  <c r="BQ541" i="3"/>
  <c r="BQ539" i="3"/>
  <c r="BQ537" i="3"/>
  <c r="BQ535" i="3"/>
  <c r="BQ533" i="3"/>
  <c r="BQ531" i="3"/>
  <c r="BQ529" i="3"/>
  <c r="BQ527" i="3"/>
  <c r="BQ525" i="3"/>
  <c r="BQ523" i="3"/>
  <c r="AC521" i="3"/>
  <c r="G521" i="3"/>
  <c r="BQ521" i="3"/>
  <c r="G519" i="3"/>
  <c r="G517" i="3"/>
  <c r="G515" i="3"/>
  <c r="G511" i="3"/>
  <c r="BQ519" i="3"/>
  <c r="BQ517" i="3"/>
  <c r="BQ515" i="3"/>
  <c r="BL515" i="3" s="1"/>
  <c r="BQ513" i="3"/>
  <c r="BQ511" i="3"/>
  <c r="BA509" i="3"/>
  <c r="AC509" i="3"/>
  <c r="BQ509" i="3"/>
  <c r="BL508"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S24" i="35" s="1"/>
  <c r="H24" i="35"/>
  <c r="AB24" i="35" s="1"/>
  <c r="H23" i="37"/>
  <c r="AB23" i="37"/>
  <c r="J32" i="37"/>
  <c r="AC32" i="37" s="1"/>
  <c r="F36" i="37"/>
  <c r="AA36" i="37"/>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U19"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AZ171" i="3" s="1"/>
  <c r="BL172" i="3"/>
  <c r="G173" i="3"/>
  <c r="BA175" i="3"/>
  <c r="AZ175" i="3" s="1"/>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79" i="3"/>
  <c r="AZ176" i="3"/>
  <c r="AZ120" i="3"/>
  <c r="G530" i="3"/>
  <c r="G522" i="3"/>
  <c r="G516" i="3"/>
  <c r="G506"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62"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AZ283" i="3"/>
  <c r="BO5" i="3"/>
  <c r="BJ5" i="3"/>
  <c r="BF5" i="3"/>
  <c r="AZ325" i="3"/>
  <c r="AC5" i="3"/>
  <c r="G538" i="3"/>
  <c r="G502" i="3"/>
  <c r="BP5" i="3"/>
  <c r="BK5" i="3"/>
  <c r="BG5" i="3"/>
  <c r="G17" i="3"/>
  <c r="BA17" i="3"/>
  <c r="BA15" i="3"/>
  <c r="AZ15" i="3" s="1"/>
  <c r="AZ380" i="3"/>
  <c r="G509" i="3"/>
  <c r="U36" i="40"/>
  <c r="F83" i="43"/>
  <c r="H85" i="43" s="1"/>
  <c r="F50" i="43"/>
  <c r="H54" i="43" s="1"/>
  <c r="F72" i="43"/>
  <c r="H75" i="43" s="1"/>
  <c r="U17" i="39"/>
  <c r="S14" i="35"/>
  <c r="U43" i="21"/>
  <c r="U35" i="21"/>
  <c r="AC35" i="21"/>
  <c r="AZ563" i="3"/>
  <c r="W37" i="37"/>
  <c r="W44" i="34"/>
  <c r="AC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4" i="36"/>
  <c r="J27" i="36"/>
  <c r="W27" i="36" s="1"/>
  <c r="AC33" i="40"/>
  <c r="F111" i="40"/>
  <c r="G111" i="40" s="1"/>
  <c r="H111" i="40" s="1"/>
  <c r="I111" i="40" s="1"/>
  <c r="J111" i="40" s="1"/>
  <c r="K111" i="40" s="1"/>
  <c r="L111" i="40" s="1"/>
  <c r="M111" i="40" s="1"/>
  <c r="H35" i="40"/>
  <c r="AB35" i="40" s="1"/>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27" i="3"/>
  <c r="AZ235" i="3"/>
  <c r="AZ251" i="3"/>
  <c r="AZ271" i="3"/>
  <c r="AZ280" i="3"/>
  <c r="AZ74"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AC26" i="33"/>
  <c r="W26" i="33"/>
  <c r="AC27" i="34"/>
  <c r="AB34" i="36"/>
  <c r="U34" i="36"/>
  <c r="AB33" i="36"/>
  <c r="U33" i="36"/>
  <c r="AC12" i="39"/>
  <c r="W12" i="39"/>
  <c r="AC39" i="40"/>
  <c r="W39" i="40"/>
  <c r="AZ412" i="3"/>
  <c r="AZ433" i="3"/>
  <c r="W12" i="33"/>
  <c r="AC12" i="33"/>
  <c r="AA32" i="36"/>
  <c r="S32" i="36"/>
  <c r="AZ437" i="3"/>
  <c r="BL14" i="3"/>
  <c r="U30" i="33"/>
  <c r="AC13" i="34"/>
  <c r="AA47" i="34"/>
  <c r="S19" i="39"/>
  <c r="F12" i="33"/>
  <c r="H12" i="39"/>
  <c r="AB12" i="39" s="1"/>
  <c r="F39" i="40"/>
  <c r="S39" i="40" s="1"/>
  <c r="AZ286" i="3"/>
  <c r="AZ189" i="3"/>
  <c r="B12" i="1"/>
  <c r="E12" i="1" s="1"/>
  <c r="B10" i="1"/>
  <c r="E10" i="1" s="1"/>
  <c r="K12" i="1"/>
  <c r="M12" i="1" s="1"/>
  <c r="S13" i="1"/>
  <c r="AR13" i="1" s="1"/>
  <c r="R13" i="1"/>
  <c r="J51" i="67"/>
  <c r="C42" i="1"/>
  <c r="AA34" i="33"/>
  <c r="B41" i="1"/>
  <c r="F30" i="11" s="1"/>
  <c r="C48" i="11"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W9" i="35"/>
  <c r="W13" i="35"/>
  <c r="H9" i="35"/>
  <c r="U9" i="35" s="1"/>
  <c r="AB40"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B14" i="33"/>
  <c r="W43" i="21"/>
  <c r="W36" i="21"/>
  <c r="W41" i="21"/>
  <c r="AB39" i="21"/>
  <c r="AA43" i="21"/>
  <c r="S39" i="21"/>
  <c r="AA38" i="21"/>
  <c r="AA36" i="21"/>
  <c r="AC40" i="21"/>
  <c r="J15" i="21"/>
  <c r="F77" i="21"/>
  <c r="G77" i="21" s="1"/>
  <c r="F23" i="21"/>
  <c r="E85" i="21"/>
  <c r="AA14" i="21"/>
  <c r="D120" i="9"/>
  <c r="F34" i="67"/>
  <c r="F62" i="67" s="1"/>
  <c r="M20" i="67"/>
  <c r="F34" i="15"/>
  <c r="F62" i="15" s="1"/>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S36"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W17" i="39"/>
  <c r="AC17" i="39"/>
  <c r="W31" i="39"/>
  <c r="AC31" i="39"/>
  <c r="S23" i="39"/>
  <c r="AA45" i="39"/>
  <c r="AB39" i="39"/>
  <c r="W34" i="39"/>
  <c r="S8" i="39"/>
  <c r="S20" i="36"/>
  <c r="AC25" i="36"/>
  <c r="U32" i="36"/>
  <c r="W29" i="36"/>
  <c r="U25" i="36"/>
  <c r="AB28" i="36"/>
  <c r="AA13" i="36"/>
  <c r="W22" i="36"/>
  <c r="W23" i="36"/>
  <c r="AB20" i="35"/>
  <c r="AC25" i="35"/>
  <c r="U25" i="35"/>
  <c r="U24"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25" i="21"/>
  <c r="W31" i="21"/>
  <c r="S2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AB15" i="21"/>
  <c r="J23" i="21"/>
  <c r="F85" i="21"/>
  <c r="G85" i="21" s="1"/>
  <c r="H23" i="21"/>
  <c r="S13" i="21"/>
  <c r="AP7" i="1"/>
  <c r="AB45" i="21"/>
  <c r="AA32" i="21"/>
  <c r="S32" i="21"/>
  <c r="W9" i="21"/>
  <c r="AC9" i="21"/>
  <c r="AB32" i="21"/>
  <c r="U32" i="21"/>
  <c r="A18" i="62"/>
  <c r="B64" i="72" s="1"/>
  <c r="U32" i="39"/>
  <c r="W23" i="37"/>
  <c r="J63" i="37"/>
  <c r="K63" i="37" s="1"/>
  <c r="L63" i="37" s="1"/>
  <c r="M63" i="37" s="1"/>
  <c r="J11" i="37"/>
  <c r="AC11" i="37" s="1"/>
  <c r="J11" i="34"/>
  <c r="W11" i="34" s="1"/>
  <c r="W27"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 i="73"/>
  <c r="F6" i="73"/>
  <c r="E10" i="76"/>
  <c r="F7" i="73"/>
  <c r="J15" i="15"/>
  <c r="F8" i="15"/>
  <c r="E8" i="76"/>
  <c r="E2" i="68"/>
  <c r="E11" i="76"/>
  <c r="E13" i="76"/>
  <c r="E9" i="76"/>
  <c r="B9" i="76"/>
  <c r="M24" i="15"/>
  <c r="M6" i="15"/>
  <c r="F20" i="31"/>
  <c r="F5" i="73"/>
  <c r="B7" i="76"/>
  <c r="B8" i="76"/>
  <c r="E12" i="76"/>
  <c r="B12" i="76"/>
  <c r="B11" i="76"/>
  <c r="AO13" i="1"/>
  <c r="B10" i="76"/>
  <c r="D35" i="9"/>
  <c r="E7" i="76"/>
  <c r="E2" i="69"/>
  <c r="B13" i="76"/>
  <c r="F4" i="73"/>
  <c r="D34" i="9"/>
  <c r="F13" i="15"/>
  <c r="D6" i="73"/>
  <c r="BC5" i="3" l="1"/>
  <c r="D3" i="35"/>
  <c r="S31" i="35"/>
  <c r="U31" i="35"/>
  <c r="U33" i="33"/>
  <c r="W33" i="33"/>
  <c r="U11" i="33"/>
  <c r="S11" i="33"/>
  <c r="AC11" i="33"/>
  <c r="G1" i="84"/>
  <c r="G1" i="86"/>
  <c r="G1" i="85"/>
  <c r="U38" i="39"/>
  <c r="S38" i="39"/>
  <c r="U11" i="39"/>
  <c r="M18" i="15"/>
  <c r="M18" i="67"/>
  <c r="F48" i="9"/>
  <c r="O52" i="9" s="1"/>
  <c r="F28" i="86"/>
  <c r="C28" i="86" s="1"/>
  <c r="M18" i="86"/>
  <c r="F32" i="85"/>
  <c r="F32" i="86"/>
  <c r="F28" i="85"/>
  <c r="C28" i="85" s="1"/>
  <c r="M18" i="85"/>
  <c r="F28" i="84"/>
  <c r="F32" i="84"/>
  <c r="F60" i="84" s="1"/>
  <c r="M18" i="84"/>
  <c r="F32" i="15"/>
  <c r="F60" i="15" s="1"/>
  <c r="F52" i="9"/>
  <c r="F30" i="68"/>
  <c r="F48" i="68" s="1"/>
  <c r="F54" i="9"/>
  <c r="F30" i="69"/>
  <c r="F48" i="69" s="1"/>
  <c r="F31" i="12"/>
  <c r="D68" i="9"/>
  <c r="F28" i="15"/>
  <c r="F32" i="67"/>
  <c r="F60" i="67" s="1"/>
  <c r="F28" i="67"/>
  <c r="C28" i="67" s="1"/>
  <c r="C40" i="68"/>
  <c r="F34" i="68"/>
  <c r="C36" i="68" s="1"/>
  <c r="BA14" i="3"/>
  <c r="AZ14" i="3" s="1"/>
  <c r="G14" i="3"/>
  <c r="BB5" i="3"/>
  <c r="BA13" i="3"/>
  <c r="K1" i="12"/>
  <c r="G1" i="67"/>
  <c r="G1" i="68"/>
  <c r="G1" i="69"/>
  <c r="AP6" i="1"/>
  <c r="C24" i="12"/>
  <c r="C28" i="84"/>
  <c r="U36" i="33"/>
  <c r="AB36" i="33"/>
  <c r="W15" i="21"/>
  <c r="AC15" i="21"/>
  <c r="S19" i="33"/>
  <c r="AA19" i="33"/>
  <c r="AC33" i="34"/>
  <c r="W33" i="34"/>
  <c r="S30" i="40"/>
  <c r="AA30" i="40"/>
  <c r="AZ536" i="3"/>
  <c r="S39" i="39"/>
  <c r="AA39" i="39"/>
  <c r="S40" i="34"/>
  <c r="AA40" i="34"/>
  <c r="AZ509" i="3"/>
  <c r="W17" i="21"/>
  <c r="S23" i="21"/>
  <c r="AA23" i="21"/>
  <c r="AA36" i="33"/>
  <c r="S36" i="33"/>
  <c r="S23" i="37"/>
  <c r="AA23" i="37"/>
  <c r="AB27" i="40"/>
  <c r="AB32" i="37"/>
  <c r="U32" i="37"/>
  <c r="W20" i="36"/>
  <c r="AC20" i="36"/>
  <c r="AZ556" i="3"/>
  <c r="AZ554" i="3"/>
  <c r="AZ546" i="3"/>
  <c r="AZ529" i="3"/>
  <c r="AZ518" i="3"/>
  <c r="AZ512" i="3"/>
  <c r="AZ498" i="3"/>
  <c r="F29" i="6"/>
  <c r="AZ493" i="3"/>
  <c r="AB19" i="33"/>
  <c r="AC32" i="39"/>
  <c r="W25" i="33"/>
  <c r="AB9" i="21"/>
  <c r="S37" i="21"/>
  <c r="U23" i="33"/>
  <c r="D121" i="9"/>
  <c r="D7" i="52" s="1"/>
  <c r="D6" i="52"/>
  <c r="AA27" i="40"/>
  <c r="AC27" i="40"/>
  <c r="W27" i="40"/>
  <c r="AZ501" i="3"/>
  <c r="AZ520" i="3"/>
  <c r="AC31" i="33"/>
  <c r="H27" i="34"/>
  <c r="BL523" i="3"/>
  <c r="AZ523" i="3" s="1"/>
  <c r="AZ572" i="3"/>
  <c r="BL496" i="3"/>
  <c r="AZ496" i="3" s="1"/>
  <c r="H14" i="39"/>
  <c r="J13" i="37"/>
  <c r="J13" i="21"/>
  <c r="AA44" i="34"/>
  <c r="AA29" i="35"/>
  <c r="S9" i="40"/>
  <c r="AA9" i="40"/>
  <c r="S35" i="35"/>
  <c r="W37" i="40"/>
  <c r="AC15" i="37"/>
  <c r="AC34" i="33"/>
  <c r="W28" i="37"/>
  <c r="AC17" i="34"/>
  <c r="AC11" i="39"/>
  <c r="BE5" i="3"/>
  <c r="BN5" i="3"/>
  <c r="G29" i="6" s="1"/>
  <c r="E29" i="6" s="1"/>
  <c r="K15" i="1" s="1"/>
  <c r="AZ391" i="3"/>
  <c r="AZ318" i="3"/>
  <c r="AZ364" i="3"/>
  <c r="AZ329" i="3"/>
  <c r="AZ304" i="3"/>
  <c r="AZ306" i="3"/>
  <c r="W8" i="39"/>
  <c r="AA15" i="37"/>
  <c r="W16" i="35"/>
  <c r="AA24" i="35"/>
  <c r="S21" i="40"/>
  <c r="BL535" i="3"/>
  <c r="AZ535" i="3" s="1"/>
  <c r="BL565" i="3"/>
  <c r="AZ565" i="3" s="1"/>
  <c r="AZ571" i="3"/>
  <c r="AZ579" i="3"/>
  <c r="AZ574" i="3"/>
  <c r="S14" i="34"/>
  <c r="AA14" i="34"/>
  <c r="F28" i="21"/>
  <c r="W28" i="34"/>
  <c r="AC28" i="34"/>
  <c r="S35" i="34"/>
  <c r="AA35" i="34"/>
  <c r="J12" i="34"/>
  <c r="H12" i="34"/>
  <c r="F12" i="34"/>
  <c r="S12" i="34" s="1"/>
  <c r="AZ513" i="3"/>
  <c r="AZ537" i="3"/>
  <c r="AZ552" i="3"/>
  <c r="AZ566" i="3"/>
  <c r="AZ540" i="3"/>
  <c r="U17" i="34"/>
  <c r="AB17" i="34"/>
  <c r="AB36" i="39"/>
  <c r="U36" i="39"/>
  <c r="BL585" i="3"/>
  <c r="AZ585" i="3" s="1"/>
  <c r="AB34" i="35"/>
  <c r="U34" i="35"/>
  <c r="AA44" i="39"/>
  <c r="S44" i="39"/>
  <c r="AC31" i="40"/>
  <c r="W31" i="40"/>
  <c r="AB41" i="21"/>
  <c r="U41" i="21"/>
  <c r="BL564" i="3"/>
  <c r="AZ564" i="3" s="1"/>
  <c r="BA561" i="3"/>
  <c r="AZ561" i="3" s="1"/>
  <c r="BA560" i="3"/>
  <c r="AZ560" i="3" s="1"/>
  <c r="BL558" i="3"/>
  <c r="AZ558" i="3" s="1"/>
  <c r="BA549" i="3"/>
  <c r="AZ549" i="3" s="1"/>
  <c r="BL544" i="3"/>
  <c r="AZ544" i="3" s="1"/>
  <c r="BL542" i="3"/>
  <c r="AZ542" i="3" s="1"/>
  <c r="BA541" i="3"/>
  <c r="AZ541" i="3" s="1"/>
  <c r="BA538" i="3"/>
  <c r="AZ538" i="3" s="1"/>
  <c r="BL537" i="3"/>
  <c r="BA534" i="3"/>
  <c r="AZ534" i="3" s="1"/>
  <c r="BA533" i="3"/>
  <c r="AZ533" i="3" s="1"/>
  <c r="BL532" i="3"/>
  <c r="AZ532" i="3" s="1"/>
  <c r="BA530" i="3"/>
  <c r="AZ530" i="3" s="1"/>
  <c r="BL526" i="3"/>
  <c r="AZ526" i="3" s="1"/>
  <c r="BA525" i="3"/>
  <c r="AZ525" i="3" s="1"/>
  <c r="BL524" i="3"/>
  <c r="AZ524" i="3" s="1"/>
  <c r="BA522" i="3"/>
  <c r="AZ522" i="3" s="1"/>
  <c r="BL521" i="3"/>
  <c r="AZ521" i="3" s="1"/>
  <c r="BA521" i="3"/>
  <c r="BA515" i="3"/>
  <c r="AZ515" i="3" s="1"/>
  <c r="BA514" i="3"/>
  <c r="AZ514" i="3" s="1"/>
  <c r="BL506" i="3"/>
  <c r="AZ506" i="3" s="1"/>
  <c r="BA505" i="3"/>
  <c r="AZ505" i="3" s="1"/>
  <c r="BL504" i="3"/>
  <c r="AZ504" i="3" s="1"/>
  <c r="BL499" i="3"/>
  <c r="AZ499" i="3" s="1"/>
  <c r="BA497" i="3"/>
  <c r="AZ497" i="3" s="1"/>
  <c r="AA15" i="21"/>
  <c r="AB45" i="34"/>
  <c r="S27" i="33"/>
  <c r="F9" i="35"/>
  <c r="S9" i="35" s="1"/>
  <c r="AZ388" i="3"/>
  <c r="AZ345" i="3"/>
  <c r="AZ372" i="3"/>
  <c r="AZ347" i="3"/>
  <c r="AZ337" i="3"/>
  <c r="AZ376" i="3"/>
  <c r="AZ324" i="3"/>
  <c r="AZ309" i="3"/>
  <c r="AA11" i="39"/>
  <c r="H5" i="3"/>
  <c r="AC12" i="37"/>
  <c r="W44" i="21"/>
  <c r="BL503" i="3"/>
  <c r="AZ503" i="3" s="1"/>
  <c r="BL511" i="3"/>
  <c r="AZ511" i="3" s="1"/>
  <c r="BL527" i="3"/>
  <c r="AZ527" i="3" s="1"/>
  <c r="BL539" i="3"/>
  <c r="AZ539" i="3" s="1"/>
  <c r="BL543" i="3"/>
  <c r="AZ543" i="3" s="1"/>
  <c r="BL553" i="3"/>
  <c r="AZ553" i="3" s="1"/>
  <c r="BL557" i="3"/>
  <c r="AZ557" i="3" s="1"/>
  <c r="AZ570" i="3"/>
  <c r="AC28" i="21"/>
  <c r="AC9" i="34"/>
  <c r="W9" i="34"/>
  <c r="S38" i="40"/>
  <c r="AA38" i="40"/>
  <c r="BA569" i="3"/>
  <c r="AZ569" i="3" s="1"/>
  <c r="BA568" i="3"/>
  <c r="AZ568" i="3" s="1"/>
  <c r="BL566" i="3"/>
  <c r="G585" i="3"/>
  <c r="BL587" i="3"/>
  <c r="AZ587" i="3" s="1"/>
  <c r="BL586" i="3"/>
  <c r="AZ586" i="3" s="1"/>
  <c r="F12" i="35"/>
  <c r="J12" i="35"/>
  <c r="AZ400" i="3"/>
  <c r="BL519" i="3"/>
  <c r="AZ519" i="3" s="1"/>
  <c r="BL531" i="3"/>
  <c r="AZ531" i="3" s="1"/>
  <c r="BL559" i="3"/>
  <c r="AZ559" i="3" s="1"/>
  <c r="AZ573" i="3"/>
  <c r="AZ583" i="3"/>
  <c r="AZ576" i="3"/>
  <c r="G587" i="3"/>
  <c r="H25" i="37"/>
  <c r="F25" i="37"/>
  <c r="G574" i="3"/>
  <c r="AZ458" i="3"/>
  <c r="AZ462" i="3"/>
  <c r="AZ402" i="3"/>
  <c r="AZ406" i="3"/>
  <c r="B75" i="43"/>
  <c r="J9" i="36"/>
  <c r="H24" i="36"/>
  <c r="G570" i="3"/>
  <c r="G551" i="3"/>
  <c r="BL550" i="3"/>
  <c r="G542" i="3"/>
  <c r="BA551" i="3"/>
  <c r="AZ551" i="3" s="1"/>
  <c r="BA550" i="3"/>
  <c r="BL548" i="3"/>
  <c r="AZ548" i="3" s="1"/>
  <c r="G398" i="3"/>
  <c r="BL400" i="3"/>
  <c r="BL408" i="3"/>
  <c r="BL411" i="3"/>
  <c r="BL413" i="3"/>
  <c r="AZ413" i="3" s="1"/>
  <c r="G415" i="3"/>
  <c r="BL417" i="3"/>
  <c r="BL418" i="3"/>
  <c r="AZ418" i="3" s="1"/>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BL328" i="3"/>
  <c r="AZ328" i="3" s="1"/>
  <c r="BA335" i="3"/>
  <c r="AZ335" i="3" s="1"/>
  <c r="BA339" i="3"/>
  <c r="AZ339" i="3" s="1"/>
  <c r="G343" i="3"/>
  <c r="G347" i="3"/>
  <c r="BA348" i="3"/>
  <c r="BA350" i="3"/>
  <c r="AZ350" i="3" s="1"/>
  <c r="BA354" i="3"/>
  <c r="BA366" i="3"/>
  <c r="AZ366" i="3" s="1"/>
  <c r="BL375" i="3"/>
  <c r="AZ375" i="3" s="1"/>
  <c r="BL225" i="3"/>
  <c r="BL226" i="3"/>
  <c r="BA239" i="3"/>
  <c r="BL239" i="3"/>
  <c r="BA241" i="3"/>
  <c r="AZ241" i="3" s="1"/>
  <c r="BL241" i="3"/>
  <c r="BA244" i="3"/>
  <c r="AZ244" i="3" s="1"/>
  <c r="BL398" i="3"/>
  <c r="BL403" i="3"/>
  <c r="G405" i="3"/>
  <c r="BA408" i="3"/>
  <c r="AZ408" i="3" s="1"/>
  <c r="BA409" i="3"/>
  <c r="AZ409" i="3" s="1"/>
  <c r="BA411" i="3"/>
  <c r="BL414" i="3"/>
  <c r="BL415" i="3"/>
  <c r="AZ415" i="3" s="1"/>
  <c r="BA417" i="3"/>
  <c r="AZ417" i="3" s="1"/>
  <c r="BL421" i="3"/>
  <c r="BL422" i="3"/>
  <c r="BL425" i="3"/>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G249" i="3"/>
  <c r="G253" i="3"/>
  <c r="AZ398" i="3"/>
  <c r="AZ414" i="3"/>
  <c r="AZ421" i="3"/>
  <c r="AZ425" i="3"/>
  <c r="AZ435" i="3"/>
  <c r="AZ451" i="3"/>
  <c r="AZ454" i="3"/>
  <c r="AZ459" i="3"/>
  <c r="AZ469" i="3"/>
  <c r="AZ48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16" i="3"/>
  <c r="AZ16" i="3" s="1"/>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BA247" i="3"/>
  <c r="BL247" i="3"/>
  <c r="BL255" i="3"/>
  <c r="G257" i="3"/>
  <c r="BL257" i="3"/>
  <c r="AZ257" i="3" s="1"/>
  <c r="BL258" i="3"/>
  <c r="G259" i="3"/>
  <c r="BA262" i="3"/>
  <c r="AZ262" i="3" s="1"/>
  <c r="BL265" i="3"/>
  <c r="AZ265" i="3" s="1"/>
  <c r="BA273" i="3"/>
  <c r="AZ273" i="3" s="1"/>
  <c r="BA278" i="3"/>
  <c r="AZ278" i="3" s="1"/>
  <c r="G288" i="3"/>
  <c r="BL292" i="3"/>
  <c r="BA114" i="3"/>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BL47" i="3"/>
  <c r="AZ47" i="3" s="1"/>
  <c r="G49" i="3"/>
  <c r="G50" i="3"/>
  <c r="BA50" i="3"/>
  <c r="BA55" i="3"/>
  <c r="AZ55" i="3" s="1"/>
  <c r="BA56" i="3"/>
  <c r="BA57" i="3"/>
  <c r="BL58" i="3"/>
  <c r="BA60" i="3"/>
  <c r="BA71" i="3"/>
  <c r="BA88" i="3"/>
  <c r="AZ88" i="3" s="1"/>
  <c r="G102"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BA144" i="3"/>
  <c r="AZ144" i="3" s="1"/>
  <c r="BA153" i="3"/>
  <c r="BL155" i="3"/>
  <c r="AZ155" i="3" s="1"/>
  <c r="BA164" i="3"/>
  <c r="AZ164" i="3" s="1"/>
  <c r="BA166" i="3"/>
  <c r="AZ166" i="3" s="1"/>
  <c r="BA178" i="3"/>
  <c r="AZ178" i="3" s="1"/>
  <c r="BA184" i="3"/>
  <c r="AZ184" i="3" s="1"/>
  <c r="AZ64" i="3"/>
  <c r="AZ65" i="3"/>
  <c r="BA92" i="3"/>
  <c r="BL96" i="3"/>
  <c r="BL100" i="3"/>
  <c r="C47" i="71"/>
  <c r="D47" i="71" s="1"/>
  <c r="D46" i="71"/>
  <c r="BL244" i="3"/>
  <c r="BA246" i="3"/>
  <c r="BA252" i="3"/>
  <c r="AZ252" i="3" s="1"/>
  <c r="BA254" i="3"/>
  <c r="AZ254" i="3" s="1"/>
  <c r="BA256" i="3"/>
  <c r="BL256" i="3"/>
  <c r="BA258" i="3"/>
  <c r="BA268" i="3"/>
  <c r="BL273" i="3"/>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70" i="3"/>
  <c r="BA173" i="3"/>
  <c r="AZ173" i="3" s="1"/>
  <c r="BA174" i="3"/>
  <c r="BA181" i="3"/>
  <c r="AZ181" i="3" s="1"/>
  <c r="BA182"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L50" i="3"/>
  <c r="BL51" i="3"/>
  <c r="AZ51" i="3" s="1"/>
  <c r="D31" i="71"/>
  <c r="C32" i="71"/>
  <c r="C52" i="71"/>
  <c r="D51" i="71"/>
  <c r="C55" i="71"/>
  <c r="D54" i="71"/>
  <c r="C60" i="71"/>
  <c r="D59" i="71"/>
  <c r="N67" i="71"/>
  <c r="B66" i="71"/>
  <c r="F66" i="71"/>
  <c r="Q67" i="71"/>
  <c r="BL248" i="3"/>
  <c r="AZ248" i="3" s="1"/>
  <c r="G250" i="3"/>
  <c r="BL250" i="3"/>
  <c r="AZ250" i="3" s="1"/>
  <c r="G252" i="3"/>
  <c r="G254" i="3"/>
  <c r="BA259" i="3"/>
  <c r="AZ259" i="3" s="1"/>
  <c r="BL261" i="3"/>
  <c r="BA263" i="3"/>
  <c r="AZ263" i="3" s="1"/>
  <c r="BA267" i="3"/>
  <c r="AZ267" i="3" s="1"/>
  <c r="BA276" i="3"/>
  <c r="BA279" i="3"/>
  <c r="BA28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4" i="3"/>
  <c r="BA63" i="3"/>
  <c r="BL68" i="3"/>
  <c r="BA69" i="3"/>
  <c r="AZ69" i="3" s="1"/>
  <c r="BA77" i="3"/>
  <c r="AZ77" i="3" s="1"/>
  <c r="P65" i="71"/>
  <c r="P66" i="7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G54" i="3"/>
  <c r="G55" i="3"/>
  <c r="BL56" i="3"/>
  <c r="BA58" i="3"/>
  <c r="BL59" i="3"/>
  <c r="AZ59" i="3" s="1"/>
  <c r="BL60" i="3"/>
  <c r="BA61" i="3"/>
  <c r="AZ61" i="3" s="1"/>
  <c r="BA68" i="3"/>
  <c r="BA73" i="3"/>
  <c r="BA80" i="3"/>
  <c r="G84" i="3"/>
  <c r="BL84" i="3"/>
  <c r="AZ84" i="3" s="1"/>
  <c r="BA89" i="3"/>
  <c r="G99" i="3"/>
  <c r="BA103" i="3"/>
  <c r="AZ103" i="3" s="1"/>
  <c r="BA104" i="3"/>
  <c r="BA106" i="3"/>
  <c r="BL108" i="3"/>
  <c r="G110" i="3"/>
  <c r="BL111" i="3"/>
  <c r="C5" i="68"/>
  <c r="C21" i="68"/>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E23" i="71"/>
  <c r="E22" i="71" s="1"/>
  <c r="E21" i="71" s="1"/>
  <c r="E20" i="71" s="1"/>
  <c r="G52" i="3"/>
  <c r="BA52" i="3"/>
  <c r="AZ52" i="3" s="1"/>
  <c r="BA53" i="3"/>
  <c r="AZ53" i="3" s="1"/>
  <c r="BA54" i="3"/>
  <c r="BL57" i="3"/>
  <c r="G59" i="3"/>
  <c r="G62" i="3"/>
  <c r="BL62" i="3"/>
  <c r="AZ62" i="3" s="1"/>
  <c r="BL63" i="3"/>
  <c r="G65" i="3"/>
  <c r="BL65" i="3"/>
  <c r="BL66" i="3"/>
  <c r="AZ66" i="3" s="1"/>
  <c r="BL67" i="3"/>
  <c r="AZ67" i="3" s="1"/>
  <c r="G69" i="3"/>
  <c r="G70" i="3"/>
  <c r="BL70" i="3"/>
  <c r="AZ70" i="3" s="1"/>
  <c r="BL71" i="3"/>
  <c r="BL72" i="3"/>
  <c r="AZ72" i="3" s="1"/>
  <c r="G74" i="3"/>
  <c r="G75" i="3"/>
  <c r="BL75" i="3"/>
  <c r="AZ75" i="3" s="1"/>
  <c r="BL81" i="3"/>
  <c r="BA82" i="3"/>
  <c r="AZ82" i="3" s="1"/>
  <c r="BL83" i="3"/>
  <c r="G88" i="3"/>
  <c r="BA90" i="3"/>
  <c r="BL94" i="3"/>
  <c r="AZ94" i="3" s="1"/>
  <c r="BA100" i="3"/>
  <c r="AZ100" i="3" s="1"/>
  <c r="BA102" i="3"/>
  <c r="AZ102" i="3" s="1"/>
  <c r="BL105" i="3"/>
  <c r="AZ105" i="3" s="1"/>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15"/>
  <c r="B13" i="70"/>
  <c r="D9" i="68"/>
  <c r="L48" i="84"/>
  <c r="F7" i="84"/>
  <c r="M29" i="84"/>
  <c r="F43" i="84"/>
  <c r="C76" i="84"/>
  <c r="M22" i="84"/>
  <c r="F37" i="84"/>
  <c r="M28" i="84"/>
  <c r="F9" i="84"/>
  <c r="F6" i="84"/>
  <c r="M24" i="84"/>
  <c r="M6" i="84"/>
  <c r="F40" i="84"/>
  <c r="J15" i="84"/>
  <c r="F16" i="84"/>
  <c r="M9" i="84"/>
  <c r="M26" i="84"/>
  <c r="F26" i="84"/>
  <c r="F42" i="84"/>
  <c r="M27" i="84"/>
  <c r="F13" i="84"/>
  <c r="F36" i="84"/>
  <c r="M23" i="84"/>
  <c r="F38" i="84"/>
  <c r="M8" i="84"/>
  <c r="F8" i="84"/>
  <c r="L47" i="84"/>
  <c r="F6" i="86"/>
  <c r="M28" i="86"/>
  <c r="M8" i="86"/>
  <c r="M24" i="86"/>
  <c r="M27" i="86"/>
  <c r="J15" i="86"/>
  <c r="M22" i="86"/>
  <c r="F38" i="86"/>
  <c r="M26" i="86"/>
  <c r="M6" i="86"/>
  <c r="F26" i="86"/>
  <c r="L48" i="86"/>
  <c r="F36" i="86"/>
  <c r="F16" i="86"/>
  <c r="F43" i="86"/>
  <c r="F37" i="86"/>
  <c r="M23" i="86"/>
  <c r="M9" i="86"/>
  <c r="F42" i="86"/>
  <c r="F9" i="86"/>
  <c r="L47" i="86"/>
  <c r="F13" i="86"/>
  <c r="F40" i="86"/>
  <c r="F8" i="86"/>
  <c r="M29" i="86"/>
  <c r="F7" i="86"/>
  <c r="C76" i="86"/>
  <c r="M23" i="85"/>
  <c r="M24" i="85"/>
  <c r="F37" i="85"/>
  <c r="M9" i="85"/>
  <c r="F42" i="85"/>
  <c r="M29" i="85"/>
  <c r="M8" i="85"/>
  <c r="F6" i="85"/>
  <c r="M28" i="85"/>
  <c r="F38" i="85"/>
  <c r="M26" i="85"/>
  <c r="M6" i="85"/>
  <c r="M27" i="85"/>
  <c r="J15" i="85"/>
  <c r="M22" i="85"/>
  <c r="L48" i="85"/>
  <c r="F36" i="85"/>
  <c r="F16" i="85"/>
  <c r="F43" i="85"/>
  <c r="F26" i="85"/>
  <c r="F9" i="85"/>
  <c r="L47" i="85"/>
  <c r="F13" i="85"/>
  <c r="F40" i="85"/>
  <c r="F8" i="85"/>
  <c r="C76" i="85"/>
  <c r="F7" i="85"/>
  <c r="D9" i="69"/>
  <c r="J15" i="67"/>
  <c r="F16" i="67"/>
  <c r="F9" i="67"/>
  <c r="F26" i="67"/>
  <c r="M8" i="67"/>
  <c r="F36" i="67"/>
  <c r="M29" i="67"/>
  <c r="M23" i="67"/>
  <c r="C76" i="67"/>
  <c r="M6" i="67"/>
  <c r="F42" i="67"/>
  <c r="F13" i="67"/>
  <c r="F6" i="67"/>
  <c r="M26" i="67"/>
  <c r="F40" i="67"/>
  <c r="F7" i="67"/>
  <c r="M28" i="15"/>
  <c r="D7" i="73"/>
  <c r="F40" i="15"/>
  <c r="F8" i="67"/>
  <c r="F37" i="15"/>
  <c r="F43" i="15"/>
  <c r="M24" i="67"/>
  <c r="M9" i="15"/>
  <c r="F43" i="67"/>
  <c r="F36" i="15"/>
  <c r="M8" i="15"/>
  <c r="L47" i="15"/>
  <c r="F38" i="67"/>
  <c r="L48" i="15"/>
  <c r="F38" i="15"/>
  <c r="D5" i="73"/>
  <c r="M23" i="15"/>
  <c r="M29" i="15"/>
  <c r="L48" i="67"/>
  <c r="F9" i="15"/>
  <c r="M26" i="15"/>
  <c r="D4" i="73"/>
  <c r="F6" i="15"/>
  <c r="L47" i="67"/>
  <c r="F26" i="15"/>
  <c r="F7" i="15"/>
  <c r="F42" i="15"/>
  <c r="M22" i="67"/>
  <c r="M22" i="15"/>
  <c r="M9" i="67"/>
  <c r="D3" i="73"/>
  <c r="F16" i="15"/>
  <c r="M28" i="67"/>
  <c r="C76" i="15"/>
  <c r="F37" i="67"/>
  <c r="C16" i="84"/>
  <c r="C16" i="86"/>
  <c r="C16" i="85"/>
  <c r="M7" i="85" l="1"/>
  <c r="J6" i="85" s="1"/>
  <c r="J19" i="85" s="1"/>
  <c r="F50" i="85"/>
  <c r="Q71" i="85"/>
  <c r="F51" i="85"/>
  <c r="F68" i="85"/>
  <c r="N59" i="85"/>
  <c r="L58" i="85"/>
  <c r="L59" i="85"/>
  <c r="M59" i="85"/>
  <c r="C27" i="85"/>
  <c r="F71" i="85"/>
  <c r="F64" i="85"/>
  <c r="J57" i="85"/>
  <c r="J55" i="85" s="1"/>
  <c r="J58" i="85" s="1"/>
  <c r="Q50" i="85" s="1"/>
  <c r="J53" i="85"/>
  <c r="L56" i="85"/>
  <c r="I54" i="85"/>
  <c r="F66" i="85"/>
  <c r="C6" i="85"/>
  <c r="C33" i="85" s="1"/>
  <c r="F65" i="85"/>
  <c r="Q71" i="86"/>
  <c r="F50" i="86"/>
  <c r="M7" i="86"/>
  <c r="J6" i="86" s="1"/>
  <c r="J19" i="86" s="1"/>
  <c r="F51" i="86"/>
  <c r="F68" i="86"/>
  <c r="L59" i="86"/>
  <c r="N59" i="86"/>
  <c r="L58" i="86"/>
  <c r="M59" i="86"/>
  <c r="F65" i="86"/>
  <c r="F71" i="86"/>
  <c r="F64" i="86"/>
  <c r="L56" i="86"/>
  <c r="J57" i="86"/>
  <c r="J55" i="86" s="1"/>
  <c r="J58" i="86" s="1"/>
  <c r="Q50" i="86" s="1"/>
  <c r="J53" i="86"/>
  <c r="I54" i="86"/>
  <c r="C27" i="86"/>
  <c r="F66" i="86"/>
  <c r="C6" i="86"/>
  <c r="C33" i="86" s="1"/>
  <c r="L59" i="84"/>
  <c r="Q61" i="84" s="1"/>
  <c r="N59" i="84"/>
  <c r="M59" i="84"/>
  <c r="L58" i="84"/>
  <c r="Q73" i="84" s="1"/>
  <c r="F51" i="84"/>
  <c r="F66" i="84"/>
  <c r="F64" i="84"/>
  <c r="C27" i="84"/>
  <c r="F68" i="84"/>
  <c r="C6" i="84"/>
  <c r="C32" i="84" s="1"/>
  <c r="F65" i="84"/>
  <c r="Q71" i="84"/>
  <c r="F71" i="84"/>
  <c r="M7" i="84"/>
  <c r="J6" i="84" s="1"/>
  <c r="J19" i="84" s="1"/>
  <c r="F50" i="84"/>
  <c r="J53" i="84"/>
  <c r="F1" i="84" s="1"/>
  <c r="J57" i="84"/>
  <c r="J55" i="84" s="1"/>
  <c r="J58" i="84" s="1"/>
  <c r="Q50" i="84" s="1"/>
  <c r="L56" i="84"/>
  <c r="I54" i="84"/>
  <c r="J18" i="86"/>
  <c r="F60" i="85"/>
  <c r="F60" i="86"/>
  <c r="M11" i="86"/>
  <c r="J10" i="86" s="1"/>
  <c r="F11" i="86"/>
  <c r="M11" i="85"/>
  <c r="J10" i="85" s="1"/>
  <c r="F11" i="85"/>
  <c r="P6" i="1"/>
  <c r="C13" i="12" s="1"/>
  <c r="M7" i="67"/>
  <c r="J6" i="67" s="1"/>
  <c r="J18" i="67" s="1"/>
  <c r="F50" i="67"/>
  <c r="F68" i="67"/>
  <c r="Q71" i="67"/>
  <c r="F64" i="67"/>
  <c r="C27" i="67"/>
  <c r="Q16" i="1"/>
  <c r="H16" i="1"/>
  <c r="N370" i="46"/>
  <c r="F26" i="43"/>
  <c r="G26" i="43"/>
  <c r="E26" i="43"/>
  <c r="H26" i="43"/>
  <c r="N94" i="46"/>
  <c r="K16" i="1"/>
  <c r="F30" i="6"/>
  <c r="E59" i="40"/>
  <c r="M11" i="84"/>
  <c r="J10" i="84" s="1"/>
  <c r="F11" i="84"/>
  <c r="F71" i="67"/>
  <c r="F65" i="67"/>
  <c r="M7" i="15"/>
  <c r="J6" i="15" s="1"/>
  <c r="J18" i="15" s="1"/>
  <c r="F50" i="15"/>
  <c r="F59" i="15" s="1"/>
  <c r="Q71" i="15"/>
  <c r="C27" i="15"/>
  <c r="L58" i="67"/>
  <c r="Q60" i="67" s="1"/>
  <c r="L59" i="67"/>
  <c r="Q61" i="67" s="1"/>
  <c r="M59" i="67"/>
  <c r="N59" i="67"/>
  <c r="F66" i="15"/>
  <c r="F71" i="15"/>
  <c r="C6" i="15"/>
  <c r="C32" i="15" s="1"/>
  <c r="F31" i="15"/>
  <c r="J57" i="15"/>
  <c r="J55" i="15" s="1"/>
  <c r="J58" i="15" s="1"/>
  <c r="Q50" i="15" s="1"/>
  <c r="J53" i="15"/>
  <c r="L56" i="15" s="1"/>
  <c r="I54" i="15"/>
  <c r="F65" i="15"/>
  <c r="F66" i="67"/>
  <c r="F51" i="67"/>
  <c r="F59" i="67" s="1"/>
  <c r="C6" i="67"/>
  <c r="C32" i="67" s="1"/>
  <c r="F31" i="67"/>
  <c r="L59" i="15"/>
  <c r="Q74" i="15" s="1"/>
  <c r="N59" i="15"/>
  <c r="L58" i="15"/>
  <c r="Q73" i="15" s="1"/>
  <c r="M59" i="15"/>
  <c r="F68" i="15"/>
  <c r="L56" i="67"/>
  <c r="I54" i="67"/>
  <c r="J57" i="67"/>
  <c r="J55" i="67" s="1"/>
  <c r="J58" i="67" s="1"/>
  <c r="Q50" i="67" s="1"/>
  <c r="J53" i="67"/>
  <c r="F1" i="67" s="1"/>
  <c r="F64" i="15"/>
  <c r="C40" i="71"/>
  <c r="D39" i="71"/>
  <c r="AZ63" i="3"/>
  <c r="C56" i="71"/>
  <c r="D55" i="71"/>
  <c r="AZ49" i="3"/>
  <c r="AZ130" i="3"/>
  <c r="AZ57" i="3"/>
  <c r="AZ247" i="3"/>
  <c r="AZ332" i="3"/>
  <c r="AZ368" i="3"/>
  <c r="AZ239" i="3"/>
  <c r="AC9" i="36"/>
  <c r="W9" i="36"/>
  <c r="W12" i="35"/>
  <c r="AC12" i="35"/>
  <c r="W12" i="34"/>
  <c r="AC12" i="34"/>
  <c r="AC13" i="21"/>
  <c r="W13" i="21"/>
  <c r="C70" i="71"/>
  <c r="D70" i="71" s="1"/>
  <c r="D71" i="71"/>
  <c r="AZ108" i="3"/>
  <c r="AZ182" i="3"/>
  <c r="AZ282" i="3"/>
  <c r="AZ256" i="3"/>
  <c r="AZ118" i="3"/>
  <c r="AZ71" i="3"/>
  <c r="AZ422" i="3"/>
  <c r="AZ411" i="3"/>
  <c r="AZ550" i="3"/>
  <c r="AA25" i="37"/>
  <c r="S25" i="37"/>
  <c r="S28" i="21"/>
  <c r="AA28" i="21"/>
  <c r="W13" i="37"/>
  <c r="AC13" i="37"/>
  <c r="T28" i="71"/>
  <c r="D28" i="71"/>
  <c r="U28" i="71" s="1"/>
  <c r="C27" i="71"/>
  <c r="D79" i="71"/>
  <c r="C78" i="71"/>
  <c r="D78" i="71" s="1"/>
  <c r="AZ58" i="3"/>
  <c r="C44" i="71"/>
  <c r="D43" i="71"/>
  <c r="C86" i="71"/>
  <c r="D86" i="71" s="1"/>
  <c r="D87" i="71"/>
  <c r="D60" i="71"/>
  <c r="T60" i="71"/>
  <c r="T52" i="71"/>
  <c r="D52" i="71"/>
  <c r="AZ29" i="3"/>
  <c r="AZ432" i="3"/>
  <c r="U25" i="37"/>
  <c r="AB25" i="37"/>
  <c r="AB14" i="39"/>
  <c r="U14" i="39"/>
  <c r="G5" i="3"/>
  <c r="B3" i="3" s="1"/>
  <c r="E212" i="3" s="1"/>
  <c r="D83" i="71"/>
  <c r="C82" i="71"/>
  <c r="D82" i="71" s="1"/>
  <c r="O65" i="71"/>
  <c r="D66" i="71"/>
  <c r="O66" i="71"/>
  <c r="C36" i="71"/>
  <c r="D35" i="71"/>
  <c r="N65" i="71"/>
  <c r="N66" i="71"/>
  <c r="T32" i="71"/>
  <c r="D32" i="71"/>
  <c r="AZ50" i="3"/>
  <c r="AZ39" i="3"/>
  <c r="AB24" i="36"/>
  <c r="U24" i="36"/>
  <c r="AB12" i="34"/>
  <c r="U12" i="34"/>
  <c r="AB27" i="34"/>
  <c r="U27" i="34"/>
  <c r="G16" i="1"/>
  <c r="F10" i="39" s="1"/>
  <c r="AA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AC7" i="36"/>
  <c r="V36" i="36" s="1"/>
  <c r="I36" i="36" s="1"/>
  <c r="W7" i="36"/>
  <c r="F7" i="37"/>
  <c r="M17" i="67"/>
  <c r="P28" i="43"/>
  <c r="B66" i="40" s="1"/>
  <c r="P25" i="43"/>
  <c r="P29" i="43"/>
  <c r="P27" i="43"/>
  <c r="B70" i="39" s="1"/>
  <c r="M11" i="67"/>
  <c r="J10" i="67" s="1"/>
  <c r="F11" i="15"/>
  <c r="M11" i="15"/>
  <c r="J10" i="15" s="1"/>
  <c r="F11" i="67"/>
  <c r="AE11" i="1"/>
  <c r="F27" i="68"/>
  <c r="AE12" i="1"/>
  <c r="AE10" i="1"/>
  <c r="C36" i="69"/>
  <c r="F27" i="69"/>
  <c r="AE7" i="1"/>
  <c r="AE6" i="1"/>
  <c r="C16" i="67"/>
  <c r="C16" i="15"/>
  <c r="F41" i="67"/>
  <c r="F41" i="84"/>
  <c r="G1" i="73"/>
  <c r="AB7" i="36" l="1"/>
  <c r="T36" i="36" s="1"/>
  <c r="G36" i="36" s="1"/>
  <c r="S7" i="36"/>
  <c r="J5" i="86"/>
  <c r="J26" i="86" s="1"/>
  <c r="C32" i="85"/>
  <c r="Q60" i="84"/>
  <c r="Q52" i="84"/>
  <c r="C33" i="84"/>
  <c r="J5" i="84"/>
  <c r="J24" i="84" s="1"/>
  <c r="C32" i="86"/>
  <c r="J5" i="85"/>
  <c r="J24" i="85" s="1"/>
  <c r="J18" i="84"/>
  <c r="C49" i="84"/>
  <c r="C61" i="84" s="1"/>
  <c r="C49" i="86"/>
  <c r="C61" i="86" s="1"/>
  <c r="C49" i="85"/>
  <c r="C61" i="85" s="1"/>
  <c r="Q60" i="86"/>
  <c r="Q73" i="86"/>
  <c r="Q61" i="85"/>
  <c r="Q74" i="85"/>
  <c r="J18" i="85"/>
  <c r="F1" i="86"/>
  <c r="Q52" i="86"/>
  <c r="Q60" i="85"/>
  <c r="Q73" i="85"/>
  <c r="Q74" i="84"/>
  <c r="Q74" i="86"/>
  <c r="Q61" i="86"/>
  <c r="Q52" i="85"/>
  <c r="F1" i="85"/>
  <c r="F45" i="69"/>
  <c r="C29" i="69"/>
  <c r="D27" i="69" s="1"/>
  <c r="C53" i="86"/>
  <c r="C10" i="86"/>
  <c r="C5" i="86" s="1"/>
  <c r="C53" i="85"/>
  <c r="C10" i="85"/>
  <c r="C5" i="85" s="1"/>
  <c r="C47" i="69"/>
  <c r="D45" i="69" s="1"/>
  <c r="F27" i="11"/>
  <c r="C29" i="11" s="1"/>
  <c r="D27" i="11" s="1"/>
  <c r="D26" i="43"/>
  <c r="C25" i="43" s="1"/>
  <c r="E445" i="3"/>
  <c r="E301" i="3"/>
  <c r="E296" i="3"/>
  <c r="E505" i="3"/>
  <c r="E118" i="3"/>
  <c r="E570" i="3"/>
  <c r="E337" i="3"/>
  <c r="E131" i="3"/>
  <c r="AY6" i="3"/>
  <c r="AY152" i="3" s="1"/>
  <c r="X6" i="3"/>
  <c r="E28" i="3"/>
  <c r="E263" i="3"/>
  <c r="E106" i="3"/>
  <c r="E458" i="3"/>
  <c r="E117" i="3"/>
  <c r="E239" i="3"/>
  <c r="E252" i="3"/>
  <c r="E17" i="3"/>
  <c r="E207" i="3"/>
  <c r="E66" i="3"/>
  <c r="E512" i="3"/>
  <c r="E139" i="3"/>
  <c r="E369" i="3"/>
  <c r="E487" i="3"/>
  <c r="E242" i="3"/>
  <c r="E148" i="3"/>
  <c r="E385" i="3"/>
  <c r="E161" i="3"/>
  <c r="E278" i="3"/>
  <c r="AJ6" i="3"/>
  <c r="E368" i="3"/>
  <c r="E228" i="3"/>
  <c r="E261" i="3"/>
  <c r="E331" i="3"/>
  <c r="E318" i="3"/>
  <c r="E85" i="3"/>
  <c r="E551" i="3"/>
  <c r="E121" i="3"/>
  <c r="E481" i="3"/>
  <c r="E501" i="3"/>
  <c r="E157" i="3"/>
  <c r="E112" i="3"/>
  <c r="E275" i="3"/>
  <c r="E200" i="3"/>
  <c r="E423" i="3"/>
  <c r="E535" i="3"/>
  <c r="E69" i="3"/>
  <c r="E273" i="3"/>
  <c r="E315" i="3"/>
  <c r="E568" i="3"/>
  <c r="AR6" i="3"/>
  <c r="E27" i="3"/>
  <c r="E111" i="3"/>
  <c r="E382" i="3"/>
  <c r="E229" i="3"/>
  <c r="E581" i="3"/>
  <c r="AA6" i="3"/>
  <c r="E71" i="3"/>
  <c r="E187" i="3"/>
  <c r="E427" i="3"/>
  <c r="E378" i="3"/>
  <c r="E248" i="3"/>
  <c r="E94" i="3"/>
  <c r="E219" i="3"/>
  <c r="E119" i="3"/>
  <c r="E246" i="3"/>
  <c r="E191" i="3"/>
  <c r="E563" i="3"/>
  <c r="E247" i="3"/>
  <c r="E345" i="3"/>
  <c r="E560" i="3"/>
  <c r="E503" i="3"/>
  <c r="E508" i="3"/>
  <c r="E269" i="3"/>
  <c r="E45" i="3"/>
  <c r="E415" i="3"/>
  <c r="E334" i="3"/>
  <c r="E203" i="3"/>
  <c r="E523" i="3"/>
  <c r="E471" i="3"/>
  <c r="E354" i="3"/>
  <c r="E64" i="3"/>
  <c r="E142" i="3"/>
  <c r="E240" i="3"/>
  <c r="E483" i="3"/>
  <c r="E132" i="3"/>
  <c r="E100" i="3"/>
  <c r="AI6" i="3"/>
  <c r="E135" i="3"/>
  <c r="E172" i="3"/>
  <c r="E335" i="3"/>
  <c r="E217" i="3"/>
  <c r="Z6" i="3"/>
  <c r="E587" i="3"/>
  <c r="E124" i="3"/>
  <c r="E380" i="3"/>
  <c r="E175" i="3"/>
  <c r="E515" i="3"/>
  <c r="E571" i="3"/>
  <c r="E336" i="3"/>
  <c r="E294" i="3"/>
  <c r="E366" i="3"/>
  <c r="E448" i="3"/>
  <c r="E429" i="3"/>
  <c r="E303" i="3"/>
  <c r="E359" i="3"/>
  <c r="E548" i="3"/>
  <c r="E474" i="3"/>
  <c r="E195" i="3"/>
  <c r="E90" i="3"/>
  <c r="E220" i="3"/>
  <c r="E442" i="3"/>
  <c r="E580" i="3"/>
  <c r="E120" i="3"/>
  <c r="E298" i="3"/>
  <c r="E317" i="3"/>
  <c r="E357" i="3"/>
  <c r="E82" i="3"/>
  <c r="E374" i="3"/>
  <c r="E372" i="3"/>
  <c r="AL6"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8" i="3"/>
  <c r="E280" i="3"/>
  <c r="E159" i="3"/>
  <c r="E565" i="3"/>
  <c r="E321" i="3"/>
  <c r="S6" i="3"/>
  <c r="O6" i="3"/>
  <c r="E319" i="3"/>
  <c r="E291" i="3"/>
  <c r="E403" i="3"/>
  <c r="E411" i="3"/>
  <c r="E196" i="3"/>
  <c r="E208" i="3"/>
  <c r="E537" i="3"/>
  <c r="E529" i="3"/>
  <c r="E352" i="3"/>
  <c r="E127" i="3"/>
  <c r="E413" i="3"/>
  <c r="E459" i="3"/>
  <c r="E163" i="3"/>
  <c r="E542" i="3"/>
  <c r="E520" i="3"/>
  <c r="E141" i="3"/>
  <c r="E325" i="3"/>
  <c r="E178" i="3"/>
  <c r="E105" i="3"/>
  <c r="E356" i="3"/>
  <c r="E173" i="3"/>
  <c r="E309" i="3"/>
  <c r="E389" i="3"/>
  <c r="E536"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E330" i="3"/>
  <c r="E434" i="3"/>
  <c r="E353" i="3"/>
  <c r="E221" i="3"/>
  <c r="E304" i="3"/>
  <c r="E338" i="3"/>
  <c r="E97" i="3"/>
  <c r="E328" i="3"/>
  <c r="E53" i="3"/>
  <c r="E126" i="3"/>
  <c r="E547" i="3"/>
  <c r="U6" i="3"/>
  <c r="E93" i="3"/>
  <c r="E168" i="3"/>
  <c r="W6" i="3"/>
  <c r="E313" i="3"/>
  <c r="E136" i="3"/>
  <c r="E307" i="3"/>
  <c r="E154" i="3"/>
  <c r="AD6" i="3"/>
  <c r="E462" i="3"/>
  <c r="E375" i="3"/>
  <c r="E244" i="3"/>
  <c r="E265" i="3"/>
  <c r="E170" i="3"/>
  <c r="E401" i="3"/>
  <c r="E329" i="3"/>
  <c r="E26" i="3"/>
  <c r="E102" i="3"/>
  <c r="E233" i="3"/>
  <c r="E95"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177" i="3"/>
  <c r="E238" i="3"/>
  <c r="E402" i="3"/>
  <c r="E302" i="3"/>
  <c r="E237" i="3"/>
  <c r="E506" i="3"/>
  <c r="E285" i="3"/>
  <c r="E426" i="3"/>
  <c r="AM6" i="3"/>
  <c r="E92" i="3"/>
  <c r="E367" i="3"/>
  <c r="E145" i="3"/>
  <c r="E14" i="3"/>
  <c r="E54" i="3"/>
  <c r="E438" i="3"/>
  <c r="E224" i="3"/>
  <c r="E461" i="3"/>
  <c r="E504" i="3"/>
  <c r="E87" i="3"/>
  <c r="E179" i="3"/>
  <c r="E39" i="3"/>
  <c r="E149" i="3"/>
  <c r="E386" i="3"/>
  <c r="E364" i="3"/>
  <c r="E473" i="3"/>
  <c r="E376" i="3"/>
  <c r="E232" i="3"/>
  <c r="E497" i="3"/>
  <c r="E235" i="3"/>
  <c r="E310" i="3"/>
  <c r="E554" i="3"/>
  <c r="E266" i="3"/>
  <c r="E464" i="3"/>
  <c r="E48" i="3"/>
  <c r="E110" i="3"/>
  <c r="E312" i="3"/>
  <c r="E24" i="3"/>
  <c r="E348" i="3"/>
  <c r="E552" i="3"/>
  <c r="E365" i="3"/>
  <c r="E20" i="3"/>
  <c r="E123" i="3"/>
  <c r="E392" i="3"/>
  <c r="E194" i="3"/>
  <c r="E15" i="3"/>
  <c r="L6" i="3"/>
  <c r="E226" i="3"/>
  <c r="E463" i="3"/>
  <c r="AH6" i="3"/>
  <c r="E507" i="3"/>
  <c r="E393" i="3"/>
  <c r="E16" i="3"/>
  <c r="E80" i="3"/>
  <c r="E324" i="3"/>
  <c r="E428" i="3"/>
  <c r="E41" i="3"/>
  <c r="E13" i="3"/>
  <c r="E408" i="3"/>
  <c r="T6" i="3"/>
  <c r="E308" i="3"/>
  <c r="E86" i="3"/>
  <c r="E482" i="3"/>
  <c r="E494" i="3"/>
  <c r="E68" i="3"/>
  <c r="E84" i="3"/>
  <c r="E160" i="3"/>
  <c r="E59" i="3"/>
  <c r="E258" i="3"/>
  <c r="E491" i="3"/>
  <c r="E430" i="3"/>
  <c r="E286" i="3"/>
  <c r="E3" i="6"/>
  <c r="E341" i="3"/>
  <c r="E297" i="3"/>
  <c r="E323" i="3"/>
  <c r="E138" i="3"/>
  <c r="E500" i="3"/>
  <c r="E222" i="3"/>
  <c r="E521" i="3"/>
  <c r="E460" i="3"/>
  <c r="E165" i="3"/>
  <c r="E176" i="3"/>
  <c r="E340" i="3"/>
  <c r="E36" i="3"/>
  <c r="E299" i="3"/>
  <c r="E38" i="3"/>
  <c r="E540" i="3"/>
  <c r="E346" i="3"/>
  <c r="E108" i="3"/>
  <c r="E419" i="3"/>
  <c r="E440" i="3"/>
  <c r="E543" i="3"/>
  <c r="E116" i="3"/>
  <c r="E326" i="3"/>
  <c r="E49" i="3"/>
  <c r="E190" i="3"/>
  <c r="E225" i="3"/>
  <c r="E420" i="3"/>
  <c r="E556" i="3"/>
  <c r="E456" i="3"/>
  <c r="E197" i="3"/>
  <c r="AF6" i="3"/>
  <c r="E174" i="3"/>
  <c r="E391" i="3"/>
  <c r="E283" i="3"/>
  <c r="E184" i="3"/>
  <c r="E371" i="3"/>
  <c r="E467" i="3"/>
  <c r="E349" i="3"/>
  <c r="E37" i="3"/>
  <c r="AP6" i="3"/>
  <c r="E502" i="3"/>
  <c r="E5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22" i="3"/>
  <c r="E34" i="3"/>
  <c r="E18" i="3"/>
  <c r="E198" i="3"/>
  <c r="E63" i="3"/>
  <c r="E67" i="3"/>
  <c r="E267" i="3"/>
  <c r="E409" i="3"/>
  <c r="E241" i="3"/>
  <c r="E417" i="3"/>
  <c r="E449" i="3"/>
  <c r="E575" i="3"/>
  <c r="H10" i="39"/>
  <c r="U10" i="39" s="1"/>
  <c r="S10" i="39"/>
  <c r="H10" i="40"/>
  <c r="AB10" i="40" s="1"/>
  <c r="J10" i="40"/>
  <c r="AC10" i="40" s="1"/>
  <c r="J10" i="39"/>
  <c r="W10" i="39" s="1"/>
  <c r="F10" i="40"/>
  <c r="S10" i="40" s="1"/>
  <c r="F69" i="84"/>
  <c r="C53" i="84"/>
  <c r="C10" i="84"/>
  <c r="C5" i="84" s="1"/>
  <c r="Q60" i="15"/>
  <c r="M17" i="15"/>
  <c r="J5" i="15"/>
  <c r="J24" i="15" s="1"/>
  <c r="J5" i="67"/>
  <c r="J24" i="67" s="1"/>
  <c r="C49" i="15"/>
  <c r="Q61" i="15"/>
  <c r="Q52" i="67"/>
  <c r="Q73" i="67"/>
  <c r="Q74" i="67"/>
  <c r="Q52" i="15"/>
  <c r="F1" i="15"/>
  <c r="C49" i="67"/>
  <c r="R36" i="36"/>
  <c r="E36" i="36" s="1"/>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D36" i="71"/>
  <c r="T36" i="71"/>
  <c r="D44" i="71"/>
  <c r="T44" i="71"/>
  <c r="C26" i="71"/>
  <c r="D26" i="71" s="1"/>
  <c r="D27" i="71"/>
  <c r="T40" i="71"/>
  <c r="D40" i="71"/>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303" i="3"/>
  <c r="AY465" i="3"/>
  <c r="AY294" i="3"/>
  <c r="AY488" i="3"/>
  <c r="AY390" i="3"/>
  <c r="AY243" i="3"/>
  <c r="AY436" i="3"/>
  <c r="AY309" i="3"/>
  <c r="AY194" i="3"/>
  <c r="AY468" i="3"/>
  <c r="AY570" i="3"/>
  <c r="AY232" i="3"/>
  <c r="AY587" i="3"/>
  <c r="AY148" i="3"/>
  <c r="AY367" i="3"/>
  <c r="BC6" i="3"/>
  <c r="AY298" i="3"/>
  <c r="AY418" i="3"/>
  <c r="AY30" i="3"/>
  <c r="AY330" i="3"/>
  <c r="AY175" i="3"/>
  <c r="AY583" i="3"/>
  <c r="AY396" i="3"/>
  <c r="AY505" i="3"/>
  <c r="AY151" i="3"/>
  <c r="AY408" i="3"/>
  <c r="AY257" i="3"/>
  <c r="C39" i="43"/>
  <c r="C42" i="43"/>
  <c r="E42" i="43" s="1"/>
  <c r="C38" i="43"/>
  <c r="U7" i="37"/>
  <c r="G67" i="39"/>
  <c r="F69" i="39"/>
  <c r="F58" i="21"/>
  <c r="R37"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9" i="1"/>
  <c r="AE8" i="1"/>
  <c r="F41" i="85" s="1"/>
  <c r="C17" i="85"/>
  <c r="C14" i="85"/>
  <c r="M27" i="15"/>
  <c r="F41" i="15"/>
  <c r="M27" i="67"/>
  <c r="F41" i="86"/>
  <c r="AY521" i="3" l="1"/>
  <c r="AY164" i="3"/>
  <c r="AY451" i="3"/>
  <c r="AY79" i="3"/>
  <c r="AY434" i="3"/>
  <c r="AY250" i="3"/>
  <c r="AY474" i="3"/>
  <c r="AY39" i="3"/>
  <c r="AY347" i="3"/>
  <c r="AY548" i="3"/>
  <c r="AY492" i="3"/>
  <c r="AY122" i="3"/>
  <c r="AY416" i="3"/>
  <c r="AY224" i="3"/>
  <c r="AY179" i="3"/>
  <c r="AY517" i="3"/>
  <c r="AY285" i="3"/>
  <c r="AY565" i="3"/>
  <c r="AY329" i="3"/>
  <c r="AY65" i="3"/>
  <c r="AY181" i="3"/>
  <c r="AY292" i="3"/>
  <c r="BI6" i="3"/>
  <c r="AY477" i="3"/>
  <c r="AY200" i="3"/>
  <c r="AY394" i="3"/>
  <c r="AY545" i="3"/>
  <c r="AY445" i="3"/>
  <c r="AY174" i="3"/>
  <c r="AY375" i="3"/>
  <c r="AY102" i="3"/>
  <c r="AY296" i="3"/>
  <c r="AY575" i="3"/>
  <c r="AY304" i="3"/>
  <c r="AY498" i="3"/>
  <c r="AY490" i="3"/>
  <c r="AY256" i="3"/>
  <c r="AY70" i="3"/>
  <c r="AY437" i="3"/>
  <c r="AY156" i="3"/>
  <c r="AY407" i="3"/>
  <c r="AY380" i="3"/>
  <c r="AY582" i="3"/>
  <c r="AY141" i="3"/>
  <c r="AY523" i="3"/>
  <c r="AY271" i="3"/>
  <c r="BF6" i="3"/>
  <c r="AY24" i="3"/>
  <c r="AY28" i="3"/>
  <c r="AY363" i="3"/>
  <c r="AY144" i="3"/>
  <c r="AY307" i="3"/>
  <c r="AY568" i="3"/>
  <c r="AY301" i="3"/>
  <c r="AY551" i="3"/>
  <c r="AY305" i="3"/>
  <c r="AY567" i="3"/>
  <c r="AY208" i="3"/>
  <c r="AY421" i="3"/>
  <c r="AY203" i="3"/>
  <c r="AY564" i="3"/>
  <c r="AY385" i="3"/>
  <c r="AY511" i="3"/>
  <c r="AY306" i="3"/>
  <c r="AY119" i="3"/>
  <c r="AY91" i="3"/>
  <c r="AY469" i="3"/>
  <c r="AY99" i="3"/>
  <c r="AY426" i="3"/>
  <c r="AY251" i="3"/>
  <c r="AY503" i="3"/>
  <c r="AY69" i="3"/>
  <c r="AY527" i="3"/>
  <c r="AY574" i="3"/>
  <c r="AY427" i="3"/>
  <c r="AY554" i="3"/>
  <c r="BK6" i="3"/>
  <c r="AY74" i="3"/>
  <c r="AY87" i="3"/>
  <c r="AY334" i="3"/>
  <c r="AY290" i="3"/>
  <c r="AY138" i="3"/>
  <c r="AY228" i="3"/>
  <c r="M18" i="9"/>
  <c r="B118" i="9" s="1"/>
  <c r="B1" i="74" s="1"/>
  <c r="L18" i="89"/>
  <c r="M18" i="89"/>
  <c r="B118" i="89" s="1"/>
  <c r="M18" i="91"/>
  <c r="B118" i="91" s="1"/>
  <c r="L18" i="91"/>
  <c r="M18" i="88"/>
  <c r="B118" i="88" s="1"/>
  <c r="L18" i="88"/>
  <c r="R50" i="34"/>
  <c r="C50" i="34" s="1"/>
  <c r="I53" i="34"/>
  <c r="J53" i="34" s="1"/>
  <c r="C48" i="84"/>
  <c r="C60" i="84" s="1"/>
  <c r="J24" i="86"/>
  <c r="J26" i="84"/>
  <c r="J29" i="84" s="1"/>
  <c r="C48" i="85"/>
  <c r="C60" i="85" s="1"/>
  <c r="C48" i="86"/>
  <c r="C66" i="86" s="1"/>
  <c r="J26" i="85"/>
  <c r="J29" i="85" s="1"/>
  <c r="C18" i="85"/>
  <c r="C15" i="85"/>
  <c r="F69" i="85"/>
  <c r="F69" i="86"/>
  <c r="E8" i="70"/>
  <c r="J29" i="86"/>
  <c r="C38" i="86"/>
  <c r="F24" i="85"/>
  <c r="C24" i="85" s="1"/>
  <c r="F24" i="86"/>
  <c r="C38" i="85"/>
  <c r="AB10" i="39"/>
  <c r="C47" i="11"/>
  <c r="D45" i="11" s="1"/>
  <c r="AC10" i="39"/>
  <c r="D37" i="11"/>
  <c r="D3" i="2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188" i="3"/>
  <c r="AY297" i="3"/>
  <c r="AY335" i="3"/>
  <c r="AY289" i="3"/>
  <c r="AY209" i="3"/>
  <c r="AY441" i="3"/>
  <c r="AY260" i="3"/>
  <c r="AY310" i="3"/>
  <c r="AY549" i="3"/>
  <c r="AY97" i="3"/>
  <c r="AY44" i="3"/>
  <c r="AY154" i="3"/>
  <c r="AY283" i="3"/>
  <c r="AY230" i="3"/>
  <c r="AY360" i="3"/>
  <c r="AY56"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23" i="3"/>
  <c r="AY345" i="3"/>
  <c r="AY328" i="3"/>
  <c r="AY484" i="3"/>
  <c r="AY442" i="3"/>
  <c r="AY423" i="3"/>
  <c r="AY499" i="3"/>
  <c r="AY502" i="3"/>
  <c r="BR6" i="3"/>
  <c r="BA6" i="3"/>
  <c r="AY78" i="3"/>
  <c r="AY187" i="3"/>
  <c r="AY127" i="3"/>
  <c r="AY264" i="3"/>
  <c r="AY376" i="3"/>
  <c r="AY314" i="3"/>
  <c r="AY424" i="3"/>
  <c r="AY295" i="3"/>
  <c r="AY282" i="3"/>
  <c r="AY566" i="3"/>
  <c r="AY240" i="3"/>
  <c r="AY107" i="3"/>
  <c r="AY359" i="3"/>
  <c r="AY62" i="3"/>
  <c r="AY538" i="3"/>
  <c r="AY320" i="3"/>
  <c r="AY153" i="3"/>
  <c r="AY432" i="3"/>
  <c r="AY136" i="3"/>
  <c r="AY13" i="3"/>
  <c r="AY233" i="3"/>
  <c r="AY563" i="3"/>
  <c r="AY431" i="3"/>
  <c r="AY352" i="3"/>
  <c r="AY32" i="3"/>
  <c r="AY429" i="3"/>
  <c r="AY354" i="3"/>
  <c r="AY277" i="3"/>
  <c r="AY38" i="3"/>
  <c r="AY560" i="3"/>
  <c r="AY362" i="3"/>
  <c r="AY46" i="3"/>
  <c r="AY14" i="3"/>
  <c r="AY312" i="3"/>
  <c r="AY137" i="3"/>
  <c r="AY543" i="3"/>
  <c r="AY384" i="3"/>
  <c r="AY43" i="3"/>
  <c r="AY464" i="3"/>
  <c r="AY25" i="3"/>
  <c r="AY98" i="3"/>
  <c r="AY349" i="3"/>
  <c r="AY214" i="3"/>
  <c r="AY108" i="3"/>
  <c r="AY409" i="3"/>
  <c r="AY253" i="3"/>
  <c r="C17" i="4"/>
  <c r="B4" i="52" s="1"/>
  <c r="B43" i="72" s="1"/>
  <c r="D3" i="33"/>
  <c r="D3" i="34"/>
  <c r="E6" i="6"/>
  <c r="D10" i="11" s="1"/>
  <c r="C10" i="11" s="1"/>
  <c r="L18" i="9"/>
  <c r="D14" i="12"/>
  <c r="D17" i="12" s="1"/>
  <c r="C17" i="12" s="1"/>
  <c r="D3" i="37"/>
  <c r="D19" i="11"/>
  <c r="C19" i="11" s="1"/>
  <c r="C20" i="11" s="1"/>
  <c r="C28" i="11" s="1"/>
  <c r="C27" i="11" s="1"/>
  <c r="W10" i="40"/>
  <c r="H6" i="3"/>
  <c r="AC6" i="3"/>
  <c r="AA10" i="40"/>
  <c r="U10" i="40"/>
  <c r="C38" i="84"/>
  <c r="C66" i="84"/>
  <c r="L36" i="43"/>
  <c r="L37" i="43" s="1"/>
  <c r="Q37" i="43" s="1"/>
  <c r="F24" i="84"/>
  <c r="F25" i="12"/>
  <c r="C26" i="12" s="1"/>
  <c r="D25" i="12" s="1"/>
  <c r="C48" i="15"/>
  <c r="C66" i="15" s="1"/>
  <c r="C48" i="67"/>
  <c r="C66" i="67" s="1"/>
  <c r="D116" i="43"/>
  <c r="F22" i="68"/>
  <c r="F41" i="68" s="1"/>
  <c r="F22" i="11"/>
  <c r="C23" i="11" s="1"/>
  <c r="F24" i="67"/>
  <c r="C24" i="67" s="1"/>
  <c r="F24" i="15"/>
  <c r="C24" i="15" s="1"/>
  <c r="F22" i="69"/>
  <c r="F41" i="69" s="1"/>
  <c r="E49" i="34"/>
  <c r="I54" i="34" s="1"/>
  <c r="J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5" i="6"/>
  <c r="D14" i="6"/>
  <c r="D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17" i="86"/>
  <c r="C14" i="86"/>
  <c r="C34" i="69"/>
  <c r="C14" i="84"/>
  <c r="C17" i="84"/>
  <c r="C17" i="67"/>
  <c r="C14" i="67"/>
  <c r="C17" i="15"/>
  <c r="E61" i="40" l="1"/>
  <c r="D19" i="6"/>
  <c r="M19" i="9"/>
  <c r="C118" i="9" s="1"/>
  <c r="B2" i="74" s="1"/>
  <c r="D28" i="6"/>
  <c r="D29" i="6"/>
  <c r="D30" i="6" s="1"/>
  <c r="D20" i="6"/>
  <c r="D12" i="6"/>
  <c r="D9" i="6"/>
  <c r="D21" i="6"/>
  <c r="M19" i="91"/>
  <c r="C118" i="91" s="1"/>
  <c r="L19" i="89"/>
  <c r="M19" i="89"/>
  <c r="C118" i="89" s="1"/>
  <c r="L19" i="91"/>
  <c r="M19" i="88"/>
  <c r="C118" i="88" s="1"/>
  <c r="L19" i="88"/>
  <c r="E53" i="34"/>
  <c r="F53" i="34" s="1"/>
  <c r="C19" i="85"/>
  <c r="C20" i="85" s="1"/>
  <c r="C26" i="85" s="1"/>
  <c r="C60" i="86"/>
  <c r="C66" i="85"/>
  <c r="C18" i="86"/>
  <c r="C15" i="86"/>
  <c r="C24" i="86"/>
  <c r="O36" i="43"/>
  <c r="D13" i="6"/>
  <c r="D23" i="6"/>
  <c r="L19" i="9"/>
  <c r="D8" i="6"/>
  <c r="D24" i="6"/>
  <c r="D25" i="6"/>
  <c r="H26" i="6"/>
  <c r="D11" i="6"/>
  <c r="C18" i="4"/>
  <c r="A7" i="51" s="1"/>
  <c r="B7" i="72" s="1"/>
  <c r="D10" i="6"/>
  <c r="D26" i="6"/>
  <c r="D20" i="12"/>
  <c r="C20" i="12" s="1"/>
  <c r="C18" i="12" s="1"/>
  <c r="D10" i="68"/>
  <c r="D19" i="68" s="1"/>
  <c r="D6" i="6"/>
  <c r="H22" i="6"/>
  <c r="R22" i="6" s="1"/>
  <c r="R9" i="1" s="1"/>
  <c r="C15" i="84"/>
  <c r="C18" i="84"/>
  <c r="E7" i="70"/>
  <c r="E6" i="3"/>
  <c r="H21" i="6"/>
  <c r="H24" i="6"/>
  <c r="E54" i="34"/>
  <c r="F54" i="34" s="1"/>
  <c r="M37" i="43"/>
  <c r="P36" i="43"/>
  <c r="N37" i="43"/>
  <c r="P37" i="43"/>
  <c r="M36" i="43"/>
  <c r="O37" i="43"/>
  <c r="N36" i="43"/>
  <c r="Q36" i="43"/>
  <c r="C24" i="84"/>
  <c r="C60" i="15"/>
  <c r="C26" i="11"/>
  <c r="D22" i="11" s="1"/>
  <c r="C44" i="68"/>
  <c r="D41" i="68" s="1"/>
  <c r="C23" i="68"/>
  <c r="C26" i="68"/>
  <c r="D22" i="68" s="1"/>
  <c r="C44" i="11"/>
  <c r="D41" i="11" s="1"/>
  <c r="C60" i="67"/>
  <c r="H25" i="6"/>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D10" i="69"/>
  <c r="F35" i="86"/>
  <c r="M21" i="86"/>
  <c r="E6" i="76"/>
  <c r="B6" i="76"/>
  <c r="C14" i="15"/>
  <c r="D16" i="6" l="1"/>
  <c r="R26" i="6"/>
  <c r="R21" i="6"/>
  <c r="R8" i="1" s="1"/>
  <c r="C23" i="85"/>
  <c r="C29" i="85" s="1"/>
  <c r="Q49" i="85" s="1"/>
  <c r="C19" i="86"/>
  <c r="C20" i="86" s="1"/>
  <c r="C26" i="86" s="1"/>
  <c r="R23" i="6"/>
  <c r="R10" i="1" s="1"/>
  <c r="D19" i="69"/>
  <c r="D37" i="69" s="1"/>
  <c r="C37" i="69" s="1"/>
  <c r="C33" i="69" s="1"/>
  <c r="J20" i="86"/>
  <c r="J17" i="86" s="1"/>
  <c r="F63" i="86"/>
  <c r="C62" i="86" s="1"/>
  <c r="C59" i="86" s="1"/>
  <c r="C34" i="86"/>
  <c r="C31" i="86" s="1"/>
  <c r="A10" i="51"/>
  <c r="B9" i="72" s="1"/>
  <c r="C4" i="52"/>
  <c r="B45" i="72" s="1"/>
  <c r="R25" i="6"/>
  <c r="R12" i="1" s="1"/>
  <c r="D27" i="6"/>
  <c r="C10" i="68"/>
  <c r="C10" i="69"/>
  <c r="C8" i="69" s="1"/>
  <c r="R24" i="6"/>
  <c r="R11" i="1" s="1"/>
  <c r="D31" i="6"/>
  <c r="I6" i="6" s="1"/>
  <c r="E2" i="70"/>
  <c r="C19" i="84"/>
  <c r="C20" i="8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E2" i="76"/>
  <c r="B2" i="76"/>
  <c r="I69" i="39"/>
  <c r="J67" i="39"/>
  <c r="I63" i="40"/>
  <c r="H65" i="40"/>
  <c r="I58" i="21"/>
  <c r="J58" i="21" s="1"/>
  <c r="K58" i="21" s="1"/>
  <c r="L58" i="21" s="1"/>
  <c r="M58" i="21" s="1"/>
  <c r="N58" i="21" s="1"/>
  <c r="O58" i="21" s="1"/>
  <c r="H7" i="21" s="1"/>
  <c r="J48" i="35"/>
  <c r="M21" i="85"/>
  <c r="F35" i="85"/>
  <c r="C34" i="85" l="1"/>
  <c r="C31" i="85" s="1"/>
  <c r="F63" i="85"/>
  <c r="C62" i="85" s="1"/>
  <c r="C59" i="85" s="1"/>
  <c r="J20" i="85"/>
  <c r="J17" i="85" s="1"/>
  <c r="J14" i="85"/>
  <c r="J13" i="85" s="1"/>
  <c r="J23" i="85" s="1"/>
  <c r="J59" i="85"/>
  <c r="J60" i="85" s="1"/>
  <c r="Q48" i="85" s="1"/>
  <c r="C13" i="85"/>
  <c r="Q70" i="85" s="1"/>
  <c r="C36" i="85"/>
  <c r="C57" i="85"/>
  <c r="C64" i="85" s="1"/>
  <c r="C23" i="86"/>
  <c r="C29" i="86" s="1"/>
  <c r="I5" i="6"/>
  <c r="C26" i="84"/>
  <c r="C23"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56" i="85" l="1"/>
  <c r="C65" i="85" s="1"/>
  <c r="C58" i="85" s="1"/>
  <c r="C67" i="85" s="1"/>
  <c r="C68" i="85" s="1"/>
  <c r="C71" i="85" s="1"/>
  <c r="C37" i="85"/>
  <c r="C30" i="85" s="1"/>
  <c r="C39" i="85" s="1"/>
  <c r="C75" i="85"/>
  <c r="J22" i="85"/>
  <c r="J16" i="85" s="1"/>
  <c r="J25" i="85" s="1"/>
  <c r="C36" i="86"/>
  <c r="Q49" i="86"/>
  <c r="J14" i="86"/>
  <c r="J13" i="86" s="1"/>
  <c r="J23" i="86" s="1"/>
  <c r="C57" i="86"/>
  <c r="C64" i="86" s="1"/>
  <c r="J59" i="86"/>
  <c r="J60" i="86" s="1"/>
  <c r="Q48" i="86" s="1"/>
  <c r="C13" i="86"/>
  <c r="C37" i="86" s="1"/>
  <c r="C29" i="84"/>
  <c r="C13" i="84"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L51" i="85"/>
  <c r="M21" i="84"/>
  <c r="M21" i="67"/>
  <c r="F35" i="67"/>
  <c r="F35" i="15"/>
  <c r="F35" i="84"/>
  <c r="M21" i="15"/>
  <c r="C80" i="85" l="1"/>
  <c r="C79" i="85" s="1"/>
  <c r="C40" i="85"/>
  <c r="Q47" i="85" s="1"/>
  <c r="Q53" i="85" s="1"/>
  <c r="Q69" i="85"/>
  <c r="Q68" i="85" s="1"/>
  <c r="C30" i="86"/>
  <c r="C39" i="86" s="1"/>
  <c r="C75" i="86"/>
  <c r="Q70" i="86"/>
  <c r="C56" i="86"/>
  <c r="C65" i="86" s="1"/>
  <c r="C58" i="86" s="1"/>
  <c r="C67" i="86" s="1"/>
  <c r="C68" i="86" s="1"/>
  <c r="C71" i="86" s="1"/>
  <c r="J22" i="86"/>
  <c r="J16" i="86" s="1"/>
  <c r="J25" i="86" s="1"/>
  <c r="L57" i="86"/>
  <c r="L60" i="86" s="1"/>
  <c r="L46" i="86" s="1"/>
  <c r="Q67" i="85"/>
  <c r="L57" i="85"/>
  <c r="L60" i="85" s="1"/>
  <c r="L46" i="85" s="1"/>
  <c r="J14" i="84"/>
  <c r="J13" i="84" s="1"/>
  <c r="J23" i="84" s="1"/>
  <c r="C36" i="84"/>
  <c r="J59" i="84"/>
  <c r="J60" i="84" s="1"/>
  <c r="Q48" i="84" s="1"/>
  <c r="C57" i="84"/>
  <c r="C64" i="84" s="1"/>
  <c r="Q49" i="84"/>
  <c r="C56" i="84"/>
  <c r="C65" i="84" s="1"/>
  <c r="C37" i="84"/>
  <c r="C75" i="84"/>
  <c r="Q70" i="84"/>
  <c r="J20" i="84"/>
  <c r="J17" i="84" s="1"/>
  <c r="F63" i="84"/>
  <c r="C62" i="84" s="1"/>
  <c r="C59" i="84" s="1"/>
  <c r="C34" i="84"/>
  <c r="C31" i="8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6"/>
  <c r="D2" i="85" l="1"/>
  <c r="B2" i="85" s="1"/>
  <c r="Q56" i="85"/>
  <c r="Q65" i="85"/>
  <c r="C45" i="85"/>
  <c r="C46" i="85" s="1"/>
  <c r="C43" i="85"/>
  <c r="C83" i="85"/>
  <c r="C82" i="85" s="1"/>
  <c r="Q67" i="86"/>
  <c r="C80" i="86"/>
  <c r="C79" i="86" s="1"/>
  <c r="Q69" i="86"/>
  <c r="Q68" i="86" s="1"/>
  <c r="C40" i="86"/>
  <c r="C45" i="86" s="1"/>
  <c r="C46" i="86" s="1"/>
  <c r="Q66" i="86"/>
  <c r="Q57" i="86"/>
  <c r="Q66" i="85"/>
  <c r="Q57" i="85"/>
  <c r="J22" i="84"/>
  <c r="J16" i="84" s="1"/>
  <c r="J25" i="84" s="1"/>
  <c r="C30" i="84"/>
  <c r="C39" i="84" s="1"/>
  <c r="C40" i="84" s="1"/>
  <c r="C58" i="84"/>
  <c r="C67" i="84" s="1"/>
  <c r="C68" i="84" s="1"/>
  <c r="C71" i="84"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84"/>
  <c r="D2" i="21"/>
  <c r="B3" i="85" l="1"/>
  <c r="Q75" i="85"/>
  <c r="Q62" i="85"/>
  <c r="C43" i="86"/>
  <c r="Q56" i="86"/>
  <c r="Q62" i="86" s="1"/>
  <c r="Q65" i="86"/>
  <c r="Q75" i="86" s="1"/>
  <c r="Q47" i="86"/>
  <c r="Q53" i="86" s="1"/>
  <c r="C83" i="86"/>
  <c r="C82" i="86" s="1"/>
  <c r="D2" i="86"/>
  <c r="C45" i="84"/>
  <c r="C46" i="84" s="1"/>
  <c r="C80" i="84"/>
  <c r="C79" i="84" s="1"/>
  <c r="Q69" i="84"/>
  <c r="Q68" i="84" s="1"/>
  <c r="Q67" i="84"/>
  <c r="L57" i="84"/>
  <c r="L60" i="84" s="1"/>
  <c r="L46" i="84" s="1"/>
  <c r="D2" i="84" s="1"/>
  <c r="Q47" i="84"/>
  <c r="Q53" i="84" s="1"/>
  <c r="C43" i="84"/>
  <c r="Q65" i="84"/>
  <c r="Q56" i="84"/>
  <c r="C83" i="84"/>
  <c r="C82" i="84"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B2" i="86" l="1"/>
  <c r="B3" i="86"/>
  <c r="Q66" i="84"/>
  <c r="Q75" i="84" s="1"/>
  <c r="Q57" i="84"/>
  <c r="Q62" i="84" s="1"/>
  <c r="B3" i="84"/>
  <c r="B2" i="84"/>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C20" i="91"/>
  <c r="C19" i="91"/>
  <c r="C20" i="89"/>
  <c r="C19" i="89"/>
  <c r="C19" i="88"/>
  <c r="C19" i="9"/>
  <c r="D2" i="36"/>
  <c r="L51" i="15"/>
  <c r="D2" i="34"/>
  <c r="D2" i="37"/>
  <c r="D2" i="35"/>
  <c r="D102" i="9" l="1"/>
  <c r="D21" i="9"/>
  <c r="B3" i="33"/>
  <c r="C102" i="91"/>
  <c r="C21" i="91"/>
  <c r="C103" i="91"/>
  <c r="C102" i="89"/>
  <c r="C21" i="89"/>
  <c r="C103" i="89"/>
  <c r="C102" i="88"/>
  <c r="C21" i="88"/>
  <c r="D22" i="9"/>
  <c r="C102" i="9"/>
  <c r="G19" i="9"/>
  <c r="G21" i="9" s="1"/>
  <c r="C21" i="9"/>
  <c r="C8" i="71"/>
  <c r="D9" i="71"/>
  <c r="Q57" i="67"/>
  <c r="Q62" i="67" s="1"/>
  <c r="Q66" i="67"/>
  <c r="Q75" i="67" s="1"/>
  <c r="B3" i="67"/>
  <c r="L57" i="15"/>
  <c r="L60" i="15" s="1"/>
  <c r="Q57" i="15" s="1"/>
  <c r="Q67" i="15"/>
  <c r="B2" i="36"/>
  <c r="B2" i="35"/>
  <c r="M3" i="35"/>
  <c r="B2" i="37"/>
  <c r="B3" i="37" s="1"/>
  <c r="B2" i="34"/>
  <c r="Q47" i="15"/>
  <c r="Q53" i="15" s="1"/>
  <c r="C43" i="15"/>
  <c r="Q65" i="15"/>
  <c r="C83" i="15"/>
  <c r="C82" i="15" s="1"/>
  <c r="Q56" i="15"/>
  <c r="W7" i="39"/>
  <c r="AC7" i="39"/>
  <c r="V47" i="39" s="1"/>
  <c r="I47" i="39" s="1"/>
  <c r="E47" i="39"/>
  <c r="U7" i="39"/>
  <c r="AB7" i="39"/>
  <c r="T47" i="39" s="1"/>
  <c r="G47" i="39" s="1"/>
  <c r="J7" i="40"/>
  <c r="F7" i="40"/>
  <c r="H7" i="40"/>
  <c r="D19" i="91"/>
  <c r="D19" i="89"/>
  <c r="D20" i="9"/>
  <c r="D19" i="88"/>
  <c r="C20" i="88"/>
  <c r="C20" i="9"/>
  <c r="AO6" i="1"/>
  <c r="AO12" i="1"/>
  <c r="AO9" i="1"/>
  <c r="AO8" i="1"/>
  <c r="AO7" i="1"/>
  <c r="AO11" i="1"/>
  <c r="AO10" i="1"/>
  <c r="D103" i="9" l="1"/>
  <c r="D102" i="89"/>
  <c r="D21" i="89"/>
  <c r="D22" i="89"/>
  <c r="G19" i="89"/>
  <c r="G21" i="89" s="1"/>
  <c r="D21" i="91"/>
  <c r="D102" i="91"/>
  <c r="G19" i="91"/>
  <c r="G21" i="91" s="1"/>
  <c r="D22" i="91"/>
  <c r="B3" i="35"/>
  <c r="B3" i="36"/>
  <c r="D21" i="88"/>
  <c r="D102" i="88"/>
  <c r="D22" i="88"/>
  <c r="G19" i="88"/>
  <c r="G21" i="88" s="1"/>
  <c r="B3" i="34"/>
  <c r="C103" i="88"/>
  <c r="G20" i="9"/>
  <c r="C103" i="9"/>
  <c r="R48" i="39"/>
  <c r="C47" i="39" s="1"/>
  <c r="C6" i="6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9"/>
  <c r="D20" i="91"/>
  <c r="D20" i="88"/>
  <c r="D103" i="91" l="1"/>
  <c r="G20" i="91"/>
  <c r="D103" i="89"/>
  <c r="G20" i="89"/>
  <c r="C32" i="9"/>
  <c r="C35" i="9" s="1"/>
  <c r="C34" i="9" s="1"/>
  <c r="S25" i="82"/>
  <c r="D103" i="88"/>
  <c r="G20" i="88"/>
  <c r="C7" i="69"/>
  <c r="C5" i="69" s="1"/>
  <c r="C48" i="39"/>
  <c r="B63" i="39" s="1"/>
  <c r="F63" i="39" s="1"/>
  <c r="D7" i="71"/>
  <c r="C6" i="71"/>
  <c r="B2" i="70"/>
  <c r="B3" i="70" s="1"/>
  <c r="I46" i="40"/>
  <c r="J46" i="40" s="1"/>
  <c r="R43" i="40"/>
  <c r="E42" i="40"/>
  <c r="G47" i="40"/>
  <c r="H47" i="40" s="1"/>
  <c r="G46" i="40"/>
  <c r="H46" i="40" s="1"/>
  <c r="C32" i="91" l="1"/>
  <c r="C35" i="91" s="1"/>
  <c r="C34" i="91" s="1"/>
  <c r="S38" i="82"/>
  <c r="R39" i="82" s="1"/>
  <c r="R46" i="82" s="1"/>
  <c r="C32" i="88"/>
  <c r="C35" i="88" s="1"/>
  <c r="C34" i="88" s="1"/>
  <c r="S34" i="82"/>
  <c r="R35" i="82" s="1"/>
  <c r="R44" i="82" s="1"/>
  <c r="S26" i="82"/>
  <c r="S32" i="82"/>
  <c r="S33" i="82" s="1"/>
  <c r="C32" i="89"/>
  <c r="C35" i="89" s="1"/>
  <c r="C34" i="89" s="1"/>
  <c r="S27" i="82"/>
  <c r="T25" i="82"/>
  <c r="U25" i="82"/>
  <c r="U26" i="82" s="1"/>
  <c r="V25" i="82"/>
  <c r="V26" i="82" s="1"/>
  <c r="C23" i="69"/>
  <c r="C20" i="69"/>
  <c r="B56" i="39"/>
  <c r="F56" i="39" s="1"/>
  <c r="B61" i="39"/>
  <c r="F61" i="39" s="1"/>
  <c r="B59" i="39"/>
  <c r="F59" i="39" s="1"/>
  <c r="B62" i="39"/>
  <c r="F62" i="39" s="1"/>
  <c r="B60" i="39"/>
  <c r="F60" i="39" s="1"/>
  <c r="B58" i="39"/>
  <c r="F58" i="39" s="1"/>
  <c r="B64" i="39"/>
  <c r="F64" i="39" s="1"/>
  <c r="B57" i="39"/>
  <c r="F57" i="39" s="1"/>
  <c r="D6" i="71"/>
  <c r="C5" i="71"/>
  <c r="D5" i="71" s="1"/>
  <c r="M24" i="43" s="1"/>
  <c r="C42" i="40"/>
  <c r="C43" i="40"/>
  <c r="E47" i="40"/>
  <c r="F47" i="40" s="1"/>
  <c r="E46" i="40"/>
  <c r="F46" i="40" s="1"/>
  <c r="I47" i="40"/>
  <c r="J47" i="40" s="1"/>
  <c r="T44" i="82" l="1"/>
  <c r="D15" i="74"/>
  <c r="T46" i="82"/>
  <c r="D17" i="74"/>
  <c r="R28" i="82"/>
  <c r="S40" i="82"/>
  <c r="R41" i="82" s="1"/>
  <c r="T26" i="82"/>
  <c r="R26" i="82" s="1"/>
  <c r="R25" i="82" s="1"/>
  <c r="T32" i="82"/>
  <c r="T33" i="82" s="1"/>
  <c r="R33" i="82" s="1"/>
  <c r="R32" i="82" s="1"/>
  <c r="C28" i="69"/>
  <c r="C27" i="69" s="1"/>
  <c r="C25" i="69"/>
  <c r="C22" i="69" s="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E17" i="74" l="1"/>
  <c r="F17" i="74"/>
  <c r="E15" i="74"/>
  <c r="F15" i="74"/>
  <c r="R45" i="82"/>
  <c r="R43" i="82"/>
  <c r="C31" i="69"/>
  <c r="C52" i="69" s="1"/>
  <c r="C57" i="69" s="1"/>
  <c r="C56" i="69" s="1"/>
  <c r="T45" i="82" l="1"/>
  <c r="D16" i="74"/>
  <c r="D14" i="74"/>
  <c r="F14" i="74" s="1"/>
  <c r="R47" i="82"/>
  <c r="T43" i="82"/>
  <c r="B2" i="69"/>
  <c r="B6" i="74"/>
  <c r="D6" i="74" s="1"/>
  <c r="B3" i="69"/>
  <c r="E16" i="74" l="1"/>
  <c r="F16" i="74"/>
  <c r="B5" i="74"/>
  <c r="D5" i="74" s="1"/>
  <c r="E14" i="74"/>
  <c r="C5" i="74" l="1"/>
  <c r="E97" i="91"/>
  <c r="E96" i="91"/>
  <c r="C96" i="91"/>
  <c r="B47" i="72"/>
  <c r="D4" i="52"/>
  <c r="D123" i="91"/>
  <c r="D122" i="91"/>
  <c r="C86" i="88"/>
  <c r="C93" i="88"/>
  <c r="N58" i="89"/>
  <c r="P57" i="89"/>
  <c r="D119" i="91"/>
  <c r="D118" i="91"/>
  <c r="E118" i="91"/>
  <c r="E81" i="89"/>
  <c r="E80" i="89"/>
  <c r="C80" i="89"/>
  <c r="M55" i="89"/>
  <c r="D59" i="89"/>
  <c r="C86" i="9"/>
  <c r="C93" i="9"/>
  <c r="M54" i="9"/>
  <c r="D56" i="9"/>
  <c r="D58" i="9"/>
  <c r="C97" i="9"/>
  <c r="M54" i="89"/>
  <c r="D56" i="89"/>
  <c r="D58" i="89"/>
  <c r="C97" i="89"/>
  <c r="M54" i="88"/>
  <c r="D56" i="88"/>
  <c r="D58" i="88"/>
  <c r="C97" i="88"/>
  <c r="D54" i="91"/>
  <c r="C68" i="91"/>
  <c r="B32" i="72"/>
  <c r="D14" i="53"/>
  <c r="D123" i="88"/>
  <c r="D122" i="88"/>
  <c r="C73" i="91"/>
  <c r="C78" i="91"/>
  <c r="B52" i="72"/>
  <c r="G4" i="52"/>
  <c r="N61" i="89"/>
  <c r="D55" i="89"/>
  <c r="M53" i="89"/>
  <c r="N57" i="89"/>
  <c r="N59" i="89"/>
  <c r="N60" i="89"/>
  <c r="B22" i="72"/>
  <c r="D6" i="53"/>
  <c r="C86" i="89"/>
  <c r="C93" i="89"/>
  <c r="C73" i="88"/>
  <c r="C78" i="88"/>
  <c r="B48" i="72"/>
  <c r="E4" i="52"/>
  <c r="M55" i="91"/>
  <c r="C64" i="91"/>
  <c r="C63" i="91"/>
  <c r="C67" i="91"/>
  <c r="D59" i="91"/>
  <c r="C86" i="91"/>
  <c r="C93" i="91"/>
  <c r="M54" i="91"/>
  <c r="D56" i="91"/>
  <c r="D58" i="91"/>
  <c r="C85" i="91"/>
  <c r="C95" i="91"/>
  <c r="C97" i="91"/>
  <c r="D54" i="88"/>
  <c r="C68" i="88"/>
  <c r="C81" i="9"/>
  <c r="C80" i="91"/>
  <c r="E80" i="91"/>
  <c r="E81" i="91"/>
  <c r="C64" i="89"/>
  <c r="C63" i="89"/>
  <c r="C67" i="89"/>
  <c r="C68" i="89"/>
  <c r="D54" i="89"/>
  <c r="P57" i="91"/>
  <c r="N58" i="91"/>
  <c r="M48" i="89"/>
  <c r="C6" i="74"/>
  <c r="M55" i="9"/>
  <c r="D59" i="9"/>
  <c r="E81" i="9"/>
  <c r="C72" i="9"/>
  <c r="C79" i="9"/>
  <c r="C80" i="9"/>
  <c r="E80" i="9"/>
  <c r="G118" i="91"/>
  <c r="F118" i="91"/>
  <c r="F119" i="91"/>
  <c r="P57" i="9"/>
  <c r="N58" i="9"/>
  <c r="D5" i="53"/>
  <c r="B20" i="72"/>
  <c r="E97" i="9"/>
  <c r="E96" i="9"/>
  <c r="C85" i="9"/>
  <c r="C95" i="9"/>
  <c r="C96" i="9"/>
  <c r="D9" i="52"/>
  <c r="D123" i="9"/>
  <c r="F119" i="88"/>
  <c r="F118" i="88"/>
  <c r="G118" i="88"/>
  <c r="C64" i="88"/>
  <c r="C63" i="88"/>
  <c r="C67" i="88"/>
  <c r="D59" i="88"/>
  <c r="M55" i="88"/>
  <c r="H5" i="52"/>
  <c r="H119" i="9"/>
  <c r="D119" i="88"/>
  <c r="D118" i="88"/>
  <c r="E118" i="88"/>
  <c r="H108" i="9"/>
  <c r="D15" i="53"/>
  <c r="B31" i="72"/>
  <c r="B51" i="72"/>
  <c r="F4" i="52"/>
  <c r="C72" i="89"/>
  <c r="C79" i="89"/>
  <c r="C81" i="89"/>
  <c r="C80" i="88"/>
  <c r="E80" i="88"/>
  <c r="E81" i="88"/>
  <c r="N61" i="91"/>
  <c r="D55" i="91"/>
  <c r="M53" i="91"/>
  <c r="N57" i="91"/>
  <c r="N59" i="91"/>
  <c r="N60" i="91"/>
  <c r="C73" i="89"/>
  <c r="C78" i="89"/>
  <c r="H108" i="89"/>
  <c r="D122" i="9"/>
  <c r="D8" i="52"/>
  <c r="C73" i="9"/>
  <c r="C78" i="9"/>
  <c r="M48" i="91"/>
  <c r="H119" i="89"/>
  <c r="C104" i="89"/>
  <c r="E118" i="9"/>
  <c r="D118" i="9"/>
  <c r="D119" i="9"/>
  <c r="D5" i="52"/>
  <c r="B49" i="72"/>
  <c r="H4" i="52"/>
  <c r="C104" i="9"/>
  <c r="C105" i="89"/>
  <c r="H102" i="89"/>
  <c r="C105" i="9"/>
  <c r="I4" i="52"/>
  <c r="C85" i="89"/>
  <c r="C95" i="89"/>
  <c r="C96" i="89"/>
  <c r="E96" i="89"/>
  <c r="E97" i="89"/>
  <c r="N58" i="88"/>
  <c r="P57" i="88"/>
  <c r="N61" i="88"/>
  <c r="D55" i="88"/>
  <c r="M53" i="88"/>
  <c r="N57" i="88"/>
  <c r="N59" i="88"/>
  <c r="N60" i="88"/>
  <c r="M48" i="88"/>
  <c r="M48" i="9"/>
  <c r="C105" i="91"/>
  <c r="H102" i="91"/>
  <c r="H107" i="89"/>
  <c r="D122" i="89"/>
  <c r="D123" i="89"/>
  <c r="C72" i="88"/>
  <c r="C79" i="88"/>
  <c r="C81" i="88"/>
  <c r="H102" i="88"/>
  <c r="C105" i="88"/>
  <c r="N61" i="9"/>
  <c r="D55" i="9"/>
  <c r="M53" i="9"/>
  <c r="N57" i="9"/>
  <c r="N59" i="9"/>
  <c r="N60" i="9"/>
  <c r="H107" i="91"/>
  <c r="H108" i="91"/>
  <c r="E118" i="89"/>
  <c r="D118" i="89"/>
  <c r="D119" i="89"/>
  <c r="D52" i="9"/>
  <c r="D53" i="9"/>
  <c r="H119" i="88"/>
  <c r="C104" i="88"/>
  <c r="C104" i="91"/>
  <c r="H119" i="91"/>
  <c r="D53" i="89"/>
  <c r="I118" i="89"/>
  <c r="H118" i="89"/>
  <c r="H101" i="89"/>
  <c r="D45" i="89"/>
  <c r="D52" i="89"/>
  <c r="H102" i="9"/>
  <c r="D7" i="53"/>
  <c r="B21" i="72"/>
  <c r="D45" i="9"/>
  <c r="C64" i="9"/>
  <c r="C63" i="9"/>
  <c r="C67" i="9"/>
  <c r="C68" i="9"/>
  <c r="D54" i="9"/>
  <c r="C72" i="91"/>
  <c r="C79" i="91"/>
  <c r="C81" i="91"/>
  <c r="D52" i="91"/>
  <c r="I118" i="91"/>
  <c r="H118" i="91"/>
  <c r="H101" i="91"/>
  <c r="D45" i="91"/>
  <c r="D53" i="91"/>
  <c r="G118" i="89"/>
  <c r="F118" i="89"/>
  <c r="F119" i="89"/>
  <c r="I118" i="9"/>
  <c r="H118" i="9"/>
  <c r="H101" i="9"/>
  <c r="H107" i="9"/>
  <c r="D13" i="53"/>
  <c r="B30" i="72"/>
  <c r="G118" i="9"/>
  <c r="F118" i="9"/>
  <c r="F119" i="9"/>
  <c r="F5" i="52"/>
  <c r="B53" i="72"/>
  <c r="D53" i="88"/>
  <c r="D52" i="88"/>
  <c r="D45" i="88"/>
  <c r="C85" i="88"/>
  <c r="C95" i="88"/>
  <c r="C96" i="88"/>
  <c r="E96" i="88"/>
  <c r="E97" i="88"/>
  <c r="I118" i="88"/>
  <c r="H118" i="88"/>
  <c r="H101" i="88"/>
  <c r="H107" i="88"/>
  <c r="H108"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AA5ADBD-8C01-4A6C-90DC-1F4BFF512FB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117C8BA-D007-4F79-B268-78FCDB52F7A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0D7E474-35B3-4B8D-8942-C725AECD5BF1}">
      <text>
        <r>
          <rPr>
            <sz val="11"/>
            <color indexed="81"/>
            <rFont val="宋体"/>
            <family val="3"/>
            <charset val="134"/>
          </rPr>
          <t>需在下方列示计算过程</t>
        </r>
        <r>
          <rPr>
            <sz val="9"/>
            <color indexed="81"/>
            <rFont val="宋体"/>
            <family val="3"/>
            <charset val="134"/>
          </rPr>
          <t xml:space="preserve">
</t>
        </r>
      </text>
    </comment>
    <comment ref="H75" authorId="2" shapeId="0" xr:uid="{B9DE6554-8C63-4602-8AA6-26A0DB82B44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11C702-8EA3-4EF2-A131-0A0411F008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85DB638-5E07-440E-B5AA-37093D1F68D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8487773-995B-49A8-942C-AACE5ACDCCB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E230A85-C768-4069-B46E-415215B8A162}">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F6A5794-6C0F-45E9-8764-ABE8A35119F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A8883B7-599A-42A2-A0F1-4ED9C8D42C2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00EDC93-A15C-4152-B6AB-2BB3495020B4}">
      <text>
        <r>
          <rPr>
            <sz val="11"/>
            <color indexed="81"/>
            <rFont val="宋体"/>
            <family val="3"/>
            <charset val="134"/>
          </rPr>
          <t>需在下方列示计算过程</t>
        </r>
        <r>
          <rPr>
            <sz val="9"/>
            <color indexed="81"/>
            <rFont val="宋体"/>
            <family val="3"/>
            <charset val="134"/>
          </rPr>
          <t xml:space="preserve">
</t>
        </r>
      </text>
    </comment>
    <comment ref="H75" authorId="2" shapeId="0" xr:uid="{D9D07A1D-FC5F-467C-94FE-0BEBF08496B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5352A6-360E-4184-BDFF-3D8DD5FFA37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84CF84-4F74-4C10-B7DA-4C6FFC377EE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BEEE757-44E3-4B7A-9D86-001DBEC96D9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5C27210-BC4E-450C-A668-FC7DBDCC7F4D}">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30634FC-8EBE-49E8-AEE9-9608473B63B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A22C68B-79A5-4FFA-B926-BF81E068582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E503C7-4570-444A-B70F-A89AE2E3A33F}">
      <text>
        <r>
          <rPr>
            <sz val="11"/>
            <color indexed="81"/>
            <rFont val="宋体"/>
            <family val="3"/>
            <charset val="134"/>
          </rPr>
          <t>需在下方列示计算过程</t>
        </r>
        <r>
          <rPr>
            <sz val="9"/>
            <color indexed="81"/>
            <rFont val="宋体"/>
            <family val="3"/>
            <charset val="134"/>
          </rPr>
          <t xml:space="preserve">
</t>
        </r>
      </text>
    </comment>
    <comment ref="H75" authorId="2" shapeId="0" xr:uid="{0C1AC02C-4DDD-4658-8A35-A3C3A1452E8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9D6DEE9-7D52-4004-8AA1-E688C2B1282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AE910D8-FACC-4C9C-84ED-C023A8CDB43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BEBBB005-7A82-43AB-82A0-14E1817ADDF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338F56-9622-4C41-BC6C-A68D85577E35}">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<sst xmlns="http://schemas.openxmlformats.org/spreadsheetml/2006/main" count="17855" uniqueCount="4927">
  <si>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</si>
  <si>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</si>
  <si>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</si>
  <si>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</si>
  <si>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</si>
  <si>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</si>
  <si>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</si>
  <si>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</si>
  <si>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</si>
  <si>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</si>
  <si>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</si>
  <si>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</si>
  <si>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</si>
  <si>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</si>
  <si>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</si>
  <si>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</si>
  <si>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</si>
  <si>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</si>
  <si>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</si>
  <si>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</si>
  <si>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</si>
  <si>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</si>
  <si>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</si>
  <si>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</si>
  <si>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</si>
  <si>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</si>
  <si>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</si>
  <si>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</si>
  <si>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</si>
  <si>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</si>
  <si>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</si>
  <si>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</si>
  <si>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</si>
  <si>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</si>
  <si>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</si>
  <si>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</si>
  <si>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</si>
  <si>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</si>
  <si>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</si>
  <si>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</si>
  <si>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</si>
  <si>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</si>
  <si>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</si>
  <si>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</si>
  <si>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</si>
  <si>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</si>
  <si>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</si>
  <si>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</si>
  <si>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</si>
  <si>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</si>
  <si>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</si>
  <si>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</si>
  <si>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</si>
  <si>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</si>
  <si>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</si>
  <si>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</si>
  <si>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</si>
  <si>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</si>
  <si>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</si>
  <si>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</si>
  <si>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</si>
  <si>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</si>
  <si>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</si>
  <si>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</si>
  <si>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</si>
  <si>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</si>
  <si>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</si>
  <si>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</si>
  <si>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</si>
  <si>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</si>
  <si>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</si>
  <si>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</si>
  <si>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</si>
  <si>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</si>
  <si>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</si>
  <si>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</si>
  <si>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</si>
  <si>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</si>
  <si>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</si>
  <si>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</si>
  <si>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</si>
  <si>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</si>
  <si>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</si>
  <si>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</si>
  <si>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</si>
  <si>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</si>
  <si>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</si>
  <si>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</si>
  <si>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</si>
  <si>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</si>
  <si>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</si>
  <si>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</si>
  <si>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</si>
  <si>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</si>
  <si>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</si>
  <si>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</si>
  <si>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</si>
  <si>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</si>
  <si>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</si>
  <si>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</si>
  <si>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</si>
  <si>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</si>
  <si>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</si>
  <si>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</si>
  <si>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</si>
  <si>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</si>
  <si>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</si>
  <si>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</si>
  <si>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</si>
  <si>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</si>
  <si>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</si>
  <si>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</si>
  <si>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</si>
  <si>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</si>
  <si>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</si>
  <si>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</si>
  <si>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</si>
  <si>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</si>
  <si>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</si>
  <si>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</si>
  <si>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</si>
  <si>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</si>
  <si>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</si>
  <si>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</si>
  <si>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</si>
  <si>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</si>
  <si>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</si>
  <si>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</si>
  <si>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</si>
  <si>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</si>
  <si>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</si>
  <si>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</si>
  <si>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</si>
  <si>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</si>
  <si>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</si>
  <si>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</si>
  <si>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</si>
  <si>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</si>
  <si>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</si>
  <si>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</si>
  <si>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</si>
  <si>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</si>
  <si>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</si>
  <si>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</si>
  <si>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</si>
  <si>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</si>
  <si>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</si>
  <si>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</si>
  <si>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</si>
  <si>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</si>
  <si>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</si>
  <si>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</si>
  <si>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</si>
  <si>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</si>
  <si>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</si>
  <si>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</si>
  <si>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</si>
  <si>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</si>
  <si>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</si>
  <si>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</si>
  <si>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</si>
  <si>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</si>
  <si>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</si>
  <si>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</si>
  <si>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</si>
  <si>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</si>
  <si>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</si>
  <si>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</si>
  <si>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</si>
  <si>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</si>
  <si>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</si>
  <si>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</si>
  <si>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</si>
  <si>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</si>
  <si>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</si>
  <si>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</si>
  <si>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</si>
  <si>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</si>
  <si>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</si>
  <si>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</si>
  <si>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</si>
  <si>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</si>
  <si>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</si>
  <si>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</si>
  <si>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</si>
  <si>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</si>
  <si>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</si>
  <si>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</si>
  <si>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</si>
  <si>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</si>
  <si>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</si>
  <si>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</si>
  <si>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</si>
  <si>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</si>
  <si>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</si>
  <si>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</si>
  <si>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</si>
  <si>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</si>
  <si>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</si>
  <si>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</si>
  <si>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</si>
  <si>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</si>
  <si>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</si>
  <si>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</si>
  <si>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</si>
  <si>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</si>
  <si>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</si>
  <si>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</si>
  <si>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</si>
  <si>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</si>
  <si>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</si>
  <si>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</si>
  <si>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</si>
  <si>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</si>
  <si>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</si>
  <si>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</si>
  <si>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</si>
  <si>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</si>
  <si>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</si>
  <si>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</si>
  <si>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</si>
  <si>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</si>
  <si>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</si>
  <si>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</si>
  <si>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</si>
  <si>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</si>
  <si>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</si>
  <si>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</si>
  <si>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</si>
  <si>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</si>
  <si>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</si>
  <si>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</si>
  <si>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</si>
  <si>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</si>
  <si>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</si>
  <si>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</si>
  <si>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</si>
  <si>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</si>
  <si>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</si>
  <si>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</si>
  <si>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</si>
  <si>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</si>
  <si>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</si>
  <si>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</si>
  <si>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</si>
  <si>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</si>
  <si>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</si>
  <si>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</si>
  <si>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</si>
  <si>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</si>
  <si>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</si>
  <si>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</si>
  <si>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</si>
  <si>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</si>
  <si>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</si>
  <si>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</si>
  <si>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</si>
  <si>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</si>
  <si>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</si>
  <si>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</si>
  <si>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</si>
  <si>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</si>
  <si>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</si>
  <si>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</si>
  <si>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</si>
  <si>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</si>
  <si>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</si>
  <si>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</si>
  <si>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</si>
  <si>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</si>
  <si>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</si>
  <si>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</si>
  <si>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</si>
  <si>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</si>
  <si>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</si>
  <si>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</si>
  <si>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</si>
  <si>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</si>
  <si>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</si>
  <si>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</si>
  <si>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</si>
  <si>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</si>
  <si>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</si>
  <si>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</si>
  <si>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</si>
  <si>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</si>
  <si>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</si>
  <si>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</si>
  <si>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</si>
  <si>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</si>
  <si>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</si>
  <si>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</si>
  <si>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</si>
  <si>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</si>
  <si>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</si>
  <si>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</si>
  <si>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</si>
  <si>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</si>
  <si>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</si>
  <si>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</si>
  <si>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</si>
  <si>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</si>
  <si>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</si>
  <si>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</si>
  <si>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</si>
  <si>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</si>
  <si>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</si>
  <si>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</si>
  <si>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</si>
  <si>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</si>
  <si>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</si>
  <si>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</si>
  <si>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</si>
  <si>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</si>
  <si>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</si>
  <si>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</si>
  <si>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</si>
  <si>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</si>
  <si>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</si>
  <si>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</si>
  <si>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</si>
  <si>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</si>
  <si>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</si>
  <si>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</si>
  <si>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</si>
  <si>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</si>
  <si>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</si>
  <si>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</si>
  <si>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</si>
  <si>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</si>
  <si>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</si>
  <si>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</si>
  <si>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</si>
  <si>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</si>
  <si>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</si>
  <si>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</si>
  <si>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</si>
  <si>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</si>
  <si>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</si>
  <si>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</si>
  <si>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</si>
  <si>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</si>
  <si>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</si>
  <si>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</si>
  <si>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</si>
  <si>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</si>
  <si>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</si>
  <si>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</si>
  <si>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</si>
  <si>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</si>
  <si>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</si>
  <si>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</si>
  <si>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</si>
  <si>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</si>
  <si>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</si>
  <si>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</si>
  <si>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</si>
  <si>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</si>
  <si>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</si>
  <si>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</si>
  <si>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</si>
  <si>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</si>
  <si>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</si>
  <si>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</si>
  <si>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</si>
  <si>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</si>
  <si>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</si>
  <si>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</si>
  <si>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</si>
  <si>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</si>
  <si>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</si>
  <si>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</si>
  <si>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</si>
  <si>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</si>
  <si>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</si>
  <si>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</si>
  <si>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</si>
  <si>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</si>
  <si>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</si>
  <si>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</si>
  <si>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</si>
  <si>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</si>
  <si>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</si>
  <si>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</si>
  <si>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</si>
  <si>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</si>
  <si>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</si>
  <si>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</si>
  <si>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</si>
  <si>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</si>
  <si>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</si>
  <si>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</si>
  <si>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</si>
  <si>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</si>
  <si>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</si>
  <si>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</si>
  <si>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</si>
  <si>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</si>
  <si>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</si>
  <si>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</si>
  <si>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</si>
  <si>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</si>
  <si>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</si>
  <si>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</si>
  <si>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</si>
  <si>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</si>
  <si>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</si>
  <si>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</si>
  <si>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</si>
  <si>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</si>
  <si>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</si>
  <si>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</si>
  <si>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</si>
  <si>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</si>
  <si>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</si>
  <si>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</si>
  <si>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</si>
  <si>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</si>
  <si>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</si>
  <si>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</si>
  <si>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</si>
  <si>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</si>
  <si>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</si>
  <si>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</si>
  <si>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</si>
  <si>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</si>
  <si>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</si>
  <si>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</si>
  <si>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</si>
  <si>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</si>
  <si>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</si>
  <si>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</si>
  <si>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</si>
  <si>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</si>
  <si>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</si>
  <si>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</si>
  <si>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</si>
  <si>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</si>
  <si>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</si>
  <si>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</si>
  <si>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</si>
  <si>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</si>
  <si>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</si>
  <si>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</si>
  <si>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</si>
  <si>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</si>
  <si>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</si>
  <si>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</si>
  <si>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</si>
  <si>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</si>
  <si>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</si>
  <si>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</si>
  <si>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</si>
  <si>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</si>
  <si>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</si>
  <si>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</si>
  <si>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</si>
  <si>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</si>
  <si>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</si>
  <si>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</si>
  <si>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</si>
  <si>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</si>
  <si>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</si>
  <si>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</si>
  <si>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</si>
  <si>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</si>
  <si>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</si>
  <si>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</si>
  <si>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</si>
  <si>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</si>
  <si>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</si>
  <si>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</si>
  <si>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</si>
  <si>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</si>
  <si>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</si>
  <si>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</si>
  <si>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</si>
  <si>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</si>
  <si>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</si>
  <si>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</si>
  <si>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</si>
  <si>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</si>
  <si>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</si>
  <si>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</si>
  <si>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</si>
  <si>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</si>
  <si>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</si>
  <si>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</si>
  <si>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</si>
  <si>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</si>
  <si>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</si>
  <si>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</si>
  <si>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</si>
  <si>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</si>
  <si>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</si>
  <si>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</si>
  <si>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</si>
  <si>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</si>
  <si>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</si>
  <si>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</si>
  <si>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</si>
  <si>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</si>
  <si>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</si>
  <si>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</si>
  <si>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</si>
  <si>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</si>
  <si>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</si>
  <si>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</si>
  <si>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</si>
  <si>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</si>
  <si>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</si>
  <si>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</si>
  <si>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</si>
  <si>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</si>
  <si>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</si>
  <si>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</si>
  <si>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</si>
  <si>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</si>
  <si>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</si>
  <si>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</si>
  <si>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</si>
  <si>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</si>
  <si>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</si>
  <si>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</si>
  <si>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</si>
  <si>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</si>
  <si>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</si>
  <si>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</si>
  <si>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</si>
  <si>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</si>
  <si>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</si>
  <si>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</si>
  <si>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</si>
  <si>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</si>
  <si>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</si>
  <si>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</si>
  <si>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</si>
  <si>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</si>
  <si>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</si>
  <si>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</si>
  <si>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</si>
  <si>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</si>
  <si>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</si>
  <si>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</si>
  <si>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</si>
  <si>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</si>
  <si>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</si>
  <si>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</si>
  <si>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</si>
  <si>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</si>
  <si>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</si>
  <si>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</si>
  <si>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</si>
  <si>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</si>
  <si>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</si>
  <si>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</si>
  <si>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</si>
  <si>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</si>
  <si>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</si>
  <si>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</si>
  <si>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</si>
  <si>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</si>
  <si>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</si>
  <si>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</si>
  <si>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</si>
  <si>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</si>
  <si>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</si>
  <si>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</si>
  <si>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</si>
  <si>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</si>
  <si>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</si>
  <si>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</si>
  <si>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</si>
  <si>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</si>
  <si>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</si>
  <si>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</si>
  <si>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</si>
  <si>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</si>
  <si>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</si>
  <si>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</si>
  <si>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</si>
  <si>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</si>
  <si>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</si>
  <si>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</si>
  <si>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</si>
  <si>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</si>
  <si>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</si>
  <si>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</si>
  <si>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</si>
  <si>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</si>
  <si>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</si>
  <si>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</si>
  <si>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</si>
  <si>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</si>
  <si>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</si>
  <si>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</si>
  <si>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</si>
  <si>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</si>
  <si>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</si>
  <si>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</si>
  <si>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</si>
  <si>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</si>
  <si>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</si>
  <si>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</si>
  <si>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</si>
  <si>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</si>
  <si>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</si>
  <si>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</si>
  <si>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</si>
  <si>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</si>
  <si>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</si>
  <si>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</si>
  <si>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</si>
  <si>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</si>
  <si>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</si>
  <si>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</si>
  <si>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</si>
  <si>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</si>
  <si>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</si>
  <si>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</si>
  <si>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</si>
  <si>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</si>
  <si>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</si>
  <si>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</si>
  <si>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</si>
  <si>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</si>
  <si>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</si>
  <si>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</si>
  <si>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</si>
  <si>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</si>
  <si>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</si>
  <si>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</si>
  <si>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</si>
  <si>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</si>
  <si>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</si>
  <si>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</si>
  <si>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</si>
  <si>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</si>
  <si>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</si>
  <si>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</si>
  <si>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</si>
  <si>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</si>
  <si>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</si>
  <si>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</si>
  <si>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</si>
  <si>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</si>
  <si>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</si>
  <si>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</si>
  <si>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</si>
  <si>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</si>
  <si>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</si>
  <si>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</si>
  <si>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</si>
  <si>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</si>
  <si>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</si>
  <si>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</si>
  <si>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</si>
  <si>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</si>
  <si>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</si>
  <si>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</si>
  <si>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</si>
  <si>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</si>
  <si>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</si>
  <si>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</si>
  <si>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</si>
  <si>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</si>
  <si>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</si>
  <si>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</si>
  <si>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</si>
  <si>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</si>
  <si>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</si>
  <si>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</si>
  <si>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</si>
  <si>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</si>
  <si>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</si>
  <si>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</si>
  <si>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</si>
  <si>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</si>
  <si>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</si>
  <si>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</si>
  <si>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</si>
  <si>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</si>
  <si>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</si>
  <si>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</si>
  <si>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</si>
  <si>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</si>
  <si>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</si>
  <si>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</si>
  <si>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</si>
  <si>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</si>
  <si>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</si>
  <si>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</si>
  <si>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</si>
  <si>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</si>
  <si>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</si>
  <si>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</si>
  <si>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</si>
  <si>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</si>
  <si>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</si>
  <si>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</si>
  <si>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</si>
  <si>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</si>
  <si>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</si>
  <si>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</si>
  <si>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</si>
  <si>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</si>
  <si>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</si>
  <si>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</si>
  <si>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</si>
  <si>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</si>
  <si>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</si>
  <si>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</si>
  <si>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</si>
  <si>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</si>
  <si>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</si>
  <si>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</si>
  <si>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</si>
  <si>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</si>
  <si>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</si>
  <si>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</si>
  <si>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</si>
  <si>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</si>
  <si>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</si>
  <si>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</si>
  <si>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</si>
  <si>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</si>
  <si>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</si>
  <si>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</si>
  <si>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</si>
  <si>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</si>
  <si>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</si>
  <si>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</si>
  <si>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</si>
  <si>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</si>
  <si>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</si>
  <si>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</si>
  <si>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</si>
  <si>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</si>
  <si>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</si>
  <si>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</si>
  <si>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</si>
  <si>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</si>
  <si>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</si>
  <si>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</si>
  <si>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</si>
  <si>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</si>
  <si>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</si>
  <si>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</si>
  <si>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</si>
  <si>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</si>
  <si>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</si>
  <si>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</si>
  <si>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</si>
  <si>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</si>
  <si>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</si>
  <si>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</si>
  <si>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</si>
  <si>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</si>
  <si>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</si>
  <si>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</si>
  <si>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</si>
  <si>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</si>
  <si>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</si>
  <si>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</si>
  <si>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</si>
  <si>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</si>
  <si>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</si>
  <si>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</si>
  <si>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</si>
  <si>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</si>
  <si>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</si>
  <si>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</si>
  <si>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</si>
  <si>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</si>
  <si>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</si>
  <si>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</si>
  <si>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</si>
  <si>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</si>
  <si>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</si>
  <si>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</si>
  <si>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</si>
  <si>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</si>
  <si>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</si>
  <si>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</si>
  <si>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</si>
  <si>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</si>
  <si>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</si>
  <si>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</si>
  <si>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</si>
  <si>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</si>
  <si>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</si>
  <si>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</si>
  <si>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</si>
  <si>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</si>
  <si>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</si>
  <si>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</si>
  <si>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</si>
  <si>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</si>
  <si>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</si>
  <si>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</si>
  <si>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</si>
  <si>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</si>
  <si>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</si>
  <si>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</si>
  <si>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</si>
  <si>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</si>
  <si>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</si>
  <si>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</si>
  <si>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</si>
  <si>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</si>
  <si>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</si>
  <si>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</si>
  <si>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</si>
  <si>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</si>
  <si>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</si>
  <si>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</si>
  <si>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</si>
  <si>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</si>
  <si>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</si>
  <si>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</si>
  <si>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</si>
  <si>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</si>
  <si>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</si>
  <si>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</si>
  <si>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</si>
  <si>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</si>
  <si>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</si>
  <si>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</si>
  <si>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</si>
  <si>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</si>
  <si>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</si>
  <si>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</si>
  <si>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</si>
  <si>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</si>
  <si>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</si>
  <si>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</si>
  <si>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</si>
  <si>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</si>
  <si>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</si>
  <si>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</si>
  <si>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</si>
  <si>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</si>
  <si>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</si>
  <si>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</si>
  <si>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</si>
  <si>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</si>
  <si>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</si>
  <si>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</si>
  <si>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</si>
  <si>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</si>
  <si>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</si>
  <si>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</si>
  <si>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</si>
  <si>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</si>
  <si>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</si>
  <si>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</si>
  <si>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</si>
  <si>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</si>
  <si>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</si>
  <si>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</si>
  <si>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</si>
  <si>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</si>
  <si>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</si>
  <si>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</si>
  <si>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</si>
  <si>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</si>
  <si>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</si>
  <si>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</si>
  <si>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</si>
  <si>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</si>
  <si>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</si>
  <si>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</si>
  <si>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</si>
  <si>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</si>
  <si>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</si>
  <si>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</si>
  <si>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</si>
  <si>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</si>
  <si>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</si>
  <si>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</si>
  <si>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</si>
  <si>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</si>
  <si>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</si>
  <si>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</si>
  <si>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</si>
  <si>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</si>
  <si>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</si>
  <si>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</si>
  <si>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</si>
  <si>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</si>
  <si>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</si>
  <si>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</si>
  <si>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</si>
  <si>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</si>
  <si>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</si>
  <si>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</si>
  <si>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</si>
  <si>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</si>
  <si>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</si>
  <si>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</si>
  <si>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</si>
  <si>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</si>
  <si>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</si>
  <si>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</si>
  <si>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</si>
  <si>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</si>
  <si>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</si>
  <si>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</si>
  <si>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</si>
  <si>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</si>
  <si>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</si>
  <si>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</si>
  <si>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</si>
  <si>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</si>
  <si>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</si>
  <si>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</si>
  <si>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</si>
  <si>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</si>
  <si>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</si>
  <si>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</si>
  <si>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</si>
  <si>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</si>
  <si>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</si>
  <si>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</si>
  <si>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</si>
  <si>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</si>
  <si>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</si>
  <si>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</si>
  <si>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</si>
  <si>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</si>
  <si>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</si>
  <si>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</si>
  <si>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</si>
  <si>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</si>
  <si>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</si>
  <si>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</si>
  <si>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</si>
  <si>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</si>
  <si>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</si>
  <si>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</si>
  <si>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</si>
  <si>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</si>
  <si>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</si>
  <si>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</si>
  <si>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</si>
  <si>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</si>
  <si>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</si>
  <si>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</si>
  <si>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</si>
  <si>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</si>
  <si>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</si>
  <si>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</si>
  <si>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</si>
  <si>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</si>
  <si>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</si>
  <si>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</si>
  <si>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</si>
  <si>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</si>
  <si>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</si>
  <si>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</si>
  <si>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</si>
  <si>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</si>
  <si>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</si>
  <si>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</si>
  <si>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</si>
  <si>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</si>
  <si>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</si>
  <si>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</si>
  <si>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</si>
  <si>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</si>
  <si>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</si>
  <si>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</si>
  <si>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</si>
  <si>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</si>
  <si>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</si>
  <si>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</si>
  <si>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</si>
  <si>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</si>
  <si>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</si>
  <si>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</si>
  <si>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</si>
  <si>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</si>
  <si>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</si>
  <si>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</si>
  <si>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</si>
  <si>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</si>
  <si>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</si>
  <si>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</si>
  <si>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</si>
  <si>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</si>
  <si>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</si>
  <si>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</si>
  <si>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</si>
  <si>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</si>
  <si>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</si>
  <si>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</si>
  <si>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</si>
  <si>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</si>
  <si>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</si>
  <si>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</si>
  <si>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</si>
  <si>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</si>
  <si>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</si>
  <si>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</si>
  <si>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</si>
  <si>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</si>
  <si>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</si>
  <si>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</si>
  <si>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</si>
  <si>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</si>
  <si>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</si>
  <si>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</si>
  <si>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</si>
  <si>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</si>
  <si>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</si>
  <si>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</si>
  <si>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</si>
  <si>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</si>
  <si>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</si>
  <si>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</si>
  <si>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</si>
  <si>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</si>
  <si>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</si>
  <si>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</si>
  <si>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</si>
  <si>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</si>
  <si>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</si>
  <si>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</si>
  <si>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</si>
  <si>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</si>
  <si>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</si>
  <si>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</si>
  <si>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</si>
  <si>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</si>
  <si>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</si>
  <si>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</si>
  <si>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</si>
  <si>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</si>
  <si>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</si>
  <si>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</si>
  <si>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</si>
  <si>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</si>
  <si>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</si>
  <si>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</si>
  <si>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</si>
  <si>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</si>
  <si>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</si>
  <si>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</si>
  <si>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</si>
  <si>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</si>
  <si>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</si>
  <si>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</si>
  <si>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</si>
  <si>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</si>
  <si>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</si>
  <si>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</si>
  <si>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</si>
  <si>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</si>
  <si>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</si>
  <si>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</si>
  <si>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</si>
  <si>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</si>
  <si>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</si>
  <si>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</si>
  <si>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</si>
  <si>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</si>
  <si>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</si>
  <si>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</si>
  <si>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</si>
  <si>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</si>
  <si>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</si>
  <si>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</si>
  <si>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</si>
  <si>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</si>
  <si>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</si>
  <si>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</si>
  <si>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</si>
  <si>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</si>
  <si>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</si>
  <si>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</si>
  <si>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</si>
  <si>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</si>
  <si>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</si>
  <si>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</si>
  <si>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</si>
  <si>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</si>
  <si>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</si>
  <si>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</si>
  <si>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</si>
  <si>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</si>
  <si>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</si>
  <si>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</si>
  <si>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</si>
  <si>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</si>
  <si>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</si>
  <si>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</si>
  <si>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</si>
  <si>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</si>
  <si>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</si>
  <si>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</si>
  <si>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</si>
  <si>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</si>
  <si>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</si>
  <si>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</si>
  <si>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</si>
  <si>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</si>
  <si>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</si>
  <si>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</si>
  <si>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</si>
  <si>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</si>
  <si>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</si>
  <si>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</si>
  <si>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</si>
  <si>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</si>
  <si>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</si>
  <si>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</si>
  <si>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</si>
  <si>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</si>
  <si>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</si>
  <si>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</si>
  <si>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</si>
  <si>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</si>
  <si>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</si>
  <si>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</si>
  <si>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</si>
  <si>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</si>
  <si>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</si>
  <si>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</si>
  <si>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</si>
  <si>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</si>
  <si>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</si>
  <si>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</si>
  <si>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</si>
  <si>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</si>
  <si>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</si>
  <si>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</si>
  <si>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</si>
  <si>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</si>
  <si>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</si>
  <si>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</si>
  <si>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</si>
  <si>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</si>
  <si>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</si>
  <si>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</si>
  <si>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</si>
  <si>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</si>
  <si>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</si>
  <si>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</si>
  <si>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</si>
  <si>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</si>
  <si>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</si>
  <si>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</si>
  <si>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</si>
  <si>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</si>
  <si>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</si>
  <si>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</si>
  <si>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</si>
  <si>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</si>
  <si>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</si>
  <si>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</si>
  <si>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</si>
  <si>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</si>
  <si>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</si>
  <si>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</si>
  <si>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</si>
  <si>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</si>
  <si>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</si>
  <si>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</si>
  <si>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</si>
  <si>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</si>
  <si>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</si>
  <si>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</si>
  <si>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</si>
  <si>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</si>
  <si>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</si>
  <si>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</si>
  <si>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</si>
  <si>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</si>
  <si>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</si>
  <si>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</si>
  <si>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</si>
  <si>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</si>
  <si>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</si>
  <si>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</si>
  <si>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</si>
  <si>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</si>
  <si>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</si>
  <si>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</si>
  <si>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</si>
  <si>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</si>
  <si>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</si>
  <si>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</si>
  <si>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</si>
  <si>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</si>
  <si>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</si>
  <si>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</si>
  <si>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</si>
  <si>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</si>
  <si>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</si>
  <si>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</si>
  <si>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</si>
  <si>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</si>
  <si>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</si>
  <si>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</si>
  <si>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</si>
  <si>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</si>
  <si>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</si>
  <si>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</si>
  <si>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</si>
  <si>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</si>
  <si>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</si>
  <si>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</si>
  <si>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</si>
  <si>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</si>
  <si>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</si>
  <si>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</si>
  <si>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</si>
  <si>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</si>
  <si>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</si>
  <si>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</si>
  <si>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</si>
  <si>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</si>
  <si>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</si>
  <si>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</si>
  <si>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</si>
  <si>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</si>
  <si>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</si>
  <si>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</si>
  <si>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</si>
  <si>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</si>
  <si>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</si>
  <si>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</si>
  <si>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</si>
  <si>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</si>
  <si>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</si>
  <si>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</si>
  <si>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</si>
  <si>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</si>
  <si>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</si>
  <si>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</si>
  <si>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</si>
  <si>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</si>
  <si>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</si>
  <si>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</si>
  <si>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</si>
  <si>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</si>
  <si>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</si>
  <si>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</si>
  <si>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</si>
  <si>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</si>
  <si>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</si>
  <si>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</si>
  <si>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</si>
  <si>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</si>
  <si>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</si>
  <si>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</si>
  <si>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</si>
  <si>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</si>
  <si>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</si>
  <si>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</si>
  <si>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</si>
  <si>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</si>
  <si>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</si>
  <si>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</si>
  <si>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</si>
  <si>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</si>
  <si>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</si>
  <si>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</si>
  <si>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</si>
  <si>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</si>
  <si>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</si>
  <si>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</si>
  <si>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</si>
  <si>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</si>
  <si>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</si>
  <si>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</si>
  <si>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</si>
  <si>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</si>
  <si>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</si>
  <si>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</si>
  <si>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</si>
  <si>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</si>
  <si>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</si>
  <si>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</si>
  <si>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</si>
  <si>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</si>
  <si>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</si>
  <si>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</si>
  <si>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</si>
  <si>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</si>
  <si>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</si>
  <si>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</si>
  <si>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</si>
  <si>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</si>
  <si>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</si>
  <si>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</si>
  <si>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</si>
  <si>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</si>
  <si>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</si>
  <si>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</si>
  <si>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</si>
  <si>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</si>
  <si>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</si>
  <si>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</si>
  <si>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</si>
  <si>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</si>
  <si>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</si>
  <si>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</si>
  <si>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</si>
  <si>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</si>
  <si>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</si>
  <si>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</si>
  <si>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</si>
  <si>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</si>
  <si>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</si>
  <si>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</si>
  <si>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</si>
  <si>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</si>
  <si>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</si>
  <si>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</si>
  <si>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</si>
  <si>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</si>
  <si>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</si>
  <si>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</si>
  <si>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</si>
  <si>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</si>
  <si>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</si>
  <si>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</si>
  <si>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</si>
  <si>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</si>
  <si>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</si>
  <si>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</si>
  <si>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</si>
  <si>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</si>
  <si>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</si>
  <si>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</si>
  <si>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</si>
  <si>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</si>
  <si>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</si>
  <si>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</si>
  <si>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</si>
  <si>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</si>
  <si>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</si>
  <si>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</si>
  <si>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</si>
  <si>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</si>
  <si>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</si>
  <si>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</si>
  <si>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</si>
  <si>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</si>
  <si>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</si>
  <si>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</si>
  <si>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</si>
  <si>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</si>
  <si>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</si>
  <si>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</si>
  <si>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</si>
  <si>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</si>
  <si>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</si>
  <si>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</si>
  <si>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</si>
  <si>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</si>
  <si>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</si>
  <si>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</si>
  <si>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</si>
  <si>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</si>
  <si>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</si>
  <si>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</si>
  <si>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</si>
  <si>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</si>
  <si>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</si>
  <si>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</si>
  <si>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</si>
  <si>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</si>
  <si>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</si>
  <si>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</si>
  <si>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</si>
  <si>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</si>
  <si>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</si>
  <si>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</si>
  <si>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</si>
  <si>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</si>
  <si>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</si>
  <si>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</si>
  <si>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</si>
  <si>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</si>
  <si>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</si>
  <si>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</si>
  <si>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</si>
  <si>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</si>
  <si>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</si>
  <si>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</si>
  <si>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</si>
  <si>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</si>
  <si>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</si>
  <si>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</si>
  <si>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</si>
  <si>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</si>
  <si>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</si>
  <si>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</si>
  <si>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</si>
  <si>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</si>
  <si>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</si>
  <si>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</si>
  <si>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</si>
  <si>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</si>
  <si>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</si>
  <si>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</si>
  <si>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</si>
  <si>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</si>
  <si>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</si>
  <si>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</si>
  <si>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</si>
  <si>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</si>
  <si>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</si>
  <si>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</si>
  <si>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</si>
  <si>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</si>
  <si>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</si>
  <si>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</si>
  <si>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</si>
  <si>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</si>
  <si>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</si>
  <si>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</si>
  <si>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</si>
  <si>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</si>
  <si>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</si>
  <si>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</si>
  <si>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</si>
  <si>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</si>
  <si>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</si>
  <si>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</si>
  <si>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</si>
  <si>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</si>
  <si>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</si>
  <si>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</si>
  <si>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</si>
  <si>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</si>
  <si>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</si>
  <si>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</si>
  <si>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</si>
  <si>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</si>
  <si>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</si>
  <si>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</si>
  <si>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</si>
  <si>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</si>
  <si>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</si>
  <si>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</si>
  <si>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</si>
  <si>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</si>
  <si>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</si>
  <si>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</si>
  <si>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</si>
  <si>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</si>
  <si>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</si>
  <si>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</si>
  <si>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</si>
  <si>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</si>
  <si>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</si>
  <si>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</si>
  <si>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</si>
  <si>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</si>
  <si>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</si>
  <si>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</si>
  <si>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</si>
  <si>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</si>
  <si>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</si>
  <si>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</si>
  <si>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</si>
  <si>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</si>
  <si>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</si>
  <si>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</si>
  <si>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</si>
  <si>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</si>
  <si>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</si>
  <si>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</si>
  <si>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</si>
  <si>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</si>
  <si>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</si>
  <si>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</si>
  <si>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</si>
  <si>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</si>
  <si>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</si>
  <si>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</si>
  <si>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</si>
  <si>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</si>
  <si>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</si>
  <si>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</si>
  <si>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</si>
  <si>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</si>
  <si>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</si>
  <si>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</si>
  <si>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</si>
  <si>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</si>
  <si>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</si>
  <si>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</si>
  <si>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</si>
  <si>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</si>
  <si>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</si>
  <si>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</si>
  <si>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</si>
  <si>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</si>
  <si>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</si>
  <si>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</si>
  <si>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</si>
  <si>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</si>
  <si>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</si>
  <si>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</si>
  <si>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</si>
  <si>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</si>
  <si>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</si>
  <si>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</si>
  <si>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</si>
  <si>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</si>
  <si>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</si>
  <si>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</si>
  <si>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</si>
  <si>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</si>
  <si>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</si>
  <si>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</si>
  <si>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</si>
  <si>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</si>
  <si>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</si>
  <si>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</si>
  <si>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</si>
  <si>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</si>
  <si>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</si>
  <si>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</si>
  <si>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</si>
  <si>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</si>
  <si>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</si>
  <si>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</si>
  <si>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</si>
  <si>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</si>
  <si>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</si>
  <si>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</si>
  <si>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</si>
  <si>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</si>
  <si>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</si>
  <si>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</si>
  <si>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</si>
  <si>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</si>
  <si>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</si>
  <si>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</si>
  <si>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</si>
  <si>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</si>
  <si>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</si>
  <si>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</si>
  <si>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</si>
  <si>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</si>
  <si>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</si>
  <si>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</si>
  <si>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</si>
  <si>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</si>
  <si>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</si>
  <si>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</si>
  <si>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</si>
  <si>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</si>
  <si>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</si>
  <si>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</si>
  <si>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</si>
  <si>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</si>
  <si>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</si>
  <si>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</si>
  <si>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</si>
  <si>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</si>
  <si>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</si>
  <si>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</si>
  <si>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</si>
  <si>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</si>
  <si>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</si>
  <si>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</si>
  <si>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</si>
  <si>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</si>
  <si>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</si>
  <si>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</si>
  <si>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</si>
  <si>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</si>
  <si>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</si>
  <si>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</si>
  <si>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</si>
  <si>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</si>
  <si>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</si>
  <si>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</si>
  <si>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</si>
  <si>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</si>
  <si>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</si>
  <si>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</si>
  <si>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</si>
  <si>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</si>
  <si>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</si>
  <si>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</si>
  <si>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</si>
  <si>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</si>
  <si>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</si>
  <si>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</si>
  <si>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</si>
  <si>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</si>
  <si>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</si>
  <si>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</si>
  <si>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</si>
  <si>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</si>
  <si>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</si>
  <si>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</si>
  <si>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</si>
  <si>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</si>
  <si>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</si>
  <si>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</si>
  <si>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</si>
  <si>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</si>
  <si>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</si>
  <si>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</si>
  <si>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</si>
  <si>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</si>
  <si>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</si>
  <si>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</si>
  <si>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</si>
  <si>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</si>
  <si>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</si>
  <si>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</si>
  <si>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</si>
  <si>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</si>
  <si>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</si>
  <si>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</si>
  <si>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</si>
  <si>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</si>
  <si>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</si>
  <si>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</si>
  <si>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</si>
  <si>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</si>
  <si>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</si>
  <si>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</si>
  <si>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</si>
  <si>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</si>
  <si>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</si>
  <si>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</si>
  <si>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</si>
  <si>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</si>
  <si>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</si>
  <si>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</si>
  <si>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</si>
  <si>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</si>
  <si>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</si>
  <si>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</si>
  <si>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</si>
  <si>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</si>
  <si>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</si>
  <si>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</si>
  <si>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</si>
  <si>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</si>
  <si>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</si>
  <si>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</si>
  <si>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</si>
  <si>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</si>
  <si>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</si>
  <si>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</si>
  <si>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</si>
  <si>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</si>
  <si>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</si>
  <si>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</si>
  <si>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</si>
  <si>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</si>
  <si>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</si>
  <si>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</si>
  <si>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</si>
  <si>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</si>
  <si>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</si>
  <si>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</si>
  <si>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</si>
  <si>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</si>
  <si>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</si>
  <si>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</si>
  <si>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</si>
  <si>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</si>
  <si>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</si>
  <si>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</si>
  <si>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</si>
  <si>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</si>
  <si>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</si>
  <si>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</si>
  <si>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</si>
  <si>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</si>
  <si>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</si>
  <si>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</si>
  <si>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</si>
  <si>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</si>
  <si>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</si>
  <si>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</si>
  <si>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</si>
  <si>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</si>
  <si>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</si>
  <si>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</si>
  <si>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</si>
  <si>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</si>
  <si>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</si>
  <si>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</si>
  <si>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</si>
  <si>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</si>
  <si>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</si>
  <si>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</si>
  <si>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</si>
  <si>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</si>
  <si>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</si>
  <si>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</si>
  <si>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</si>
  <si>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</si>
  <si>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</si>
  <si>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</si>
  <si>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</si>
  <si>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</si>
  <si>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</si>
  <si>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</si>
  <si>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</si>
  <si>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</si>
  <si>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</si>
  <si>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</si>
  <si>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</si>
  <si>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</si>
  <si>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</si>
  <si>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</si>
  <si>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</si>
  <si>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</si>
  <si>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</si>
  <si>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</si>
  <si>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</si>
  <si>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</si>
  <si>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</si>
  <si>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</si>
  <si>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</si>
  <si>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</si>
  <si>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</si>
  <si>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</si>
  <si>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</si>
  <si>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</si>
  <si>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</si>
  <si>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</si>
  <si>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</si>
  <si>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</si>
  <si>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</si>
  <si>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</si>
  <si>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</si>
  <si>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</si>
  <si>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</si>
  <si>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</si>
  <si>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</si>
  <si>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</si>
  <si>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</si>
  <si>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</si>
  <si>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</si>
  <si>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</si>
  <si>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</si>
  <si>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</si>
  <si>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</si>
  <si>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</si>
  <si>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</si>
  <si>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</si>
  <si>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</si>
  <si>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</si>
  <si>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</si>
  <si>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</si>
  <si>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</si>
  <si>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</si>
  <si>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</si>
  <si>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</si>
  <si>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</si>
  <si>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</si>
  <si>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</si>
  <si>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</si>
  <si>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</si>
  <si>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</si>
  <si>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</si>
  <si>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</si>
  <si>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</si>
  <si>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</si>
  <si>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</si>
  <si>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</si>
  <si>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</si>
  <si>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</si>
  <si>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</si>
  <si>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</si>
  <si>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</si>
  <si>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</si>
  <si>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</si>
  <si>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</si>
  <si>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</si>
  <si>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</si>
  <si>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</si>
  <si>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</si>
  <si>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</si>
  <si>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</si>
  <si>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</si>
  <si>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</si>
  <si>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</si>
  <si>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</si>
  <si>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</si>
  <si>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</si>
  <si>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</si>
  <si>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</si>
  <si>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</si>
  <si>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</si>
  <si>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</si>
  <si>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</si>
  <si>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</si>
  <si>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</si>
  <si>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</si>
  <si>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</si>
  <si>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</si>
  <si>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</si>
  <si>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</si>
  <si>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</si>
  <si>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</si>
  <si>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</si>
  <si>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</si>
  <si>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</si>
  <si>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</si>
  <si>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</si>
  <si>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</si>
  <si>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</si>
  <si>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</si>
  <si>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</si>
  <si>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</si>
  <si>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</si>
  <si>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</si>
  <si>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</si>
  <si>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</si>
  <si>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</si>
  <si>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</si>
  <si>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</si>
  <si>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</si>
  <si>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</si>
  <si>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</si>
  <si>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</si>
  <si>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</si>
  <si>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</si>
  <si>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</si>
  <si>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</si>
  <si>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</si>
  <si>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</si>
  <si>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</si>
  <si>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</si>
  <si>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</si>
  <si>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</si>
  <si>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</si>
  <si>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</si>
  <si>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</si>
  <si>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</si>
  <si>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</si>
  <si>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</si>
  <si>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</si>
  <si>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</si>
  <si>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</si>
  <si>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</si>
  <si>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</si>
  <si>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</si>
  <si>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</si>
  <si>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</si>
  <si>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</si>
  <si>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</si>
  <si>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</si>
  <si>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</si>
  <si>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</si>
  <si>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</si>
  <si>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</si>
  <si>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</si>
  <si>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</si>
  <si>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</si>
  <si>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</si>
  <si>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</si>
  <si>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</si>
  <si>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</si>
  <si>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</si>
  <si>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</si>
  <si>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</si>
  <si>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</si>
  <si>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</si>
  <si>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</si>
  <si>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</si>
  <si>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</si>
  <si>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</si>
  <si>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</si>
  <si>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</si>
  <si>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</si>
  <si>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</si>
  <si>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</si>
  <si>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</si>
  <si>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</si>
  <si>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</si>
  <si>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</si>
  <si>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</si>
  <si>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</si>
  <si>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</si>
  <si>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</si>
  <si>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</si>
  <si>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</si>
  <si>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</si>
  <si>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</si>
  <si>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</si>
  <si>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</si>
  <si>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</si>
  <si>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</si>
  <si>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</si>
  <si>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</si>
  <si>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</si>
  <si>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</si>
  <si>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</si>
  <si>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</si>
  <si>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</si>
  <si>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</si>
  <si>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</si>
  <si>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</si>
  <si>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</si>
  <si>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</si>
  <si>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</si>
  <si>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</si>
  <si>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</si>
  <si>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</si>
  <si>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</si>
  <si>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</si>
  <si>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</si>
  <si>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</si>
  <si>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</si>
  <si>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</si>
  <si>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</si>
  <si>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</si>
  <si>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</si>
  <si>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</si>
  <si>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</si>
  <si>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</si>
  <si>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</si>
  <si>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</si>
  <si>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</si>
  <si>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</si>
  <si>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</si>
  <si>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</si>
  <si>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</si>
  <si>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</si>
  <si>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</si>
  <si>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</si>
  <si>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</si>
  <si>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</si>
  <si>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</si>
  <si>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</si>
  <si>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</si>
  <si>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</si>
  <si>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</si>
  <si>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</si>
  <si>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</si>
  <si>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</si>
  <si>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</si>
  <si>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</si>
  <si>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</si>
  <si>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</si>
  <si>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</si>
  <si>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</si>
  <si>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</si>
  <si>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</si>
  <si>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</si>
  <si>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</si>
  <si>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</si>
  <si>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</si>
  <si>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</si>
  <si>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</si>
  <si>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</si>
  <si>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</si>
  <si>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</si>
  <si>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</si>
  <si>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</si>
  <si>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</si>
  <si>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</si>
  <si>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</si>
  <si>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</si>
  <si>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</si>
  <si>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</si>
  <si>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</si>
  <si>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</si>
  <si>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</si>
  <si>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</si>
  <si>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</si>
  <si>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</si>
  <si>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</si>
  <si>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</si>
  <si>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</si>
  <si>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</si>
  <si>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</si>
  <si>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</si>
  <si>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</si>
  <si>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</si>
  <si>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</si>
  <si>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</si>
  <si>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</si>
  <si>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</si>
  <si>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</si>
  <si>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</si>
  <si>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</si>
  <si>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</si>
  <si>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</si>
  <si>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</si>
  <si>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</si>
  <si>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</si>
  <si>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</si>
  <si>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</si>
  <si>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</si>
  <si>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</si>
  <si>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</si>
  <si>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</si>
  <si>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</si>
  <si>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</si>
  <si>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</si>
  <si>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</si>
  <si>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</si>
  <si>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</si>
  <si>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</si>
  <si>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</si>
  <si>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</si>
  <si>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</si>
  <si>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</si>
  <si>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</si>
  <si>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</si>
  <si>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</si>
  <si>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</si>
  <si>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</si>
  <si>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</si>
  <si>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</si>
  <si>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</si>
  <si>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</si>
  <si>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</si>
  <si>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</si>
  <si>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</si>
  <si>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</si>
  <si>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</si>
  <si>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</si>
  <si>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</si>
  <si>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</si>
  <si>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</si>
  <si>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</si>
  <si>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</si>
  <si>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</si>
  <si>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</si>
  <si>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</si>
  <si>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</si>
  <si>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</si>
  <si>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</si>
  <si>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</si>
  <si>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</si>
  <si>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</si>
  <si>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</si>
  <si>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</si>
  <si>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</si>
  <si>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</si>
  <si>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</si>
  <si>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</si>
  <si>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</si>
  <si>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</si>
  <si>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</si>
  <si>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</si>
  <si>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</si>
  <si>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</si>
  <si>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</si>
  <si>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</si>
  <si>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</si>
  <si>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</si>
  <si>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</si>
  <si>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</si>
  <si>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</si>
  <si>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</si>
  <si>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</si>
  <si>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</si>
  <si>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</si>
  <si>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</si>
  <si>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</si>
  <si>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</si>
  <si>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</si>
  <si>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</si>
  <si>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</si>
  <si>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</si>
  <si>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</si>
  <si>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</si>
  <si>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</si>
  <si>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</si>
  <si>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</si>
  <si>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</si>
  <si>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</si>
  <si>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</si>
  <si>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</si>
  <si>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</si>
  <si>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</si>
  <si>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</si>
  <si>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</si>
  <si>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</si>
  <si>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</si>
  <si>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</si>
  <si>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</si>
  <si>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</si>
  <si>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</si>
  <si>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</si>
  <si>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</si>
  <si>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</si>
  <si>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</si>
  <si>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</si>
  <si>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</si>
  <si>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</si>
  <si>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</si>
  <si>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</si>
  <si>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</si>
  <si>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</si>
  <si>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</si>
  <si>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</si>
  <si>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</si>
  <si>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</si>
  <si>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</si>
  <si>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</si>
  <si>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</si>
  <si>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</si>
  <si>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</si>
  <si>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</si>
  <si>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</si>
  <si>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</si>
  <si>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</si>
  <si>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</si>
  <si>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</si>
  <si>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</si>
  <si>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</si>
  <si>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</si>
  <si>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</si>
  <si>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</si>
  <si>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</si>
  <si>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</si>
  <si>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</si>
  <si>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</si>
  <si>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</si>
  <si>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</si>
  <si>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</si>
  <si>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</si>
  <si>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</si>
  <si>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</si>
  <si>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</si>
  <si>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</si>
  <si>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</si>
  <si>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</si>
  <si>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</si>
  <si>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</si>
  <si>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</si>
  <si>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</si>
  <si>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</si>
  <si>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</si>
  <si>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</si>
  <si>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</si>
  <si>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</si>
  <si>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</si>
  <si>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</si>
  <si>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</si>
  <si>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</si>
  <si>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</si>
  <si>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</si>
  <si>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</si>
  <si>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</si>
  <si>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</si>
  <si>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</si>
  <si>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</si>
  <si>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</si>
  <si>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</si>
  <si>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</si>
  <si>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</si>
  <si>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</si>
  <si>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</si>
  <si>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</si>
  <si>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</si>
  <si>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</si>
  <si>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</si>
  <si>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</si>
  <si>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</si>
  <si>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</si>
  <si>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</si>
  <si>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</si>
  <si>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</si>
  <si>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</si>
  <si>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</si>
  <si>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</si>
  <si>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</si>
  <si>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</si>
  <si>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</si>
  <si>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</si>
  <si>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</si>
  <si>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</si>
  <si>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</si>
  <si>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</si>
  <si>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</si>
  <si>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</si>
  <si>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</si>
  <si>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</si>
  <si>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</si>
  <si>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</si>
  <si>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</si>
  <si>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</si>
  <si>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</si>
  <si>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</si>
  <si>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</si>
  <si>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</si>
  <si>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</si>
  <si>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</si>
  <si>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</si>
  <si>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</si>
  <si>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</si>
  <si>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</si>
  <si>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</si>
  <si>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</si>
  <si>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</si>
  <si>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</si>
  <si>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</si>
  <si>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</si>
  <si>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</si>
  <si>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</si>
  <si>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</si>
  <si>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</si>
  <si>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</si>
  <si>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</si>
  <si>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</si>
  <si>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</si>
  <si>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</si>
  <si>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</si>
  <si>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</si>
  <si>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</si>
  <si>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</si>
  <si>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</si>
  <si>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</si>
  <si>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</si>
  <si>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</si>
  <si>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</si>
  <si>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</si>
  <si>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</si>
  <si>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</si>
  <si>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</si>
  <si>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</si>
  <si>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</si>
  <si>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</si>
  <si>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</si>
  <si>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</si>
  <si>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</si>
  <si>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</si>
  <si>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</si>
  <si>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</si>
  <si>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</si>
  <si>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</si>
  <si>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</si>
  <si>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</si>
  <si>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</si>
  <si>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</si>
  <si>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</si>
  <si>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</si>
  <si>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</si>
  <si>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</si>
  <si>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</si>
  <si>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</si>
  <si>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</si>
  <si>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</si>
  <si>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</si>
  <si>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</si>
  <si>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</si>
  <si>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</si>
  <si>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</si>
  <si>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</si>
  <si>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</si>
  <si>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</si>
  <si>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</si>
  <si>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</si>
  <si>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</si>
  <si>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</si>
  <si>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</si>
  <si>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</si>
  <si>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</si>
  <si>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</si>
  <si>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</si>
  <si>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</si>
  <si>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</si>
  <si>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</si>
  <si>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</si>
  <si>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</si>
  <si>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</si>
  <si>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</si>
  <si>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</si>
  <si>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</si>
  <si>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</si>
  <si>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</si>
  <si>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</si>
  <si>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</si>
  <si>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</si>
  <si>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</si>
  <si>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</si>
  <si>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</si>
  <si>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</si>
  <si>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</si>
  <si>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</si>
  <si>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</si>
  <si>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</si>
  <si>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</si>
  <si>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</si>
  <si>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</si>
  <si>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</si>
  <si>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</si>
  <si>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</si>
  <si>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</si>
  <si>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</si>
  <si>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</si>
  <si>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</si>
  <si>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</si>
  <si>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</si>
  <si>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</si>
  <si>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</si>
  <si>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</si>
  <si>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</si>
  <si>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</si>
  <si>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</si>
  <si>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</si>
  <si>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</si>
  <si>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</si>
  <si>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</si>
  <si>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</si>
  <si>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</si>
  <si>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</si>
  <si>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</si>
  <si>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</si>
  <si>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</si>
  <si>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</si>
  <si>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</si>
  <si>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</si>
  <si>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</si>
  <si>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</si>
  <si>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</si>
  <si>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</si>
  <si>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</si>
  <si>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</si>
  <si>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</si>
  <si>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</si>
  <si>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</si>
  <si>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</si>
  <si>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</si>
  <si>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</si>
  <si>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</si>
  <si>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</si>
  <si>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</si>
  <si>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</si>
  <si>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</si>
  <si>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</si>
  <si>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</si>
  <si>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</si>
  <si>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</si>
  <si>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</si>
  <si>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</si>
  <si>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</si>
  <si>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</si>
  <si>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</si>
  <si>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</si>
  <si>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</si>
  <si>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</si>
  <si>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</si>
  <si>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</si>
  <si>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</si>
  <si>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</si>
  <si>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</si>
  <si>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</si>
  <si>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</si>
  <si>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</si>
  <si>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</si>
  <si>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</si>
  <si>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</si>
  <si>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</si>
  <si>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</si>
  <si>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</si>
  <si>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</si>
  <si>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</si>
  <si>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</si>
  <si>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</si>
  <si>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</si>
  <si>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</si>
  <si>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</si>
  <si>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</si>
  <si>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</si>
  <si>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</si>
  <si>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</si>
  <si>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</si>
  <si>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</si>
  <si>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</si>
  <si>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</si>
  <si>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</si>
  <si>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</si>
  <si>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</si>
  <si>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</si>
  <si>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</si>
  <si>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</si>
  <si>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</si>
  <si>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</si>
  <si>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</si>
  <si>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</si>
  <si>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</si>
  <si>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</si>
  <si>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</si>
  <si>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</si>
  <si>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</si>
  <si>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</si>
  <si>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</si>
  <si>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</si>
  <si>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</si>
  <si>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</si>
  <si>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</si>
  <si>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</si>
  <si>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</si>
  <si>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</si>
  <si>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</si>
  <si>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</si>
  <si>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</si>
  <si>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</si>
  <si>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</si>
  <si>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</si>
  <si>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</si>
  <si>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</si>
  <si>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</si>
  <si>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</si>
  <si>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</si>
  <si>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</si>
  <si>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</si>
  <si>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</si>
  <si>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</si>
  <si>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</si>
  <si>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</si>
  <si>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</si>
  <si>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</si>
  <si>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</si>
  <si>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</si>
  <si>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</si>
  <si>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</si>
  <si>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</si>
  <si>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</si>
  <si>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</si>
  <si>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</si>
  <si>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</si>
  <si>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</si>
  <si>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</si>
  <si>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</si>
  <si>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</si>
  <si>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</si>
  <si>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</si>
  <si>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</si>
  <si>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</si>
  <si>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</si>
  <si>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</si>
  <si>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</si>
  <si>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</si>
  <si>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</si>
  <si>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</si>
  <si>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</si>
  <si>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</si>
  <si>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</si>
  <si>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</si>
  <si>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</si>
  <si>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</si>
  <si>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</si>
  <si>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</si>
  <si>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</si>
  <si>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</si>
  <si>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</si>
  <si>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</si>
  <si>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</si>
  <si>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</si>
  <si>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</si>
  <si>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</si>
  <si>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</si>
  <si>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</si>
  <si>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</si>
  <si>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</si>
  <si>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</si>
  <si>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</si>
  <si>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</si>
  <si>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</si>
  <si>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</si>
  <si>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</si>
  <si>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</si>
  <si>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</si>
  <si>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</si>
  <si>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</si>
  <si>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</si>
  <si>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</si>
  <si>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</si>
  <si>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</si>
  <si>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</si>
  <si>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</si>
  <si>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</si>
  <si>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</si>
  <si>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</si>
  <si>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</si>
  <si>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</si>
  <si>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</si>
  <si>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</si>
  <si>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</si>
  <si>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</si>
  <si>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</si>
  <si>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</si>
  <si>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</si>
  <si>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</si>
  <si>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</si>
  <si>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</si>
  <si>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</si>
  <si>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</si>
  <si>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</si>
  <si>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</si>
  <si>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</si>
  <si>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</si>
  <si>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</si>
  <si>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</si>
  <si>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</si>
  <si>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</si>
  <si>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</si>
  <si>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</si>
  <si>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</si>
  <si>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</si>
  <si>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</si>
  <si>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</si>
  <si>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</si>
  <si>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</si>
  <si>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</si>
  <si>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</si>
  <si>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</si>
  <si>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</si>
  <si>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</si>
  <si>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</si>
  <si>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</si>
  <si>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</si>
  <si>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</si>
  <si>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</si>
  <si>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</si>
  <si>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</si>
  <si>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</si>
  <si>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</si>
  <si>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</si>
  <si>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</si>
  <si>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</si>
  <si>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</si>
  <si>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</si>
  <si>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</si>
  <si>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</si>
  <si>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</si>
  <si>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</si>
  <si>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</si>
  <si>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</si>
  <si>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</si>
  <si>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</si>
  <si>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</si>
  <si>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</si>
  <si>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</si>
  <si>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</si>
  <si>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</si>
  <si>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</si>
  <si>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</si>
  <si>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</si>
  <si>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</si>
  <si>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</si>
  <si>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</si>
  <si>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</si>
  <si>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</si>
  <si>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</si>
  <si>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</si>
  <si>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</si>
  <si>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</si>
  <si>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</si>
  <si>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</si>
  <si>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</si>
  <si>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</si>
  <si>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</si>
  <si>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</si>
  <si>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</si>
  <si>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</si>
  <si>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</si>
  <si>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</si>
  <si>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</si>
  <si>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</si>
  <si>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</si>
  <si>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</si>
  <si>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</si>
  <si>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</si>
  <si>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</si>
  <si>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</si>
  <si>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</si>
  <si>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</si>
  <si>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</si>
  <si>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</si>
  <si>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</si>
  <si>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</si>
  <si>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</si>
  <si>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</si>
  <si>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</si>
  <si>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</si>
  <si>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</si>
  <si>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</si>
  <si>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</si>
  <si>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</si>
  <si>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</si>
  <si>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</si>
  <si>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</si>
  <si>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</si>
  <si>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</si>
  <si>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</si>
  <si>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</si>
  <si>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</si>
  <si>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</si>
  <si>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</si>
  <si>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</si>
  <si>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</si>
  <si>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</si>
  <si>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</si>
  <si>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</si>
  <si>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</si>
  <si>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</si>
  <si>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</si>
  <si>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</si>
  <si>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</si>
  <si>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</si>
  <si>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</si>
  <si>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</si>
  <si>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</si>
  <si>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</si>
  <si>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</si>
  <si>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</si>
  <si>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</si>
  <si>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</si>
  <si>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</si>
  <si>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</si>
  <si>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</si>
  <si>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</si>
  <si>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</si>
  <si>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</si>
  <si>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</si>
  <si>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</si>
  <si>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</si>
  <si>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</si>
  <si>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</si>
  <si>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</si>
  <si>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</si>
  <si>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</si>
  <si>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</si>
  <si>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</si>
  <si>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</si>
  <si>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</si>
  <si>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</si>
  <si>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</si>
  <si>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</si>
  <si>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</si>
  <si>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</si>
  <si>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</si>
  <si>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</si>
  <si>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</si>
  <si>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</si>
  <si>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</si>
  <si>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</si>
  <si>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</si>
  <si>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</si>
  <si>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</si>
  <si>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</si>
  <si>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</si>
  <si>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</si>
  <si>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</si>
  <si>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</si>
  <si>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</si>
  <si>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</si>
  <si>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</si>
  <si>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</si>
  <si>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</si>
  <si>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</si>
  <si>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</si>
  <si>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</si>
  <si>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</si>
  <si>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</si>
  <si>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</si>
  <si>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</si>
  <si>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</si>
  <si>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</si>
  <si>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</si>
  <si>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</si>
  <si>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</si>
  <si>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</si>
  <si>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</si>
  <si>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</si>
  <si>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</si>
  <si>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</si>
  <si>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</si>
  <si>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</si>
  <si>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</si>
  <si>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</si>
  <si>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</si>
  <si>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</si>
  <si>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</si>
  <si>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</si>
  <si>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</si>
  <si>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</si>
  <si>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</si>
  <si>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</si>
  <si>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</si>
  <si>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</si>
  <si>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</si>
  <si>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</si>
  <si>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</si>
  <si>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</si>
  <si>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</si>
  <si>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</si>
  <si>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</si>
  <si>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</si>
  <si>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</si>
  <si>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</si>
  <si>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</si>
  <si>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</si>
  <si>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</si>
  <si>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</si>
  <si>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</si>
  <si>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</si>
  <si>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</si>
  <si>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</si>
  <si>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</si>
  <si>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</si>
  <si>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</si>
  <si>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</si>
  <si>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</si>
  <si>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</si>
  <si>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</si>
  <si>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</si>
  <si>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</si>
  <si>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</si>
  <si>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</si>
  <si>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</si>
  <si>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</si>
  <si>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</si>
  <si>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</si>
  <si>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</si>
  <si>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</si>
  <si>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</si>
  <si>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</si>
  <si>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</si>
  <si>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</si>
  <si>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</si>
  <si>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</si>
  <si>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</si>
  <si>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</si>
  <si>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</si>
  <si>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</si>
  <si>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</si>
  <si>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</si>
  <si>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</si>
  <si>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</si>
  <si>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</si>
  <si>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</si>
  <si>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</si>
  <si>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</si>
  <si>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</si>
  <si>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</si>
  <si>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</si>
  <si>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</si>
  <si>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</si>
  <si>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</si>
  <si>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</si>
  <si>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</si>
  <si>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</si>
  <si>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</si>
  <si>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</si>
  <si>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</si>
  <si>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</si>
  <si>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</si>
  <si>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</si>
  <si>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</si>
  <si>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</si>
  <si>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</si>
  <si>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</si>
  <si>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</si>
  <si>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</si>
  <si>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</si>
  <si>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</si>
  <si>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</si>
  <si>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</si>
  <si>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</si>
  <si>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</si>
  <si>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</si>
  <si>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</si>
  <si>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</si>
  <si>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</si>
  <si>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</si>
  <si>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</si>
  <si>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</si>
  <si>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</si>
  <si>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</si>
  <si>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</si>
  <si>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</si>
  <si>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</si>
  <si>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</si>
  <si>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</si>
  <si>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</si>
  <si>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</si>
  <si>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</si>
  <si>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</si>
  <si>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</si>
  <si>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</si>
  <si>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</si>
  <si>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</si>
  <si>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</si>
  <si>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</si>
  <si>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</si>
  <si>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</si>
  <si>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</si>
  <si>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</si>
  <si>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</si>
  <si>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</si>
  <si>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</si>
  <si>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</si>
  <si>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</si>
  <si>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</si>
  <si>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</si>
  <si>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</si>
  <si>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</si>
  <si>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</si>
  <si>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</si>
  <si>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</si>
  <si>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</si>
  <si>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</si>
  <si>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</si>
  <si>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</si>
  <si>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</si>
  <si>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</si>
  <si>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</si>
  <si>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</si>
  <si>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</si>
  <si>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</si>
  <si>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</si>
  <si>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</si>
  <si>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</si>
  <si>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</si>
  <si>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</si>
  <si>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</si>
  <si>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</si>
  <si>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</si>
  <si>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</si>
  <si>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</si>
  <si>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</si>
  <si>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</si>
  <si>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</si>
  <si>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</si>
  <si>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</si>
  <si>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</si>
  <si>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</si>
  <si>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</si>
  <si>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</si>
  <si>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</si>
  <si>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</si>
  <si>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</si>
  <si>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</si>
  <si>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</si>
  <si>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</si>
  <si>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</si>
  <si>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</si>
  <si>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</si>
  <si>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</si>
  <si>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</si>
  <si>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</si>
  <si>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</si>
  <si>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</si>
  <si>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</si>
  <si>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</si>
  <si>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</si>
  <si>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</si>
  <si>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</si>
  <si>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</si>
  <si>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</si>
  <si>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</si>
  <si>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</si>
  <si>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</si>
  <si>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</si>
  <si>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</si>
  <si>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</si>
  <si>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</si>
  <si>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</si>
  <si>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</si>
  <si>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</si>
  <si>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</si>
  <si>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</si>
  <si>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</si>
  <si>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</si>
  <si>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</si>
  <si>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</si>
  <si>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</si>
  <si>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</si>
  <si>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</si>
  <si>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</si>
  <si>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</si>
  <si>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</si>
  <si>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</si>
  <si>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</si>
  <si>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</si>
  <si>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</si>
  <si>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</si>
  <si>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</si>
  <si>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</si>
  <si>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</si>
  <si>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</si>
  <si>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</si>
  <si>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</si>
  <si>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</si>
  <si>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</si>
  <si>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</si>
  <si>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</si>
  <si>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</si>
  <si>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</si>
  <si>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</si>
  <si>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</si>
  <si>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</si>
  <si>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</si>
  <si>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</si>
  <si>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</si>
  <si>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</si>
  <si>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</si>
  <si>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</si>
  <si>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</si>
  <si>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</si>
  <si>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</si>
  <si>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</si>
  <si>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</si>
  <si>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</si>
  <si>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</si>
  <si>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</si>
  <si>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</si>
  <si>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</si>
  <si>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</si>
  <si>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</si>
  <si>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</si>
  <si>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</si>
  <si>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</si>
  <si>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</si>
  <si>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</si>
  <si>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</si>
  <si>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</si>
  <si>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</si>
  <si>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</si>
  <si>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</si>
  <si>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</si>
  <si>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</si>
  <si>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</si>
  <si>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</si>
  <si>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</si>
  <si>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</si>
  <si>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</si>
  <si>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</si>
  <si>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</si>
  <si>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</si>
  <si>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</si>
  <si>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</si>
  <si>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</si>
  <si>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</si>
  <si>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</si>
  <si>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</si>
  <si>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</si>
  <si>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</si>
  <si>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</si>
  <si>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</si>
  <si>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</si>
  <si>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</si>
  <si>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</si>
  <si>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</si>
  <si>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</si>
  <si>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</si>
  <si>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</si>
  <si>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</si>
  <si>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</si>
  <si>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</si>
  <si>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</si>
  <si>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</si>
  <si>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</si>
  <si>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</si>
  <si>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</si>
  <si>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</si>
  <si>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</si>
  <si>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</si>
  <si>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</si>
  <si>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</si>
  <si>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</si>
  <si>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</si>
  <si>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</si>
  <si>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</si>
  <si>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</si>
  <si>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</si>
  <si>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</si>
  <si>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</si>
  <si>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</si>
  <si>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</si>
  <si>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</si>
  <si>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</si>
  <si>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</si>
  <si>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</si>
  <si>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</si>
  <si>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</si>
  <si>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</si>
  <si>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</si>
  <si>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</si>
  <si>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</si>
  <si>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</si>
  <si>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</si>
  <si>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</si>
  <si>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</si>
  <si>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</si>
  <si>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</si>
  <si>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</si>
  <si>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</si>
  <si>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</si>
  <si>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</si>
  <si>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</si>
  <si>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</si>
  <si>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</si>
  <si>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</si>
  <si>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</si>
  <si>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</si>
  <si>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</si>
  <si>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</si>
  <si>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</si>
  <si>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</si>
  <si>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</si>
  <si>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</si>
  <si>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</si>
  <si>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</si>
  <si>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</si>
  <si>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</si>
  <si>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</si>
  <si>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</si>
  <si>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</si>
  <si>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</si>
  <si>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</si>
  <si>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</si>
  <si>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</si>
  <si>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</si>
  <si>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</si>
  <si>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</si>
  <si>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</si>
  <si>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</si>
  <si>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</si>
  <si>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</si>
  <si>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</si>
  <si>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</si>
  <si>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</si>
  <si>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</si>
  <si>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</si>
  <si>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</si>
  <si>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</si>
  <si>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</si>
  <si>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</si>
  <si>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</si>
  <si>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</si>
  <si>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</si>
  <si>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</si>
  <si>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</si>
  <si>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</si>
  <si>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</si>
  <si>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</si>
  <si>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</si>
  <si>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</si>
  <si>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</si>
  <si>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</si>
  <si>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</si>
  <si>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</si>
  <si>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</si>
  <si>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</si>
  <si>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</si>
  <si>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</si>
  <si>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</si>
  <si>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</si>
  <si>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</si>
  <si>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</si>
  <si>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</si>
  <si>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</si>
  <si>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</si>
  <si>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</si>
  <si>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</si>
  <si>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</si>
  <si>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</si>
  <si>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</si>
  <si>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</si>
  <si>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</si>
  <si>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</si>
  <si>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</si>
  <si>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</si>
  <si>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</si>
  <si>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</si>
  <si>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</si>
  <si>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</si>
  <si>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</si>
  <si>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</si>
  <si>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</si>
  <si>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</si>
  <si>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</si>
  <si>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</si>
  <si>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</si>
  <si>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</si>
  <si>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</si>
  <si>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</si>
  <si>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</si>
  <si>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</si>
  <si>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</si>
  <si>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</si>
  <si>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</si>
  <si>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</si>
  <si>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</si>
  <si>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</si>
  <si>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</si>
  <si>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</si>
  <si>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</si>
  <si>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</si>
  <si>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</si>
  <si>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</si>
  <si>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</si>
  <si>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</si>
  <si>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</si>
  <si>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</si>
  <si>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</si>
  <si>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</si>
  <si>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</si>
  <si>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</si>
  <si>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</si>
  <si>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</si>
  <si>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</si>
  <si>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</si>
  <si>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</si>
  <si>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</si>
  <si>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</si>
  <si>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</si>
  <si>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</si>
  <si>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</si>
  <si>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</si>
  <si>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</si>
  <si>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</si>
  <si>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</si>
  <si>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</si>
  <si>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</si>
  <si>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</si>
  <si>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</si>
  <si>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</si>
  <si>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</si>
  <si>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</si>
  <si>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</si>
  <si>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</si>
  <si>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</si>
  <si>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</si>
  <si>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</si>
  <si>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</si>
  <si>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</si>
  <si>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</si>
  <si>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</si>
  <si>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</si>
  <si>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</si>
  <si>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</si>
  <si>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</si>
  <si>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</si>
  <si>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</si>
  <si>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</si>
  <si>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</si>
  <si>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</si>
  <si>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</si>
  <si>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</si>
  <si>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</si>
  <si>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</si>
  <si>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</si>
  <si>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</si>
  <si>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</si>
  <si>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</si>
  <si>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</si>
  <si>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</si>
  <si>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</si>
  <si>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</si>
  <si>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</si>
  <si>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</si>
  <si>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</si>
  <si>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</si>
  <si>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</si>
  <si>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</si>
  <si>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</si>
  <si>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</si>
  <si>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</si>
  <si>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</si>
  <si>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</si>
  <si>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</si>
  <si>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</si>
  <si>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</si>
  <si>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</si>
  <si>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</si>
  <si>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</si>
  <si>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</si>
  <si>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</si>
  <si>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</si>
  <si>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</si>
  <si>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</si>
  <si>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</si>
  <si>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</si>
  <si>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</si>
  <si>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</si>
  <si>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</si>
  <si>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</si>
  <si>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</si>
  <si>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</si>
  <si>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</si>
  <si>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</si>
  <si>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</si>
  <si>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</si>
  <si>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</si>
  <si>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</si>
  <si>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</si>
  <si>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</si>
  <si>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</si>
  <si>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</si>
  <si>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</si>
  <si>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</si>
  <si>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</si>
  <si>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</si>
  <si>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</si>
  <si>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</si>
  <si>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</si>
  <si>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</si>
  <si>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</si>
  <si>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</si>
  <si>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</si>
  <si>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</si>
  <si>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</si>
  <si>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</si>
  <si>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</si>
  <si>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</si>
  <si>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</si>
  <si>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</si>
  <si>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</si>
  <si>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</si>
  <si>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</si>
  <si>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</si>
  <si>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</si>
  <si>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</si>
  <si>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</si>
  <si>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</si>
  <si>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</si>
  <si>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</si>
  <si>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</si>
  <si>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</si>
  <si>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</si>
  <si>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</si>
  <si>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</si>
  <si>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</si>
  <si>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</si>
  <si>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</si>
  <si>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</si>
  <si>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</si>
  <si>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</si>
  <si>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</si>
  <si>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</si>
  <si>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</si>
  <si>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</si>
  <si>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</si>
  <si>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</si>
  <si>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</si>
  <si>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</si>
  <si>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</si>
  <si>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</si>
  <si>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</si>
  <si>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</si>
  <si>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</si>
  <si>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</si>
  <si>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</si>
  <si>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</si>
  <si>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</si>
  <si>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</si>
  <si>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</si>
  <si>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</si>
  <si>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</si>
  <si>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</si>
  <si>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</si>
  <si>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</si>
  <si>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</si>
  <si>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</si>
  <si>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</si>
  <si>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</si>
  <si>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</si>
  <si>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</si>
  <si>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</si>
  <si>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</si>
  <si>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</si>
  <si>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</si>
  <si>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</si>
  <si>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</si>
  <si>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</si>
  <si>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</si>
  <si>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</si>
  <si>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</si>
  <si>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</si>
  <si>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</si>
  <si>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</si>
  <si>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</si>
  <si>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</si>
  <si>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</si>
  <si>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</si>
  <si>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</si>
  <si>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</si>
  <si>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</si>
  <si>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</si>
  <si>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</si>
  <si>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</si>
  <si>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</si>
  <si>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</si>
  <si>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</si>
  <si>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</si>
  <si>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</si>
  <si>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</si>
  <si>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</si>
  <si>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</si>
  <si>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</si>
  <si>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</si>
  <si>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</si>
  <si>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</si>
  <si>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</si>
  <si>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</si>
  <si>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</si>
  <si>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</si>
  <si>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</si>
  <si>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</si>
  <si>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</si>
  <si>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</si>
  <si>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</si>
  <si>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</si>
  <si>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</si>
  <si>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</si>
  <si>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</si>
  <si>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</si>
  <si>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</si>
  <si>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</si>
  <si>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</si>
  <si>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</si>
  <si>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</si>
  <si>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</si>
  <si>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</si>
  <si>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</si>
  <si>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</si>
  <si>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</si>
  <si>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</si>
  <si>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</si>
  <si>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</si>
  <si>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</si>
  <si>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</si>
  <si>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</si>
  <si>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</si>
  <si>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</si>
  <si>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</si>
  <si>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</si>
  <si>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</si>
  <si>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</si>
  <si>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</si>
  <si>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</si>
  <si>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</si>
  <si>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</si>
  <si>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</si>
  <si>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</si>
  <si>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</si>
  <si>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</si>
  <si>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</si>
  <si>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</si>
  <si>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</si>
  <si>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</si>
  <si>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</si>
  <si>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</si>
  <si>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</si>
  <si>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</si>
  <si>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</si>
  <si>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</si>
  <si>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</si>
  <si>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</si>
  <si>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</si>
  <si>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</si>
  <si>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</si>
  <si>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</si>
  <si>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</si>
  <si>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</si>
  <si>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</si>
  <si>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</si>
  <si>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</si>
  <si>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</si>
  <si>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</si>
  <si>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</si>
  <si>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</si>
  <si>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</si>
  <si>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</si>
  <si>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</si>
  <si>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</si>
  <si>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</si>
  <si>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</si>
  <si>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</si>
  <si>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</si>
  <si>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</si>
  <si>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</si>
  <si>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</si>
  <si>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</si>
  <si>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</si>
  <si>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</si>
  <si>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</si>
  <si>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</si>
  <si>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</si>
  <si>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</si>
  <si>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</si>
  <si>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</si>
  <si>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</si>
  <si>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</si>
  <si>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</si>
  <si>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</si>
  <si>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</si>
  <si>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</si>
  <si>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</si>
  <si>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</si>
  <si>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</si>
  <si>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</si>
  <si>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</si>
  <si>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</si>
  <si>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</si>
  <si>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</si>
  <si>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</si>
  <si>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项目名称</t>
  </si>
  <si>
    <t>项目别名</t>
  </si>
  <si>
    <t>区县</t>
  </si>
  <si>
    <t>板块</t>
  </si>
  <si>
    <t>成交套数(套)</t>
  </si>
  <si>
    <t>成交面积(㎡)</t>
  </si>
  <si>
    <t>成交均价(元/㎡)</t>
  </si>
  <si>
    <t>挂牌均价(元/㎡)</t>
  </si>
  <si>
    <t>建筑年代(年)</t>
  </si>
  <si>
    <t>物业公司</t>
  </si>
  <si>
    <t>物业费</t>
  </si>
  <si>
    <t>当页汇总</t>
  </si>
  <si>
    <t/>
  </si>
  <si>
    <t>中凡鲁鼎广场</t>
  </si>
  <si>
    <t>天桥区</t>
  </si>
  <si>
    <t>济泺路片区</t>
  </si>
  <si>
    <t>济南中冠物业管理有限公司</t>
  </si>
  <si>
    <t>写字楼：1.70元/㎡·月</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</si>
  <si>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</si>
  <si>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</si>
  <si>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</si>
  <si>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</si>
  <si>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</si>
  <si>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</si>
  <si>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</si>
  <si>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</si>
  <si>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</si>
  <si>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</si>
  <si>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</si>
  <si>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</si>
  <si>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</si>
  <si>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</si>
  <si>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</si>
  <si>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</si>
  <si>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</si>
  <si>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</si>
  <si>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</si>
  <si>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</si>
  <si>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2025-23</t>
  </si>
  <si>
    <t>济南市</t>
  </si>
  <si>
    <t>商业/办公用地</t>
  </si>
  <si>
    <t>1.2&lt;=地上容积率&lt;=2.0</t>
  </si>
  <si>
    <t>挂牌</t>
  </si>
  <si>
    <t>商业用地</t>
  </si>
  <si>
    <t>2025-05-29</t>
  </si>
  <si>
    <t>已成交</t>
  </si>
  <si>
    <t>山东启宸置业发展有限公司</t>
  </si>
  <si>
    <t>2025-05-27 16:00</t>
  </si>
  <si>
    <t>2025-21</t>
  </si>
  <si>
    <t>住宅用地</t>
  </si>
  <si>
    <t>1.0&lt;=地上容积率&lt;=1.8</t>
  </si>
  <si>
    <t>济南商投国有资产管理运营有限公司</t>
  </si>
  <si>
    <t>2025-19</t>
  </si>
  <si>
    <t>商河众城置业有限公司</t>
  </si>
  <si>
    <t>科技城片区12街区DKJ1212地块</t>
  </si>
  <si>
    <t>2025TDGP02R0021</t>
  </si>
  <si>
    <t>1.5&lt;=地上容积率&lt;=2.3</t>
  </si>
  <si>
    <t>2025-05-30</t>
  </si>
  <si>
    <t>瑞马集团有限公司</t>
  </si>
  <si>
    <t>2025-05-28 16:00</t>
  </si>
  <si>
    <t>2025TDGP12R0020</t>
  </si>
  <si>
    <t>1.0 &lt; 地上容积率 ≤ 1.7</t>
  </si>
  <si>
    <t>2025-05-23</t>
  </si>
  <si>
    <t>山东瑞景产业发展服务有限公司</t>
  </si>
  <si>
    <t>2025-05-21 00:00</t>
  </si>
  <si>
    <t>起步区大桥片区总部经济区C-6-2地块</t>
  </si>
  <si>
    <t>2025TDGPQBC0005</t>
  </si>
  <si>
    <t>5.0 ≤ 地上容积率 ≤ 6.0</t>
  </si>
  <si>
    <t>2025-05-22</t>
  </si>
  <si>
    <t>山东高速置业发展有限公司</t>
  </si>
  <si>
    <t>2025-05-20 00:00</t>
  </si>
  <si>
    <t>起步区大桥片区总部经济区C-5地块</t>
  </si>
  <si>
    <t>2025TDGPQBC0004</t>
  </si>
  <si>
    <t>3.0 ≤ 地上容积率 ≤ 4.0</t>
  </si>
  <si>
    <t>2025-05</t>
  </si>
  <si>
    <t>2025-05-08</t>
  </si>
  <si>
    <t>山东青禾投资控股有限公司</t>
  </si>
  <si>
    <t>2025-05-06 16:00</t>
  </si>
  <si>
    <t>2025-04</t>
  </si>
  <si>
    <t>山东芳园置业有限公司</t>
  </si>
  <si>
    <t>2025-08</t>
  </si>
  <si>
    <t>1.2&lt;=地上容积率&lt;=1.8</t>
  </si>
  <si>
    <t>商河县志强汽贸有限公司</t>
  </si>
  <si>
    <t>2025-4</t>
  </si>
  <si>
    <t>1.1&lt;=地上容积率&lt;=1.5</t>
  </si>
  <si>
    <t>2025-04-29</t>
  </si>
  <si>
    <t>济南景度投资开发有限公司</t>
  </si>
  <si>
    <t>2025-04-27 16:00</t>
  </si>
  <si>
    <t>郭店片区工业北路以北、刘公河以西GD03-6地块</t>
  </si>
  <si>
    <t>2025TDGP12C0019</t>
  </si>
  <si>
    <t>1.2&lt;=地上容积率&lt;=1.5</t>
  </si>
  <si>
    <t>2025-04-27</t>
  </si>
  <si>
    <t>济南历暄置业开发有限公司</t>
  </si>
  <si>
    <t>2025-04-25 16:00</t>
  </si>
  <si>
    <t>盛福片区DSF-09-04地块</t>
  </si>
  <si>
    <t>2025TDGP02R0017</t>
  </si>
  <si>
    <t>1.5&lt;=地上容积率&lt;=2.5</t>
  </si>
  <si>
    <t>2025-03-28</t>
  </si>
  <si>
    <t>济南中海地产投资有限公司</t>
  </si>
  <si>
    <t>2025-03-26 16:00</t>
  </si>
  <si>
    <t>中川街以北、经十西路以西WC03-1地块</t>
  </si>
  <si>
    <t>2025TDGP13C0005</t>
  </si>
  <si>
    <t>1.5&lt;=地上容积率&lt;=3</t>
  </si>
  <si>
    <t>2025-03-27</t>
  </si>
  <si>
    <t>济南城拓投资运营有限公司</t>
  </si>
  <si>
    <t>2025-03-25 16:00</t>
  </si>
  <si>
    <t>盛福片区DSF-09-05-2地块</t>
  </si>
  <si>
    <t>2025TDGP02Y0018</t>
  </si>
  <si>
    <t>1.0&lt;=地上容积率&lt;=2.0</t>
  </si>
  <si>
    <t>山东鲁投置业有限公司</t>
  </si>
  <si>
    <t>经一纬十二东地块Csb-06-0101</t>
  </si>
  <si>
    <t>2025TDGP04C0003</t>
  </si>
  <si>
    <t>3&lt;=地上容积率&lt;=5</t>
  </si>
  <si>
    <t>济南市槐荫区国有资产运营有限公司</t>
  </si>
  <si>
    <t>港沟南区用地DLH13-7-3</t>
  </si>
  <si>
    <t>2025TDGP12R0012</t>
  </si>
  <si>
    <t>1.5&lt;=地上容积率&lt;=2.2</t>
  </si>
  <si>
    <t>中建国际投资(山东)有限公司</t>
  </si>
  <si>
    <t>港沟南区用地DLH13-3</t>
  </si>
  <si>
    <t>2025TDGP12R0013</t>
  </si>
  <si>
    <t>济南同晟开发建设集团有限公司</t>
  </si>
  <si>
    <t>明湖热电厂地块项目地块BH29-1-2</t>
  </si>
  <si>
    <t>2025TDGP05C0010</t>
  </si>
  <si>
    <t>1.2&lt;=地上容积率&lt;=1.6</t>
  </si>
  <si>
    <t>济南能源集团资源开发明湖房地产有限公司</t>
  </si>
  <si>
    <t>长清区大学路以南、海棠路以西地块</t>
  </si>
  <si>
    <t>2025TDGP13Y0011</t>
  </si>
  <si>
    <t>1.2&lt;=地上容积率&lt;=2.6</t>
  </si>
  <si>
    <t>山东济清青禾新能源开发有限公司</t>
  </si>
  <si>
    <t>明湖热电厂地块项目地块BH29-1-1</t>
  </si>
  <si>
    <t>2025TDGP05R0009</t>
  </si>
  <si>
    <t>1.6&lt;=地上容积率&lt;=2.6</t>
  </si>
  <si>
    <t>济南中央商务区西片区城市更新项目(一期)B-3地块</t>
  </si>
  <si>
    <t>2025TDGP02C0007</t>
  </si>
  <si>
    <t>3.6&lt;=地上容积率&lt;=6.0</t>
  </si>
  <si>
    <t>济南历下城市发展集团城市更新有限公司</t>
  </si>
  <si>
    <t>港沟南区用地DLH13-1-1</t>
  </si>
  <si>
    <t>2025TDGP12C0006</t>
  </si>
  <si>
    <t>1.2&lt;=地上容积率&lt;=2</t>
  </si>
  <si>
    <t>山东佳益产业发展服务有限公司</t>
  </si>
  <si>
    <t>2025-16</t>
  </si>
  <si>
    <t>1.0&lt;=地上容积率&lt;=1.6</t>
  </si>
  <si>
    <t>2025-04-09</t>
  </si>
  <si>
    <t>2025-04-07 16:00</t>
  </si>
  <si>
    <t>2025-15</t>
  </si>
  <si>
    <t>2025-17</t>
  </si>
  <si>
    <t>高新区春博路以东、科航路以北A-1地块</t>
  </si>
  <si>
    <t>2025TDGP06R2001</t>
  </si>
  <si>
    <t>0.8≤ r ≤ 1.6</t>
  </si>
  <si>
    <t>2025-03-31</t>
  </si>
  <si>
    <t>济南东升城市更新发展有限公司</t>
  </si>
  <si>
    <t>2025-03-28 16:00</t>
  </si>
  <si>
    <t>济南中央商务区西片区城市更新项目(一期)A-1地块</t>
  </si>
  <si>
    <t>2025TDGP02R0001</t>
  </si>
  <si>
    <t>2.0&lt;=地上容积率&lt;=2.9</t>
  </si>
  <si>
    <t>2025-03-17</t>
  </si>
  <si>
    <t>济南海右二号产业投资合伙企业(有限合伙) 、保利山东置业集团有限公司</t>
  </si>
  <si>
    <t>2025-03-14 16:00</t>
  </si>
  <si>
    <t>2025-10</t>
  </si>
  <si>
    <t>2025-02-26</t>
  </si>
  <si>
    <t>山东诚商置业发展有限公司</t>
  </si>
  <si>
    <t>2025-02-24 16:00</t>
  </si>
  <si>
    <t>2025-13</t>
  </si>
  <si>
    <t>2025-02</t>
  </si>
  <si>
    <t>容积率&lt;=1.5</t>
  </si>
  <si>
    <t>济南商投汇淼房地产开发有限公司</t>
  </si>
  <si>
    <t>2025-03</t>
  </si>
  <si>
    <t>容积率&lt;=0.6</t>
  </si>
  <si>
    <t>济南金鑫和商贸有限公司</t>
  </si>
  <si>
    <t>2025-11</t>
  </si>
  <si>
    <t>2025-12</t>
  </si>
  <si>
    <t>2025-14</t>
  </si>
  <si>
    <t>2025-02-27</t>
  </si>
  <si>
    <t>2025-02-25 17:30</t>
  </si>
  <si>
    <t>2024-27</t>
  </si>
  <si>
    <t>2025-01-17</t>
  </si>
  <si>
    <t>济南惠商房地产置业有限公司</t>
  </si>
  <si>
    <t>2025-01-15 17:00</t>
  </si>
  <si>
    <t>2024-39</t>
  </si>
  <si>
    <t>0</t>
  </si>
  <si>
    <t>2025-01-15</t>
  </si>
  <si>
    <t>中国石化销售股份有限公司山东济南石油分公司</t>
  </si>
  <si>
    <t>2025-01-13 16:00</t>
  </si>
  <si>
    <t>2024-18</t>
  </si>
  <si>
    <t>济南麦丘控股集团有限公司</t>
  </si>
  <si>
    <t>方特南侧、博览园东路西侧BML-03-10地块</t>
  </si>
  <si>
    <t>2024TDGP04R0153</t>
  </si>
  <si>
    <t>0.9≤r≤ 1.6</t>
  </si>
  <si>
    <t>2025-01-09</t>
  </si>
  <si>
    <t>2025-01-07 16:00</t>
  </si>
  <si>
    <t>槐荫区东吴家堡、南吴家堡、南沙王庄三村整合城中村改造项目安置地块二</t>
  </si>
  <si>
    <t>2024TDGP04R0152</t>
  </si>
  <si>
    <t>1.5≤r≤ 2.85</t>
  </si>
  <si>
    <t>医学中心片区安置六区地块A</t>
  </si>
  <si>
    <t>2024TDGP04R0150</t>
  </si>
  <si>
    <t>1.0≤r≤ 2.8</t>
  </si>
  <si>
    <t>槐荫区东吴家堡、南吴家堡、南沙王庄三村整合城中村改造项目安置地块一</t>
  </si>
  <si>
    <t>2024TDGP04R0151</t>
  </si>
  <si>
    <t>1.5≤r≤ 2.8</t>
  </si>
  <si>
    <t>长清区平安片区Apa28-25</t>
  </si>
  <si>
    <t>2024TDGP13R0148</t>
  </si>
  <si>
    <t>2024-12-30</t>
  </si>
  <si>
    <t>山东济清置业有限公司</t>
  </si>
  <si>
    <t>2024-12-27 16:00</t>
  </si>
  <si>
    <t>济南古城(明府城片区)城市更新项目FRJ42</t>
  </si>
  <si>
    <t>2024TDGP02R0135</t>
  </si>
  <si>
    <t>容积率&lt;=0.85</t>
  </si>
  <si>
    <t>济南城发古城城市更新有限公司</t>
  </si>
  <si>
    <t>上新街片区GC2508-1地块</t>
  </si>
  <si>
    <t>2024TDGP03C0144</t>
  </si>
  <si>
    <t>容积率&lt;=0.8</t>
  </si>
  <si>
    <t>济南城发市中城市更新有限公司</t>
  </si>
  <si>
    <t>济南古城(明府城片区)城市更新项目JJM21</t>
  </si>
  <si>
    <t>2024TDGP02X0137</t>
  </si>
  <si>
    <t>综合用地(含住宅)</t>
  </si>
  <si>
    <t>容积率&lt;=1.04</t>
  </si>
  <si>
    <t>商业、住宅用地</t>
  </si>
  <si>
    <t>济南古城(明府城片区)城市更新项目JJM22</t>
  </si>
  <si>
    <t>2024TDGP02R0138</t>
  </si>
  <si>
    <t>济南古城(明府城片区)城市更新项目JJM20</t>
  </si>
  <si>
    <t>2024TDGP02R0136</t>
  </si>
  <si>
    <t>容积率&lt;=1.0</t>
  </si>
  <si>
    <t>济南古城(明府城片区)城市更新项目JJM19</t>
  </si>
  <si>
    <t>2024TDGP02R0133</t>
  </si>
  <si>
    <t>济南古城(明府城片区)城市更新项目FRJ40</t>
  </si>
  <si>
    <t>2024TDGP02R0134</t>
  </si>
  <si>
    <t>容积率&lt;=0.7</t>
  </si>
  <si>
    <t>济南古城(明府城片区)城市更新项目JJM10</t>
  </si>
  <si>
    <t>2024TDGP02R0125</t>
  </si>
  <si>
    <t>容积率&lt;=1.25</t>
  </si>
  <si>
    <t>济南古城(明府城片区)城市更新项目JJM25</t>
  </si>
  <si>
    <t>2024TDGP02X0139</t>
  </si>
  <si>
    <t>容积率&lt;=1.01</t>
  </si>
  <si>
    <t>济南古城(明府城片区)城市更新项目JJM11</t>
  </si>
  <si>
    <t>2024TDGP02R0126</t>
  </si>
  <si>
    <t>济南古城(明府城片区)城市更新项目FRJ36</t>
  </si>
  <si>
    <t>2024TDGP02C0123</t>
  </si>
  <si>
    <t>济南古城(明府城片区)城市更新项目JJM13</t>
  </si>
  <si>
    <t>2024TDGP02R0128</t>
  </si>
  <si>
    <t>容积率&lt;=0.95</t>
  </si>
  <si>
    <t>济南古城(明府城片区)城市更新项目JJM12</t>
  </si>
  <si>
    <t>2024TDGP02R0127</t>
  </si>
  <si>
    <t>容积率&lt;=1.4</t>
  </si>
  <si>
    <t>济南古城(明府城片区)城市更新项目FRJ33</t>
  </si>
  <si>
    <t>2024TDGP02R0122</t>
  </si>
  <si>
    <t>上新街片区GC2506-2地块</t>
  </si>
  <si>
    <t>2024TDGP03C0142</t>
  </si>
  <si>
    <t>容积率&lt;=0.9</t>
  </si>
  <si>
    <t>济南古城(明府城片区)城市更新项目JJM17</t>
  </si>
  <si>
    <t>2024TDGP02R0131</t>
  </si>
  <si>
    <t>济南古城(明府城片区)城市更新项目JJM18</t>
  </si>
  <si>
    <t>2024TDGP02R0132</t>
  </si>
  <si>
    <t>上新街片区GC2503-5地块</t>
  </si>
  <si>
    <t>2024TDGP03C0141</t>
  </si>
  <si>
    <t>济南古城(明府城片区)城市更新项目FRJ37</t>
  </si>
  <si>
    <t>2024TDGP02C0124</t>
  </si>
  <si>
    <t>济南古城(明府城片区)城市更新项目JJM15</t>
  </si>
  <si>
    <t>2024TDGP02R0129</t>
  </si>
  <si>
    <t>济南古城(明府城片区)城市更新项目JJM16</t>
  </si>
  <si>
    <t>2024TDGP02R0130</t>
  </si>
  <si>
    <t>济南古城(明府城片区)城市更新项目JJM29</t>
  </si>
  <si>
    <t>2024TDGP02R0140</t>
  </si>
  <si>
    <t>容积率&lt;=0.75</t>
  </si>
  <si>
    <t>上新街片区GC2502-2地块</t>
  </si>
  <si>
    <t>2024TDGP03C0143</t>
  </si>
  <si>
    <t>长清区平安片区Apa28-27</t>
  </si>
  <si>
    <t>2024TDGP13R0147</t>
  </si>
  <si>
    <t>1.0&lt;=地上容积率&lt;=1.1</t>
  </si>
  <si>
    <t>华山西区地块一</t>
  </si>
  <si>
    <t>2024TDGP12C0146</t>
  </si>
  <si>
    <t>山东融仁置业投资有限公司</t>
  </si>
  <si>
    <t>经六路西、党校东临地块</t>
  </si>
  <si>
    <t>JY-01-2024-054</t>
  </si>
  <si>
    <t>2024-12-28</t>
  </si>
  <si>
    <t>山东北起产业发展有限公司</t>
  </si>
  <si>
    <t>2024-12-26 16:00</t>
  </si>
  <si>
    <t>柏石峪片区12街区BSY1201-1地块</t>
  </si>
  <si>
    <t>2024TDGP03R0120</t>
  </si>
  <si>
    <t>1&lt;=地上容积率&lt;=1.3</t>
  </si>
  <si>
    <t>2024-12-27</t>
  </si>
  <si>
    <t>华润置地(山东)发展有限公司</t>
  </si>
  <si>
    <t>2024-12-25 16:00</t>
  </si>
  <si>
    <t>柏石峪片区11街区BSY1101-1地块</t>
  </si>
  <si>
    <t>2024TDGP03R0119</t>
  </si>
  <si>
    <t>经十纬七东北地块</t>
  </si>
  <si>
    <t>2024TDGP04R0121</t>
  </si>
  <si>
    <t>1.5&lt;=地上容积率&lt;=2.4</t>
  </si>
  <si>
    <t>港沟南区用地DLH13-7-1地块</t>
  </si>
  <si>
    <t>2024TDGP12R0116</t>
  </si>
  <si>
    <t>1&lt;=地上容积率&lt;=1.7</t>
  </si>
  <si>
    <t>2024-12-23</t>
  </si>
  <si>
    <t>2024-12-20 16:00</t>
  </si>
  <si>
    <t>转山片区财富中心南DSJ-081-02地块</t>
  </si>
  <si>
    <t>2024TDGP02R0117</t>
  </si>
  <si>
    <t>1.0&lt;=地上容积率&lt;=1.9</t>
  </si>
  <si>
    <t>山东中投建邦置业有限公司</t>
  </si>
  <si>
    <t>港沟南区用地DLH13-4-3地块</t>
  </si>
  <si>
    <t>2024TDGP12R0115</t>
  </si>
  <si>
    <t>1&lt;=地上容积率&lt;=1.8</t>
  </si>
  <si>
    <t>唐冶片区05街区TY05-13-2地块</t>
  </si>
  <si>
    <t>2024TDGP12R0113</t>
  </si>
  <si>
    <t>济南利诚地产集团有限公司</t>
  </si>
  <si>
    <t>鹊山龙湖西片区QSLHX01-1-1地块</t>
  </si>
  <si>
    <t>2024TDGP05C0118</t>
  </si>
  <si>
    <t>1.2&lt;=地上容积率&lt;=1.3</t>
  </si>
  <si>
    <t>济南椿慈健康养老有限公司</t>
  </si>
  <si>
    <t>唐冶片区05街区TY05-14地块</t>
  </si>
  <si>
    <t>2024TDGP12R0114</t>
  </si>
  <si>
    <t>钢城2023-15号宗地</t>
  </si>
  <si>
    <t>2024-12-22</t>
  </si>
  <si>
    <t>济南民生实业有限公司</t>
  </si>
  <si>
    <t>银河路西、同德街北地块</t>
  </si>
  <si>
    <t>JY-01-2024-028</t>
  </si>
  <si>
    <t>1.5&lt;=地上容积率&lt;=2.0</t>
  </si>
  <si>
    <t>2024-12-19</t>
  </si>
  <si>
    <t>济南昊锦置业有限公司</t>
  </si>
  <si>
    <t>2024-12-17 16:00</t>
  </si>
  <si>
    <t>澄波湖路东、安顺街北地块</t>
  </si>
  <si>
    <t>JY-01-2024-029</t>
  </si>
  <si>
    <t>济南市济阳区农发实业投资有限公司</t>
  </si>
  <si>
    <t>中央商务区茂岭花苑周边地块</t>
  </si>
  <si>
    <t>2024TDGP02X0110</t>
  </si>
  <si>
    <t>富阳街北、经三路西地块</t>
  </si>
  <si>
    <t>JY-01-2024-030</t>
  </si>
  <si>
    <t>济南润阳置业有限公司</t>
  </si>
  <si>
    <t>龙海路东、经六路西、星河一路南地块</t>
  </si>
  <si>
    <t>JY-01-2024-034</t>
  </si>
  <si>
    <t>济南仁合置业有限公司</t>
  </si>
  <si>
    <t>长岭山片区兴港路以南、凤歧路以西用地CLS0901-3</t>
  </si>
  <si>
    <t>2024TDGP12R0108</t>
  </si>
  <si>
    <t>2024-12-16</t>
  </si>
  <si>
    <t>济南海信置业有限公司</t>
  </si>
  <si>
    <t>2024-12-13 16:00</t>
  </si>
  <si>
    <t>长岭山片区兴港路以南、凤歧路以西用地CLS0901-2</t>
  </si>
  <si>
    <t>2024TDGP12R0107</t>
  </si>
  <si>
    <t>1.0&lt;=地上容积率&lt;=1.5</t>
  </si>
  <si>
    <t>城镇社区服务设施用地</t>
  </si>
  <si>
    <t>钢城2024-5号</t>
  </si>
  <si>
    <t>2024-12-12</t>
  </si>
  <si>
    <t>2024-12-10 16:00</t>
  </si>
  <si>
    <t>钢城2024-4号</t>
  </si>
  <si>
    <t>钢城2024-3号</t>
  </si>
  <si>
    <t>起步区科研办公区DQ-KY-B-02地块</t>
  </si>
  <si>
    <t>2024TDGPQBC0033</t>
  </si>
  <si>
    <t>2.0&lt;=地上容积率&lt;=2.5</t>
  </si>
  <si>
    <t>2024-12-09</t>
  </si>
  <si>
    <t>济南城发北起投资开发有限公司</t>
  </si>
  <si>
    <t>2024-12-06 16:00</t>
  </si>
  <si>
    <t>起步区科研办公区DQ-KY-B-01-1地块</t>
  </si>
  <si>
    <t>2024TDGPQBC0032</t>
  </si>
  <si>
    <t>3.5&lt;=地上容积率&lt;=4.0</t>
  </si>
  <si>
    <t>起步区科研办公区DQ-KY-R-02-1地块</t>
  </si>
  <si>
    <t>2024TDGPQBR0031</t>
  </si>
  <si>
    <t>西沙王庄城中村改造项目A-2地块</t>
  </si>
  <si>
    <t>2024TDGP04R0102</t>
  </si>
  <si>
    <t>济南西岳置业有限公司</t>
  </si>
  <si>
    <t>港沟南区用地DLH12-1地块</t>
  </si>
  <si>
    <t>2024TDGP12R0105</t>
  </si>
  <si>
    <t>1.0&lt;=地上容积率&lt;=1.2</t>
  </si>
  <si>
    <t>济南同晟置业开发有限公司 、山东中电建核电地产投资有限公司</t>
  </si>
  <si>
    <t>槐苑文化体育公园项目Cdd04-4-1(地下北)</t>
  </si>
  <si>
    <t>2024TDGP04Y0103</t>
  </si>
  <si>
    <t>≤ 1.7</t>
  </si>
  <si>
    <t>济南槐荫国融城市更新有限公司</t>
  </si>
  <si>
    <t>港沟南区用地DLH12-2地块</t>
  </si>
  <si>
    <t>2024TDGP12R0106</t>
  </si>
  <si>
    <t>2024-10</t>
  </si>
  <si>
    <t>1.5&lt;=地上容积率&lt;=1.7</t>
  </si>
  <si>
    <t>2024-12-05</t>
  </si>
  <si>
    <t>山东鲁供置业发展有限公司</t>
  </si>
  <si>
    <t>2024-12-03 16:00</t>
  </si>
  <si>
    <t>王舍人片区01街区奥体中路以东用地DWS0105</t>
  </si>
  <si>
    <t>2024TDGP12R0088</t>
  </si>
  <si>
    <t>2024-11-28</t>
  </si>
  <si>
    <t>山东中建房地产开发有限公司</t>
  </si>
  <si>
    <t>2024-11-26 16:00</t>
  </si>
  <si>
    <t>王舍人片区02街区安置二区西侧用地DWS0205</t>
  </si>
  <si>
    <t>2024TDGP12R0094</t>
  </si>
  <si>
    <t>王舍人片区02街区安置二区西侧用地DWS0211</t>
  </si>
  <si>
    <t>2024TDGP12R0100</t>
  </si>
  <si>
    <t>王舍人片区01街区奥体中路以东用地DWS0106</t>
  </si>
  <si>
    <t>2024TDGP12R0087</t>
  </si>
  <si>
    <t>王舍人片区01街区奥体中路以东用地DWS0113</t>
  </si>
  <si>
    <t>2024TDGP12R0093</t>
  </si>
  <si>
    <t>王舍人片区01街区奥体中路以东用地DWS0114-2</t>
  </si>
  <si>
    <t>2024TDGP12R0092</t>
  </si>
  <si>
    <t>起步区大桥片区26街区YB-R-1地块</t>
  </si>
  <si>
    <t>2024TDGPQBR0028</t>
  </si>
  <si>
    <t>济南先投北起投资发展有限公司</t>
  </si>
  <si>
    <t>王舍人片区02街区安置二区西侧用地DWS0210</t>
  </si>
  <si>
    <t>2024TDGP12R0099</t>
  </si>
  <si>
    <t>王舍人片区02街区安置二区西侧用地DWS0207-1</t>
  </si>
  <si>
    <t>2024TDGP12R0096</t>
  </si>
  <si>
    <t>起步区大桥片区26街区YB-R-2-2地块</t>
  </si>
  <si>
    <t>2024TDGPQBR0030</t>
  </si>
  <si>
    <t>三孔桥街以西、仁丰前街以北BH28-1地块(原仁丰纺织C地块)</t>
  </si>
  <si>
    <t>2024TDGP05C0101</t>
  </si>
  <si>
    <t>山东光齐置业有限公司</t>
  </si>
  <si>
    <t>起步区大桥片区26街区YB-R-2-1地块</t>
  </si>
  <si>
    <t>2024TDGPQBR0029</t>
  </si>
  <si>
    <t>王舍人片区01街区奥体中路以东用地DWS0111</t>
  </si>
  <si>
    <t>2024TDGP12R0090</t>
  </si>
  <si>
    <t>王舍人片区02街区安置二区西侧用地DWS0208</t>
  </si>
  <si>
    <t>2024TDGP12R0097</t>
  </si>
  <si>
    <t>王舍人片区01街区奥体中路以东用地DWS0112</t>
  </si>
  <si>
    <t>2024TDGP12R0091</t>
  </si>
  <si>
    <t>王舍人片区01街区奥体中路以东用地DWS0110</t>
  </si>
  <si>
    <t>2024TDGP12R0089</t>
  </si>
  <si>
    <t>王舍人片区02街区安置二区西侧用地DWS0209</t>
  </si>
  <si>
    <t>2024TDGP12R0098</t>
  </si>
  <si>
    <t>科技城片区12街区DKJ1213</t>
  </si>
  <si>
    <t>2024TDGP02C0082</t>
  </si>
  <si>
    <t>1.6&lt;=地上容积率&lt;=4.0</t>
  </si>
  <si>
    <t>2024-11-27</t>
  </si>
  <si>
    <t>济南中旗置业有限公司</t>
  </si>
  <si>
    <t>2024-11-25 16:00</t>
  </si>
  <si>
    <t>高新区凤凰路东侧、花园东路南侧、工业南路北侧B-1地块</t>
  </si>
  <si>
    <t>2024TDGP06C1001</t>
  </si>
  <si>
    <t>0.7&lt;=地上容积率&lt;=1.0</t>
  </si>
  <si>
    <t>2024-11-20</t>
  </si>
  <si>
    <t>济南东新产业园开发有限公司</t>
  </si>
  <si>
    <t>2024-11-18 16:00</t>
  </si>
  <si>
    <t>汇鑫路东、永安路西、闻韶街北地块</t>
  </si>
  <si>
    <t>JY-01-2024-038</t>
  </si>
  <si>
    <t>2024-11-11</t>
  </si>
  <si>
    <t>济南玉鑫置业有限公司</t>
  </si>
  <si>
    <t>2024-11-09 16:00</t>
  </si>
  <si>
    <t>规划金家路北、纬四路小学南、经四路西地块</t>
  </si>
  <si>
    <t>JY-01-2024-049</t>
  </si>
  <si>
    <t>济南伦达置业开发有限公司</t>
  </si>
  <si>
    <t>2024-9</t>
  </si>
  <si>
    <t>2.1&lt;=地上容积率&lt;=1.6</t>
  </si>
  <si>
    <t>济南泉开城悦置业有限公司</t>
  </si>
  <si>
    <t>2024-11-08 16:00</t>
  </si>
  <si>
    <t>2024-11</t>
  </si>
  <si>
    <t>2.3&lt;=地上容积率&lt;=2.0</t>
  </si>
  <si>
    <t>济南睦邻之家商业运营管理有限公司</t>
  </si>
  <si>
    <t>富阳街北、雅居园西苑西、区第十中学南地块</t>
  </si>
  <si>
    <t>JY-01-2024-032</t>
  </si>
  <si>
    <t>1.4&lt;=地上容积率&lt;=1.6</t>
  </si>
  <si>
    <t>济南济阳鑫土置业有限公司</t>
  </si>
  <si>
    <t>汇鑫路东、永安路西、新元大街南地块</t>
  </si>
  <si>
    <t>JY-01-2024-037</t>
  </si>
  <si>
    <t>山东会兴置业有限责任公司</t>
  </si>
  <si>
    <t>正安路东、星河二路南地块</t>
  </si>
  <si>
    <t>JY-01-2024-059</t>
  </si>
  <si>
    <t>山东庞大置业有限公司</t>
  </si>
  <si>
    <t>新党校东临、闻韶街南地块</t>
  </si>
  <si>
    <t>JY-01-2024-053</t>
  </si>
  <si>
    <t>2024-10-31</t>
  </si>
  <si>
    <t>山东济阳农村商业银行股份有限公司</t>
  </si>
  <si>
    <t>2024-10-29 10:00</t>
  </si>
  <si>
    <t>纬三路北、经四路西地块</t>
  </si>
  <si>
    <t>JY-01-2024-001</t>
  </si>
  <si>
    <t>济南博纳置业有限公司</t>
  </si>
  <si>
    <t>西客站片区会展中心北侧BXK-15-10地块(A-1)</t>
  </si>
  <si>
    <t>2024TDGP04Y0078</t>
  </si>
  <si>
    <t>1.5&lt;=地上容积率&lt;=2.8</t>
  </si>
  <si>
    <t>2024-10-30</t>
  </si>
  <si>
    <t>山东融象投资置业有限公司</t>
  </si>
  <si>
    <t>2024-10-28 16:00</t>
  </si>
  <si>
    <t>起步区大桥片区26街区YB-B-6地块</t>
  </si>
  <si>
    <t>2024TDGPQBC0025</t>
  </si>
  <si>
    <t>0.6&lt;=地上容积率&lt;=0.8</t>
  </si>
  <si>
    <t>济南鹊华城更建设投资有限公司</t>
  </si>
  <si>
    <t>2024-28</t>
  </si>
  <si>
    <t>起步区大桥片区26街区YB-B-5地块</t>
  </si>
  <si>
    <t>2024TDGPQBC0024</t>
  </si>
  <si>
    <t>西客站片区会展中心北侧BXK-15-11地块(A-2)</t>
  </si>
  <si>
    <t>2024TDGP04R0079</t>
  </si>
  <si>
    <t>山东三箭房地产开发有限公司</t>
  </si>
  <si>
    <t>2024-38</t>
  </si>
  <si>
    <t>起步区大桥片区26街区YB-A-5地块</t>
  </si>
  <si>
    <t>2024TDGPQBC0023</t>
  </si>
  <si>
    <t>0.2&lt;=地上容积率&lt;=0.6</t>
  </si>
  <si>
    <t>起步区大桥片区26街区YB-B-7地块</t>
  </si>
  <si>
    <t>2024TDGPQBC0026</t>
  </si>
  <si>
    <t>济南中央商务区西片区城市更新项目(一期)A-4地块</t>
  </si>
  <si>
    <t>2024TDGP02R0076</t>
  </si>
  <si>
    <t>2.0&lt;=地上容积率&lt;=2.7</t>
  </si>
  <si>
    <t>西客站片区会展中心北侧BXK-15-15地块(A-3)</t>
  </si>
  <si>
    <t>2024TDGP04Y0080</t>
  </si>
  <si>
    <t>起步区都市阳台DQ-DSYT-B-01地块</t>
  </si>
  <si>
    <t>2024TDGPQBC0027</t>
  </si>
  <si>
    <t>3.0&lt;=地上容积率&lt;=3.8</t>
  </si>
  <si>
    <t>2024-11-25</t>
  </si>
  <si>
    <t>济南交通发展投资有限公司</t>
  </si>
  <si>
    <t>2024-11-22 16:00</t>
  </si>
  <si>
    <t>济南古城(明府城片区)城市更新项目FRJ11地块</t>
  </si>
  <si>
    <t>2024TDGP02Y0077</t>
  </si>
  <si>
    <t>城镇住宅用地、商业用地、公园绿地</t>
  </si>
  <si>
    <t>西客站片区会展中心北侧BXK-15-13地块(A-4)</t>
  </si>
  <si>
    <t>2024TDGP04R0081</t>
  </si>
  <si>
    <t>2024-022A-二期地块二</t>
  </si>
  <si>
    <t>1&lt;=地上容积率&lt;=1.96</t>
  </si>
  <si>
    <t>2024-10-28</t>
  </si>
  <si>
    <t>济南嘉瑞房地产开发有限公司</t>
  </si>
  <si>
    <t>2024-10-26 16:00</t>
  </si>
  <si>
    <t>2024-022A-二期地块一</t>
  </si>
  <si>
    <t>0&lt;=地上容积率&lt;=1.96</t>
  </si>
  <si>
    <t>郭店片区土河以西、工业北路以北C-5地块</t>
  </si>
  <si>
    <t>2024TDGP12C0073</t>
  </si>
  <si>
    <t>2024-10-18</t>
  </si>
  <si>
    <t>齐鲁光谷(济南)建设发展有限公司</t>
  </si>
  <si>
    <t>2024-10-16 16:00</t>
  </si>
  <si>
    <t>东彩石村城中村改造项目Ecs15-4-3地块</t>
  </si>
  <si>
    <t>2024TDGP12C0075</t>
  </si>
  <si>
    <t>济南融运产业投资发展有限公司</t>
  </si>
  <si>
    <t>经十一路项目A-1地块</t>
  </si>
  <si>
    <t>2024TDGP04C0072</t>
  </si>
  <si>
    <t>2.1&lt;=地上容积率&lt;=3.5</t>
  </si>
  <si>
    <t>2024-10-10</t>
  </si>
  <si>
    <t>济南城投置业有限公司</t>
  </si>
  <si>
    <t>2024-10-08 16:00</t>
  </si>
  <si>
    <t>上新街片区GC2505-3地块</t>
  </si>
  <si>
    <t>2024TDGP03C0071</t>
  </si>
  <si>
    <t>南北康片区06街区JQ0601-2地块(原B-1-1地块)</t>
  </si>
  <si>
    <t>2024TDGP03Y0070</t>
  </si>
  <si>
    <t>2.4&lt;=地上容积率&lt;=4.0</t>
  </si>
  <si>
    <t>济南中盛商业管理有限公司</t>
  </si>
  <si>
    <t>2024-25</t>
  </si>
  <si>
    <t>2024-10-02</t>
  </si>
  <si>
    <t>山东省联丰农贸有限公司</t>
  </si>
  <si>
    <t>2024-09-30 16:00</t>
  </si>
  <si>
    <t>2024-19</t>
  </si>
  <si>
    <t>济南正恒置业有限公司</t>
  </si>
  <si>
    <t>段店B-1-2地块</t>
  </si>
  <si>
    <t>2024TDGP04C0068</t>
  </si>
  <si>
    <t>2024-09-29</t>
  </si>
  <si>
    <t>2024-09-27 16:00</t>
  </si>
  <si>
    <t>洪楼TOD项目一期CSD08-3-1地块</t>
  </si>
  <si>
    <t>2024TDGP12C0066</t>
  </si>
  <si>
    <t>2.5&lt;=地上容积率&lt;=4.5</t>
  </si>
  <si>
    <t>济南市历城区全福河投资开发有限公司</t>
  </si>
  <si>
    <t>刘长山路、机场路西北BMS0601-2地块(原B-1地块)</t>
  </si>
  <si>
    <t>2024TDGP03C0065</t>
  </si>
  <si>
    <t>济南鸿玉达市场开发有限公司</t>
  </si>
  <si>
    <t>段店C-1地块</t>
  </si>
  <si>
    <t>2024TDGP04C0067</t>
  </si>
  <si>
    <t>2.7&lt;=地上容积率&lt;=4.5</t>
  </si>
  <si>
    <t>轨道交通千佛山站TOD综合开发项目地下空间</t>
  </si>
  <si>
    <t>2024TDGP02Y0064</t>
  </si>
  <si>
    <t>济南慧山置业有限公司</t>
  </si>
  <si>
    <t>水屯路以西BH10-1地块</t>
  </si>
  <si>
    <t>2024TDGP05R0063</t>
  </si>
  <si>
    <t>2024-09-27</t>
  </si>
  <si>
    <t>乐陵市界群置业有限公司</t>
  </si>
  <si>
    <t>2024-09-25 16:00</t>
  </si>
  <si>
    <t>站前商务区西南B-3地块Dws-02-29</t>
  </si>
  <si>
    <t>2024TDGP12C0053</t>
  </si>
  <si>
    <t>2024-09-23</t>
  </si>
  <si>
    <t>山东广厦三维地产有限公司</t>
  </si>
  <si>
    <t>2024-09-20 16:00</t>
  </si>
  <si>
    <t>王舍人片区09、10街区张马大街以东用地WSR0902-2</t>
  </si>
  <si>
    <t>2024TDGP12R0055</t>
  </si>
  <si>
    <t>奥体场馆东南侧加油站地块</t>
  </si>
  <si>
    <t>2024TDGP02C0048</t>
  </si>
  <si>
    <t>容积率&lt;=0.15</t>
  </si>
  <si>
    <t>其他商业服务业用地</t>
  </si>
  <si>
    <t>洪楼TOD项目一期CSD08-1-2地块</t>
  </si>
  <si>
    <t>2024TDGP12C0062</t>
  </si>
  <si>
    <t>2.2&lt;=地上容积率&lt;=4</t>
  </si>
  <si>
    <t>洪楼TOD项目一期CSD04-1-1地块</t>
  </si>
  <si>
    <t>2024TDGP12C0061</t>
  </si>
  <si>
    <t>1.2&lt;=地上容积率&lt;=2.2</t>
  </si>
  <si>
    <t>省企总部城二期剩余地块Dws-17-14</t>
  </si>
  <si>
    <t>2024TDGP12C0050</t>
  </si>
  <si>
    <t>3.0&lt;=地上容积率&lt;=5.0</t>
  </si>
  <si>
    <t>省企总部城二期剩余地块Dws-17-16</t>
  </si>
  <si>
    <t>2024TDGP12C0051</t>
  </si>
  <si>
    <t>王舍人片区09、10街区张马大街以东用地WSR0901</t>
  </si>
  <si>
    <t>2024TDGP12Y0054</t>
  </si>
  <si>
    <t>安置三区二期周边商业地块Dws-05-40</t>
  </si>
  <si>
    <t>2024TDGP12C0052</t>
  </si>
  <si>
    <t>王舍人片区11街区张马大街以东剩余用地WSR1102-1</t>
  </si>
  <si>
    <t>2024TDGP12Y0059</t>
  </si>
  <si>
    <t>1.5&lt;=地上容积率&lt;=2.1</t>
  </si>
  <si>
    <t>王舍人片区09、10街区张马大街以东用地WSR1003-1</t>
  </si>
  <si>
    <t>2024TDGP12R0057</t>
  </si>
  <si>
    <t>站前商务区舜城大街以南、龙脊河以西用地Dws-05-01</t>
  </si>
  <si>
    <t>2024TDGP12C0049</t>
  </si>
  <si>
    <t>2.2&lt;=地上容积率&lt;=3.7</t>
  </si>
  <si>
    <t>2024-026二期F地块</t>
  </si>
  <si>
    <t>0.25&lt;=地上容积率&lt;=0.3</t>
  </si>
  <si>
    <t>2024-10-12</t>
  </si>
  <si>
    <t>山东一亩芳华康养发展有限公司</t>
  </si>
  <si>
    <t>2024-09-19 16:00</t>
  </si>
  <si>
    <t>2024-028</t>
  </si>
  <si>
    <t>1.0&lt;=地上容积率&lt;=1.01</t>
  </si>
  <si>
    <t>2024-022B地块</t>
  </si>
  <si>
    <t>1&lt;=地上容积率&lt;=1.1</t>
  </si>
  <si>
    <t>2024-14</t>
  </si>
  <si>
    <t>2024-08-15</t>
  </si>
  <si>
    <t>山东泽商置业有限公司</t>
  </si>
  <si>
    <t>2024-08-13 16:00</t>
  </si>
  <si>
    <t>2024-13</t>
  </si>
  <si>
    <t>山东惠商置业有限公司</t>
  </si>
  <si>
    <t>起步区崔寨片区10#综合加能站</t>
  </si>
  <si>
    <t>2024TDGPQBC0019</t>
  </si>
  <si>
    <t>容积率&lt;=0.4</t>
  </si>
  <si>
    <t>2024-08-12</t>
  </si>
  <si>
    <t>济南先投能源集团有限公司</t>
  </si>
  <si>
    <t>2024-08-09 16:00</t>
  </si>
  <si>
    <t>起步区鹊山生态文化区YB-B-4地块</t>
  </si>
  <si>
    <t>2024TDGPQBC0020</t>
  </si>
  <si>
    <t>容积率&lt;=1.7</t>
  </si>
  <si>
    <t>安置三区二期周边居住用地</t>
  </si>
  <si>
    <t>2024TDGP12Y0047</t>
  </si>
  <si>
    <t>2024-08-26</t>
  </si>
  <si>
    <t>省企总部城二期部分地块Dws-17-17</t>
  </si>
  <si>
    <t>2024TDGP12C0044</t>
  </si>
  <si>
    <t>2024-08-23 16:00</t>
  </si>
  <si>
    <t>站前商务区舜城大街以南、龙脊河以东用地Dws-05-05</t>
  </si>
  <si>
    <t>2024TDGP12C0042</t>
  </si>
  <si>
    <t>1.2&lt;=地上容积率&lt;=2.5</t>
  </si>
  <si>
    <t>省企总部城二期部分地块Dws-17-19</t>
  </si>
  <si>
    <t>2024TDGP12C0045</t>
  </si>
  <si>
    <t>1.8&lt;=地上容积率&lt;=3.0</t>
  </si>
  <si>
    <t>张马屯站地块</t>
  </si>
  <si>
    <t>2024TDGP12Y0046</t>
  </si>
  <si>
    <t>济南瑞城产业发展投资有限公司</t>
  </si>
  <si>
    <t>王舍人片区11街区张马大街以东部分用地WSR1103-1</t>
  </si>
  <si>
    <t>2024TDGP12Y0040</t>
  </si>
  <si>
    <t>山东海通地产有限责任公司</t>
  </si>
  <si>
    <t>站前商务区舜城大街以南、龙脊河以东用地Dws-05-06</t>
  </si>
  <si>
    <t>2024TDGP12C0043</t>
  </si>
  <si>
    <t>1.2&lt;=地上容积率&lt;=3.0</t>
  </si>
  <si>
    <t>王舍人片区11街区张马大街以东部分用地WSR1103-4</t>
  </si>
  <si>
    <t>2024TDGP12Y0041</t>
  </si>
  <si>
    <t>王舍人片区11街区张马大街以东部分用地WSR1101-1</t>
  </si>
  <si>
    <t>2024TDGP12Y0039</t>
  </si>
  <si>
    <t>济南建工集团房地产开发有限公司</t>
  </si>
  <si>
    <t>孙村片区围子山以东、世纪大道以南、春秀路以西、科航路以北R02地块</t>
  </si>
  <si>
    <t>2024TDGP06R2001</t>
  </si>
  <si>
    <t>2024-07-29</t>
  </si>
  <si>
    <t>济南东进产业发展有限公司</t>
  </si>
  <si>
    <t>2024-07-26 16:00</t>
  </si>
  <si>
    <t>章锦片区B-4东地块</t>
  </si>
  <si>
    <t>2024TDGP06C3001</t>
  </si>
  <si>
    <t>2.0&lt;=地上容积率&lt;=3.5</t>
  </si>
  <si>
    <t>上新街片区 GC2505-1地块</t>
  </si>
  <si>
    <t>2024TDGP03C0036</t>
  </si>
  <si>
    <t>2024-06-30</t>
  </si>
  <si>
    <t>2024-06-28 16:00</t>
  </si>
  <si>
    <t>2024-17</t>
  </si>
  <si>
    <t>2024-06-22</t>
  </si>
  <si>
    <t>山东泰商置业有限公司</t>
  </si>
  <si>
    <t>2024-06-20 16:00</t>
  </si>
  <si>
    <t>2024-16</t>
  </si>
  <si>
    <t>2024-21</t>
  </si>
  <si>
    <t>济南商投置业发展有限公司</t>
  </si>
  <si>
    <t>2024-15</t>
  </si>
  <si>
    <t>2024-008</t>
  </si>
  <si>
    <t>0&lt;=地上容积率&lt;=0.5</t>
  </si>
  <si>
    <t>2024-06-23</t>
  </si>
  <si>
    <t>刘传玉</t>
  </si>
  <si>
    <t>2024-06-21 16:00</t>
  </si>
  <si>
    <t>经十一路项目A-2地块</t>
  </si>
  <si>
    <t>2024TDGP04R0035</t>
  </si>
  <si>
    <t>2&lt;=地上容积率&lt;=2.9</t>
  </si>
  <si>
    <t>2024-06-21</t>
  </si>
  <si>
    <t>济南中海豪峰房地产开发有限公司</t>
  </si>
  <si>
    <t>2024-06-19 16:00</t>
  </si>
  <si>
    <t>2024-12</t>
  </si>
  <si>
    <t>2024-05-29</t>
  </si>
  <si>
    <t>山东商河农村商业银行股份有限公司</t>
  </si>
  <si>
    <t>2024-05-27 16:00</t>
  </si>
  <si>
    <t>2024-8</t>
  </si>
  <si>
    <t>1.0&lt;=地上容积率&lt;=1.3</t>
  </si>
  <si>
    <t>济南安颐康养度假酒店有限公司</t>
  </si>
  <si>
    <t>济南古城(明府城片区)城市更新项目FRJ30地块</t>
  </si>
  <si>
    <t>2024TDGP02R0034</t>
  </si>
  <si>
    <t>2024-05-30</t>
  </si>
  <si>
    <t>2024-05-28 16:00</t>
  </si>
  <si>
    <t>盛福片区DSF-09-05-1地块</t>
  </si>
  <si>
    <t>2024TDGP02Y0032</t>
  </si>
  <si>
    <t>1.5&lt;=地上容积率&lt;=3.0</t>
  </si>
  <si>
    <t>山东泉旺房地产开发有限公司</t>
  </si>
  <si>
    <t>济钢片区A-30、A-37(WSR1901)地块</t>
  </si>
  <si>
    <t>2024TDGP12C0028</t>
  </si>
  <si>
    <t>2024-05-20</t>
  </si>
  <si>
    <t>济南市经济开发投资有限公司</t>
  </si>
  <si>
    <t>2024-05-17 16:00</t>
  </si>
  <si>
    <t>济南市公益性农产品批发市场F地块Apa-01-04-1地块</t>
  </si>
  <si>
    <t>2024TDGP13C0029</t>
  </si>
  <si>
    <t>山东济清恒茂农产品有限公司</t>
  </si>
  <si>
    <t>济南中央商务区西片区城市更新项目(一期)DMLX-02-05地块</t>
  </si>
  <si>
    <t>2024TDGP02R0025</t>
  </si>
  <si>
    <t>2024-05-08</t>
  </si>
  <si>
    <t>保利山东置业集团有限公司</t>
  </si>
  <si>
    <t>2024-05-06 16:00</t>
  </si>
  <si>
    <t>潘田城中村改造项目B-1地块</t>
  </si>
  <si>
    <t>2024TDGP12Y0026</t>
  </si>
  <si>
    <t>城镇住宅、城镇社区服务设施、城市道路用地</t>
  </si>
  <si>
    <t>站前商务区西南剩余B-1地块</t>
  </si>
  <si>
    <t>2024TDGP12C0024</t>
  </si>
  <si>
    <t>2024-05-06</t>
  </si>
  <si>
    <t>济南屹众合酒店投资管理有限公司</t>
  </si>
  <si>
    <t>2024-04-30 16:00</t>
  </si>
  <si>
    <t>济南古城(明府城片区)城市更新项目FRJ15地块</t>
  </si>
  <si>
    <t>2024TDGP02C0008</t>
  </si>
  <si>
    <t>济南古城(明府城片区)城市更新项目FRJ22地块</t>
  </si>
  <si>
    <t>2024TDGP02C0015</t>
  </si>
  <si>
    <t>济南古城(明府城片区)城市更新项目FRJ18地块</t>
  </si>
  <si>
    <t>2024TDGP02C0011</t>
  </si>
  <si>
    <t>容积率&lt;=0.90</t>
  </si>
  <si>
    <t>济南古城(明府城片区)城市更新项目FRJ26地块</t>
  </si>
  <si>
    <t>2024TDGP02C0020</t>
  </si>
  <si>
    <t>济南古城(明府城片区)城市更新项目FRJ16地块</t>
  </si>
  <si>
    <t>2024TDGP02C0009</t>
  </si>
  <si>
    <t>济南古城(明府城片区)城市更新项目FRJ28地块</t>
  </si>
  <si>
    <t>2024TDGP02C0022</t>
  </si>
  <si>
    <t>济南古城(明府城片区)城市更新项目FRJ21地块</t>
  </si>
  <si>
    <t>2024TDGP02Y0014</t>
  </si>
  <si>
    <t>容积率&lt;=0.80</t>
  </si>
  <si>
    <t>济南古城(明府城片区)城市更新项目FRJ27地块</t>
  </si>
  <si>
    <t>2024TDGP02C0021</t>
  </si>
  <si>
    <t>济南古城(明府城片区)城市更新项目FRJ23地块</t>
  </si>
  <si>
    <t>2024TDGP02X0016</t>
  </si>
  <si>
    <t>济南古城(明府城片区)城市更新项目FRJ25地块</t>
  </si>
  <si>
    <t>2024TDGP02C0019</t>
  </si>
  <si>
    <t>济南古城(明府城片区)城市更新项目FRJ19地块</t>
  </si>
  <si>
    <t>2024TDGP02C0012</t>
  </si>
  <si>
    <t>容积率&lt;=1.00</t>
  </si>
  <si>
    <t>济南古城(明府城片区)城市更新项目FRJ29地块</t>
  </si>
  <si>
    <t>2024TDGP02X0023</t>
  </si>
  <si>
    <t>容积率&lt;=0.87</t>
  </si>
  <si>
    <t>济南古城(明府城片区)城市更新项目FRJ24-2地块</t>
  </si>
  <si>
    <t>2024TDGP02Y0018</t>
  </si>
  <si>
    <t>容积率&lt;=0.65</t>
  </si>
  <si>
    <t>济南古城(明府城片区)城市更新项目FRJ20地块</t>
  </si>
  <si>
    <t>2024TDGP02Y0013</t>
  </si>
  <si>
    <t>济南古城(明府城片区)城市更新项目FRJ24-1地块</t>
  </si>
  <si>
    <t>2024TDGP02X0017</t>
  </si>
  <si>
    <t>容积率&lt;=0.70</t>
  </si>
  <si>
    <t>济南古城(明府城片区)城市更新项目FRJ12地块</t>
  </si>
  <si>
    <t>2024TDGP02C0005</t>
  </si>
  <si>
    <t>济南古城(明府城片区)城市更新项目FRJ14地块</t>
  </si>
  <si>
    <t>2024TDGP02C0007</t>
  </si>
  <si>
    <t>济南古城(明府城片区)城市更新项目FRJ17地块</t>
  </si>
  <si>
    <t>2024TDGP02C0010</t>
  </si>
  <si>
    <t>济南古城(明府城片区)城市更新项目FRJ13地块</t>
  </si>
  <si>
    <t>2024TDGP02C0006</t>
  </si>
  <si>
    <t>钢城2024-1号</t>
  </si>
  <si>
    <t>2024-06</t>
  </si>
  <si>
    <t>2024-04-28</t>
  </si>
  <si>
    <t>2024-04-26 16:00</t>
  </si>
  <si>
    <t>2024-07</t>
  </si>
  <si>
    <t>花园东路以南,开拓路以东A-2地块</t>
  </si>
  <si>
    <t>2024TDGP06R1002</t>
  </si>
  <si>
    <t>1.5 &lt; 地上容积率 ≤ 2.3</t>
  </si>
  <si>
    <t>2024-04-24</t>
  </si>
  <si>
    <t>济南东拓置业有限公司</t>
  </si>
  <si>
    <t>2024-04-22 16:00</t>
  </si>
  <si>
    <t>丁太鲁新徐片区城市更新YS01-1(原A-15)地块</t>
  </si>
  <si>
    <t>2024TDGP05R0004</t>
  </si>
  <si>
    <t>2024-04-25</t>
  </si>
  <si>
    <t>山东绿桥城市更新有限公司</t>
  </si>
  <si>
    <t>2024-04-23 16:00</t>
  </si>
  <si>
    <t>花园东路以南,开拓路以东A-1地块</t>
  </si>
  <si>
    <t>2024TDGP06R1001</t>
  </si>
  <si>
    <t>起步区大桥片区总部经济区B-3地块</t>
  </si>
  <si>
    <t>2024TDGPQBR0010</t>
  </si>
  <si>
    <t>1.5&lt;=地上容积率&lt;=1.8</t>
  </si>
  <si>
    <t>2024-04-15</t>
  </si>
  <si>
    <t>2024-04-12 16:00</t>
  </si>
  <si>
    <t>起步区大桥片区都市阳台东组团B-3地块</t>
  </si>
  <si>
    <t>2024TDGPQBR0011</t>
  </si>
  <si>
    <t>济南先投新创城市开发建设有限公司</t>
  </si>
  <si>
    <t>起步区大桥片区都市阳台东组团B-5地块</t>
  </si>
  <si>
    <t>2024TDGPQBC0012</t>
  </si>
  <si>
    <t>济南先投城市发展投资集团有限公司</t>
  </si>
  <si>
    <t>起步区大桥片区总部经济区B-1地块</t>
  </si>
  <si>
    <t>2024TDGPQBC0009</t>
  </si>
  <si>
    <t>起步区鹊山生态文化区A-8地块</t>
  </si>
  <si>
    <t>2024TDGPQBC0013</t>
  </si>
  <si>
    <t>钢城2023-9号</t>
  </si>
  <si>
    <t>2024-04-09</t>
  </si>
  <si>
    <t>济南德硕置业有限公司</t>
  </si>
  <si>
    <t>2024-04-07 16:00</t>
  </si>
  <si>
    <t>2024-08</t>
  </si>
  <si>
    <t>零售用地</t>
  </si>
  <si>
    <t>2024-04-03</t>
  </si>
  <si>
    <t>商河县志诚商贸有限公司</t>
  </si>
  <si>
    <t>2024-04-01 16:00</t>
  </si>
  <si>
    <t>2024-05</t>
  </si>
  <si>
    <t>2024-01</t>
  </si>
  <si>
    <t>济南众诚国华节能环保科技有限公司</t>
  </si>
  <si>
    <t>2024-03</t>
  </si>
  <si>
    <t>2024-04</t>
  </si>
  <si>
    <t>济南中央商务区西片区城市更新项目(一期)B-4地块</t>
  </si>
  <si>
    <t>2024TDGP02Y0002</t>
  </si>
  <si>
    <t>3.3&lt;=地上容积率&lt;=5.5</t>
  </si>
  <si>
    <t>2024-03-31</t>
  </si>
  <si>
    <t>2024-03-29 16:00</t>
  </si>
  <si>
    <t>长岭山片区B1地块</t>
  </si>
  <si>
    <t>2024TDGP02C0001</t>
  </si>
  <si>
    <t>1.2&lt;=地上容积率&lt;=1.7</t>
  </si>
  <si>
    <t>济南历贸建设发展有限公司</t>
  </si>
  <si>
    <t>长清区AMS-DK04-01地块</t>
  </si>
  <si>
    <t>2024TDGP13C0003</t>
  </si>
  <si>
    <t>山东乐耕城市建设开发有限公司</t>
  </si>
  <si>
    <t>莱芜2024-1-1-2号</t>
  </si>
  <si>
    <t>2024-03-27</t>
  </si>
  <si>
    <t>山东济莱地产有限公司</t>
  </si>
  <si>
    <t>2024-03-25 16:00</t>
  </si>
  <si>
    <t>莱芜2024-1-1-3号</t>
  </si>
  <si>
    <t>0.8&lt;=地上容积率&lt;=1.2</t>
  </si>
  <si>
    <t>莱芜2024-1-1-1号</t>
  </si>
  <si>
    <t>2023-032</t>
  </si>
  <si>
    <t>0&lt;=地上容积率&lt;=0.53</t>
  </si>
  <si>
    <t>2024-03-20</t>
  </si>
  <si>
    <t>山东平阴农村商业银行股份有限公司</t>
  </si>
  <si>
    <t>2024-03-18 16:00</t>
  </si>
  <si>
    <t>起步区大桥片区都市阳台东组团B-6地块</t>
  </si>
  <si>
    <t>2024TDGPQBR0004</t>
  </si>
  <si>
    <t>2024-03-11</t>
  </si>
  <si>
    <t>2024-03-07 16:00</t>
  </si>
  <si>
    <t>起步区大桥片区都市阳台东组团B-7地块</t>
  </si>
  <si>
    <t>2024TDGPQBR0005</t>
  </si>
  <si>
    <t>1.2&lt;=地上容积率&lt;=1.4</t>
  </si>
  <si>
    <t>同德街北、龙义路东地块</t>
  </si>
  <si>
    <t>JY-01-2023-051</t>
  </si>
  <si>
    <t>2024-03-10</t>
  </si>
  <si>
    <t>济南轨道交通集团置业有限公司</t>
  </si>
  <si>
    <t>2024-03-06 10:00</t>
  </si>
  <si>
    <t>起步区大桥片区都市阳台东组团B-4地块</t>
  </si>
  <si>
    <t>2024TDGPQBC0003</t>
  </si>
  <si>
    <t>钢城2023-13号</t>
  </si>
  <si>
    <t>1.4&lt;=地上容积率&lt;=2.3</t>
  </si>
  <si>
    <t>2024-03-04</t>
  </si>
  <si>
    <t>2024-03-01 16:00</t>
  </si>
  <si>
    <t>同德街南、银河路西地块</t>
  </si>
  <si>
    <t>JY-01-2023-066</t>
  </si>
  <si>
    <t>2024-02-28</t>
  </si>
  <si>
    <t>济南万成商贸有限公司</t>
  </si>
  <si>
    <t>2024-02-26 10:00</t>
  </si>
  <si>
    <t>安顺街南、龙海路西地块</t>
  </si>
  <si>
    <t>JY-01-2023-065</t>
  </si>
  <si>
    <t>山东至臻致远房地产投资有限公司</t>
  </si>
  <si>
    <t>2023-023</t>
  </si>
  <si>
    <t>0&lt;=地上容积率&lt;=2.42</t>
  </si>
  <si>
    <t>2024-02-26</t>
  </si>
  <si>
    <t>山东鸿泰财金发展投资集团有限公司</t>
  </si>
  <si>
    <t>2024-02-23 16:00</t>
  </si>
  <si>
    <t>序号</t>
  </si>
  <si>
    <t>大证号</t>
  </si>
  <si>
    <t>小证业务号</t>
  </si>
  <si>
    <t>登记类别</t>
  </si>
  <si>
    <t>权利人</t>
  </si>
  <si>
    <t>坐落</t>
  </si>
  <si>
    <t>建筑面积</t>
  </si>
  <si>
    <t>权证号</t>
  </si>
  <si>
    <t>登记时间</t>
  </si>
  <si>
    <t>房屋抵押信息</t>
  </si>
  <si>
    <t>房屋查封信息</t>
  </si>
  <si>
    <t>土地抵押信息</t>
  </si>
  <si>
    <t>土地查封信息</t>
  </si>
  <si>
    <t>济南20230300391</t>
  </si>
  <si>
    <t>鲁鼎</t>
  </si>
  <si>
    <t>4号楼201</t>
  </si>
  <si>
    <t>停车位</t>
  </si>
  <si>
    <t>包商；恒丰</t>
  </si>
  <si>
    <t>深圳；其他</t>
  </si>
  <si>
    <t>包商</t>
  </si>
  <si>
    <t>深圳中院；盐城中院；其他</t>
  </si>
  <si>
    <t>4号楼</t>
    <phoneticPr fontId="134" type="noConversion"/>
  </si>
  <si>
    <t>济南20230300377</t>
  </si>
  <si>
    <t>2号楼立体机械车库01</t>
  </si>
  <si>
    <t>其他</t>
  </si>
  <si>
    <t>4号楼202</t>
  </si>
  <si>
    <t>商业</t>
    <phoneticPr fontId="134" type="noConversion"/>
  </si>
  <si>
    <t>2号楼106</t>
  </si>
  <si>
    <t>深圳中院；其他</t>
  </si>
  <si>
    <t>1--202</t>
  </si>
  <si>
    <t>4号楼203</t>
  </si>
  <si>
    <t>停车位</t>
    <phoneticPr fontId="134" type="noConversion"/>
  </si>
  <si>
    <t>2号楼202</t>
  </si>
  <si>
    <t>1--203</t>
  </si>
  <si>
    <t>4号楼204</t>
  </si>
  <si>
    <t>2号楼308</t>
  </si>
  <si>
    <t>商务办公</t>
  </si>
  <si>
    <t>无</t>
  </si>
  <si>
    <t>1--204</t>
  </si>
  <si>
    <t>4号楼205</t>
  </si>
  <si>
    <t>2号楼</t>
    <phoneticPr fontId="134" type="noConversion"/>
  </si>
  <si>
    <t>2号楼309</t>
  </si>
  <si>
    <t>1--205</t>
  </si>
  <si>
    <t>4号楼206</t>
  </si>
  <si>
    <t>商务办公</t>
    <phoneticPr fontId="134" type="noConversion"/>
  </si>
  <si>
    <t>2号楼312</t>
  </si>
  <si>
    <t>1--206</t>
  </si>
  <si>
    <t>4号楼207</t>
  </si>
  <si>
    <t>车库</t>
    <phoneticPr fontId="134" type="noConversion"/>
  </si>
  <si>
    <t>2号楼313</t>
  </si>
  <si>
    <t>1--207</t>
  </si>
  <si>
    <t>4号楼208</t>
  </si>
  <si>
    <t>2号楼314</t>
  </si>
  <si>
    <t>1--208</t>
  </si>
  <si>
    <t>4号楼209</t>
  </si>
  <si>
    <t>2号楼403</t>
  </si>
  <si>
    <t>1--209</t>
  </si>
  <si>
    <t>4号楼210</t>
  </si>
  <si>
    <t>1、3号楼</t>
    <phoneticPr fontId="134" type="noConversion"/>
  </si>
  <si>
    <t>储藏室</t>
    <phoneticPr fontId="134" type="noConversion"/>
  </si>
  <si>
    <t>2号楼404</t>
  </si>
  <si>
    <t>1--210</t>
  </si>
  <si>
    <t>4号楼211</t>
  </si>
  <si>
    <t>两层立体车库区域</t>
    <phoneticPr fontId="134" type="noConversion"/>
  </si>
  <si>
    <t>2号楼405</t>
  </si>
  <si>
    <t>1--211</t>
  </si>
  <si>
    <t>4号楼212</t>
  </si>
  <si>
    <t>2号楼406</t>
  </si>
  <si>
    <t>1--212</t>
  </si>
  <si>
    <t>4号楼213</t>
  </si>
  <si>
    <t>2号楼407</t>
  </si>
  <si>
    <t>1--213</t>
  </si>
  <si>
    <t>4号楼214</t>
  </si>
  <si>
    <t>2号楼408</t>
  </si>
  <si>
    <t>1--214</t>
  </si>
  <si>
    <t>4号楼215</t>
  </si>
  <si>
    <t>2号楼409</t>
  </si>
  <si>
    <t>1--215</t>
  </si>
  <si>
    <t>4号楼216</t>
  </si>
  <si>
    <t>2号楼410</t>
  </si>
  <si>
    <t>1--216</t>
  </si>
  <si>
    <t>4号楼217</t>
  </si>
  <si>
    <t>2号楼411</t>
  </si>
  <si>
    <t>1--217</t>
  </si>
  <si>
    <t>4号楼218</t>
  </si>
  <si>
    <t>2号楼412</t>
  </si>
  <si>
    <t>1--218</t>
  </si>
  <si>
    <t>4号楼219</t>
  </si>
  <si>
    <t>2号楼413</t>
  </si>
  <si>
    <t>1--219</t>
  </si>
  <si>
    <t>4号楼220</t>
  </si>
  <si>
    <t>2号楼414</t>
  </si>
  <si>
    <t>1--220</t>
  </si>
  <si>
    <t>4号楼221</t>
  </si>
  <si>
    <t>2号楼415</t>
  </si>
  <si>
    <t>1--221</t>
  </si>
  <si>
    <t>4号楼222</t>
  </si>
  <si>
    <t>2号楼416</t>
  </si>
  <si>
    <t>1--222</t>
  </si>
  <si>
    <t>4号楼223</t>
  </si>
  <si>
    <t>2号楼417</t>
  </si>
  <si>
    <t>1--223</t>
  </si>
  <si>
    <t>4号楼224</t>
  </si>
  <si>
    <t>2号楼418</t>
  </si>
  <si>
    <t>1--224</t>
  </si>
  <si>
    <t>4号楼225</t>
  </si>
  <si>
    <t>2号楼419</t>
  </si>
  <si>
    <t>1--225</t>
  </si>
  <si>
    <t>4号楼226</t>
  </si>
  <si>
    <t>2号楼420</t>
  </si>
  <si>
    <t>1--226</t>
  </si>
  <si>
    <t>4号楼227</t>
  </si>
  <si>
    <t>2号楼501</t>
  </si>
  <si>
    <t>1--227</t>
  </si>
  <si>
    <t>4号楼228</t>
  </si>
  <si>
    <t>2号楼502</t>
  </si>
  <si>
    <t>1--228</t>
  </si>
  <si>
    <t>4号楼101</t>
  </si>
  <si>
    <t>2号楼503</t>
  </si>
  <si>
    <t>1--229</t>
  </si>
  <si>
    <t>4号楼102</t>
  </si>
  <si>
    <t>2号楼504</t>
  </si>
  <si>
    <t>1--230</t>
  </si>
  <si>
    <t>4号楼103</t>
  </si>
  <si>
    <t>2号楼505</t>
  </si>
  <si>
    <t>1--231</t>
  </si>
  <si>
    <t>4号楼104</t>
  </si>
  <si>
    <t>2号楼506</t>
  </si>
  <si>
    <t>1--232</t>
  </si>
  <si>
    <t>4号楼105</t>
  </si>
  <si>
    <t>2号楼512</t>
  </si>
  <si>
    <t>1--233</t>
  </si>
  <si>
    <t>4号楼106</t>
  </si>
  <si>
    <t>2号楼513</t>
  </si>
  <si>
    <t>1--234</t>
  </si>
  <si>
    <t>4号楼107</t>
  </si>
  <si>
    <t>2号楼514</t>
  </si>
  <si>
    <t>1--235</t>
  </si>
  <si>
    <t>4号楼108</t>
  </si>
  <si>
    <t>2号楼601</t>
  </si>
  <si>
    <t>1--236</t>
  </si>
  <si>
    <t>4号楼109</t>
  </si>
  <si>
    <t>2号楼602</t>
  </si>
  <si>
    <t>1--237</t>
  </si>
  <si>
    <t>4号楼110</t>
  </si>
  <si>
    <t>2号楼620</t>
  </si>
  <si>
    <t>1--238</t>
  </si>
  <si>
    <t>4号楼111</t>
  </si>
  <si>
    <t>2号楼706</t>
  </si>
  <si>
    <t>1--239</t>
  </si>
  <si>
    <t>4号楼112</t>
  </si>
  <si>
    <t>2号楼710</t>
  </si>
  <si>
    <t>1--240</t>
  </si>
  <si>
    <t>4号楼113</t>
  </si>
  <si>
    <t>2号楼711</t>
  </si>
  <si>
    <t>1--241</t>
  </si>
  <si>
    <t>4号楼114</t>
  </si>
  <si>
    <t>2号楼804</t>
  </si>
  <si>
    <t>1--242</t>
  </si>
  <si>
    <t>4号楼115</t>
  </si>
  <si>
    <t>2号楼806</t>
  </si>
  <si>
    <t>1--243</t>
  </si>
  <si>
    <t>4号楼116</t>
  </si>
  <si>
    <t>2号楼807</t>
  </si>
  <si>
    <t>1--244</t>
  </si>
  <si>
    <t>4号楼117</t>
  </si>
  <si>
    <t>2号楼818</t>
  </si>
  <si>
    <t>1--245</t>
  </si>
  <si>
    <t>4号楼118</t>
  </si>
  <si>
    <t>2号楼901</t>
  </si>
  <si>
    <t>1--246</t>
  </si>
  <si>
    <t>4号楼119</t>
  </si>
  <si>
    <t>2号楼902</t>
  </si>
  <si>
    <t>1--247</t>
  </si>
  <si>
    <t>4号楼120</t>
  </si>
  <si>
    <t>2号楼903</t>
  </si>
  <si>
    <t>1--248</t>
  </si>
  <si>
    <t>4号楼121</t>
  </si>
  <si>
    <t>2号楼904</t>
  </si>
  <si>
    <t>1--249</t>
  </si>
  <si>
    <t>4号楼122</t>
  </si>
  <si>
    <t>2号楼905</t>
  </si>
  <si>
    <t>2--201</t>
  </si>
  <si>
    <t>4号楼123</t>
  </si>
  <si>
    <t>2号楼906</t>
  </si>
  <si>
    <t>2--202</t>
  </si>
  <si>
    <t>4号楼124</t>
  </si>
  <si>
    <t>2号楼907</t>
  </si>
  <si>
    <t>2--203</t>
  </si>
  <si>
    <t>4号楼125</t>
  </si>
  <si>
    <t>2号楼909</t>
  </si>
  <si>
    <t>2--204</t>
  </si>
  <si>
    <t>4号楼126</t>
  </si>
  <si>
    <t>2号楼910</t>
  </si>
  <si>
    <t>2--205</t>
  </si>
  <si>
    <t>4号楼127</t>
  </si>
  <si>
    <t>2号楼911</t>
  </si>
  <si>
    <t>2--206</t>
  </si>
  <si>
    <t>4号楼128</t>
  </si>
  <si>
    <t>2号楼912</t>
  </si>
  <si>
    <t>2--207</t>
  </si>
  <si>
    <t>2号楼919</t>
  </si>
  <si>
    <t>2--208</t>
  </si>
  <si>
    <t>2号楼920</t>
  </si>
  <si>
    <t>2--209</t>
  </si>
  <si>
    <t>2号楼1012</t>
  </si>
  <si>
    <t>2--210</t>
  </si>
  <si>
    <t>2号楼1101</t>
  </si>
  <si>
    <t>2--211</t>
  </si>
  <si>
    <t>2号楼1106</t>
  </si>
  <si>
    <t>2--212</t>
  </si>
  <si>
    <t>2号楼1107</t>
  </si>
  <si>
    <t>2--213</t>
  </si>
  <si>
    <t>2号楼1108</t>
  </si>
  <si>
    <t>2--214</t>
  </si>
  <si>
    <t>2号楼1111</t>
  </si>
  <si>
    <t>2--215</t>
  </si>
  <si>
    <t>2号楼1112</t>
  </si>
  <si>
    <t>2--216</t>
  </si>
  <si>
    <t>2号楼1113</t>
  </si>
  <si>
    <t>2--217</t>
  </si>
  <si>
    <t>2号楼1114</t>
  </si>
  <si>
    <t>2--218</t>
  </si>
  <si>
    <t>2号楼1115</t>
  </si>
  <si>
    <t>2--219</t>
  </si>
  <si>
    <t>2号楼1116</t>
  </si>
  <si>
    <t>2--220</t>
  </si>
  <si>
    <t>2号楼1117</t>
  </si>
  <si>
    <t>2--221</t>
  </si>
  <si>
    <t>2号楼1118</t>
  </si>
  <si>
    <t>2--222</t>
  </si>
  <si>
    <t>2号楼1119</t>
  </si>
  <si>
    <t>2--223</t>
  </si>
  <si>
    <t>2号楼1120</t>
  </si>
  <si>
    <t>2--224</t>
  </si>
  <si>
    <t>2--225</t>
  </si>
  <si>
    <t>2--226</t>
  </si>
  <si>
    <t>2--227</t>
  </si>
  <si>
    <t>2--228</t>
  </si>
  <si>
    <t>2--229</t>
  </si>
  <si>
    <t>2--230</t>
  </si>
  <si>
    <t>2--231</t>
  </si>
  <si>
    <t>2--232</t>
  </si>
  <si>
    <t>4号楼301</t>
  </si>
  <si>
    <t>2--233</t>
  </si>
  <si>
    <t>4号楼302</t>
  </si>
  <si>
    <t>2--234</t>
  </si>
  <si>
    <t>4号楼303</t>
  </si>
  <si>
    <t>2--235</t>
  </si>
  <si>
    <t>4号楼304</t>
  </si>
  <si>
    <t>2--236</t>
  </si>
  <si>
    <t>4号楼308</t>
  </si>
  <si>
    <t>2--237</t>
  </si>
  <si>
    <t>4号楼309</t>
  </si>
  <si>
    <t>2--238</t>
  </si>
  <si>
    <t>4号楼310</t>
  </si>
  <si>
    <t>2--239</t>
  </si>
  <si>
    <t>4号楼311</t>
  </si>
  <si>
    <t>2--240</t>
  </si>
  <si>
    <t>4号楼312</t>
  </si>
  <si>
    <t>2--241</t>
  </si>
  <si>
    <t>4号楼313</t>
  </si>
  <si>
    <t>2--242</t>
  </si>
  <si>
    <t>4号楼314</t>
  </si>
  <si>
    <t>2--243</t>
  </si>
  <si>
    <t>4号楼315</t>
  </si>
  <si>
    <t>2--244</t>
  </si>
  <si>
    <t>4号楼316</t>
  </si>
  <si>
    <t>2--245</t>
  </si>
  <si>
    <t>4号楼317</t>
  </si>
  <si>
    <t>2--246</t>
  </si>
  <si>
    <t>4号楼318</t>
  </si>
  <si>
    <t>2--247</t>
  </si>
  <si>
    <t>储藏室</t>
  </si>
  <si>
    <t>4号楼319</t>
  </si>
  <si>
    <t>1--101</t>
  </si>
  <si>
    <t>4号楼320</t>
  </si>
  <si>
    <t>1--102</t>
  </si>
  <si>
    <t>4号楼321</t>
  </si>
  <si>
    <t>1--103</t>
  </si>
  <si>
    <t>4号楼401</t>
  </si>
  <si>
    <t>两层立体车库区域01</t>
  </si>
  <si>
    <t>两层立体车库区域</t>
  </si>
  <si>
    <t>4号楼411</t>
  </si>
  <si>
    <t>两层立体车库区域02</t>
  </si>
  <si>
    <t>4号楼414</t>
  </si>
  <si>
    <t>两层立体车库区域03</t>
  </si>
  <si>
    <t>4号楼415</t>
  </si>
  <si>
    <t>两层立体车库区域04</t>
  </si>
  <si>
    <t>4号楼416</t>
  </si>
  <si>
    <t>两层立体车库区域05</t>
  </si>
  <si>
    <t>4号楼417</t>
  </si>
  <si>
    <t>两层立体车库区域06</t>
  </si>
  <si>
    <t>4号楼418</t>
  </si>
  <si>
    <t>两层立体车库区域07</t>
  </si>
  <si>
    <t>两层立体车库区域08</t>
  </si>
  <si>
    <t>两层立体车库区域09</t>
  </si>
  <si>
    <t>两层立体车库区域10</t>
  </si>
  <si>
    <t>两层立体车库区域11</t>
  </si>
  <si>
    <t>两层立体车库区域12</t>
  </si>
  <si>
    <t>两层立体车库区域13</t>
  </si>
  <si>
    <t>两层立体车库区域14</t>
  </si>
  <si>
    <t>两层立体车库区域15</t>
  </si>
  <si>
    <t>两层立体车库区域16</t>
  </si>
  <si>
    <t>两层立体车库区域17</t>
  </si>
  <si>
    <t>两层立体车库区域18</t>
  </si>
  <si>
    <t>两层立体车库区域19</t>
  </si>
  <si>
    <t>两层立体车库区域20</t>
  </si>
  <si>
    <t>两层立体车库区域21</t>
  </si>
  <si>
    <t>两层立体车库区域22</t>
  </si>
  <si>
    <t>两层立体车库区域23</t>
  </si>
  <si>
    <t>两层立体车库区域24</t>
  </si>
  <si>
    <t>1-101</t>
  </si>
  <si>
    <t>1-102</t>
  </si>
  <si>
    <t>1-112</t>
  </si>
  <si>
    <t>1-201</t>
  </si>
  <si>
    <t>1-202</t>
  </si>
  <si>
    <t>1-203</t>
  </si>
  <si>
    <t>1-204</t>
  </si>
  <si>
    <t>1-205</t>
  </si>
  <si>
    <t>1-206</t>
  </si>
  <si>
    <t>1-207</t>
  </si>
  <si>
    <t>1-208</t>
  </si>
  <si>
    <t>1-209</t>
  </si>
  <si>
    <t>1-210</t>
  </si>
  <si>
    <t>1-211</t>
  </si>
  <si>
    <t>1-212</t>
  </si>
  <si>
    <t>1-213</t>
  </si>
  <si>
    <t>1-214</t>
  </si>
  <si>
    <t>1-215</t>
  </si>
  <si>
    <t>1-216</t>
  </si>
  <si>
    <t>1-217</t>
  </si>
  <si>
    <t>1-301</t>
  </si>
  <si>
    <t>1-302</t>
  </si>
  <si>
    <t>1-303</t>
  </si>
  <si>
    <t>1-304</t>
  </si>
  <si>
    <t>1-305</t>
  </si>
  <si>
    <t>1-306</t>
  </si>
  <si>
    <t>1-307</t>
  </si>
  <si>
    <t>1-308</t>
  </si>
  <si>
    <t>1-309</t>
  </si>
  <si>
    <t>1-310</t>
  </si>
  <si>
    <t>1-311</t>
  </si>
  <si>
    <t>1-312</t>
  </si>
  <si>
    <t>1-313</t>
  </si>
  <si>
    <t>1-314</t>
  </si>
  <si>
    <t>1-315</t>
  </si>
  <si>
    <t>1-316</t>
  </si>
  <si>
    <t>1-317</t>
  </si>
  <si>
    <t>1-403</t>
  </si>
  <si>
    <t>1-405</t>
  </si>
  <si>
    <t>1-406</t>
  </si>
  <si>
    <t>1-409</t>
  </si>
  <si>
    <t>1-410</t>
  </si>
  <si>
    <t>1-411</t>
  </si>
  <si>
    <t>1-412</t>
  </si>
  <si>
    <t>2-101</t>
  </si>
  <si>
    <t>2-102</t>
  </si>
  <si>
    <t>2-105</t>
  </si>
  <si>
    <t>2-201</t>
  </si>
  <si>
    <t>2-202</t>
  </si>
  <si>
    <t>2-203</t>
  </si>
  <si>
    <t>2-204</t>
  </si>
  <si>
    <t>2-205</t>
  </si>
  <si>
    <t>2-206</t>
  </si>
  <si>
    <t>2-207</t>
  </si>
  <si>
    <t>2-208</t>
  </si>
  <si>
    <t>2-210</t>
  </si>
  <si>
    <t>2-213</t>
  </si>
  <si>
    <t>2-214</t>
  </si>
  <si>
    <t>2-215</t>
  </si>
  <si>
    <t>2-216</t>
  </si>
  <si>
    <t>2-217</t>
  </si>
  <si>
    <t>2-218</t>
  </si>
  <si>
    <t>2-219</t>
  </si>
  <si>
    <t>2-220</t>
  </si>
  <si>
    <t>2-221</t>
  </si>
  <si>
    <t>杂物间</t>
  </si>
  <si>
    <t>2-301</t>
  </si>
  <si>
    <t>2-302</t>
  </si>
  <si>
    <t>2-303</t>
  </si>
  <si>
    <t>2-304</t>
  </si>
  <si>
    <t>2-305</t>
  </si>
  <si>
    <t>2-306</t>
  </si>
  <si>
    <t>深圳</t>
  </si>
  <si>
    <t>2-307</t>
  </si>
  <si>
    <t>2-308</t>
  </si>
  <si>
    <t>2-309</t>
  </si>
  <si>
    <t>2-311</t>
  </si>
  <si>
    <t>2-312</t>
  </si>
  <si>
    <t>2-314</t>
  </si>
  <si>
    <t>2-317</t>
  </si>
  <si>
    <t>2-318</t>
  </si>
  <si>
    <t>2-319</t>
  </si>
  <si>
    <t>2-320</t>
  </si>
  <si>
    <t>2-321</t>
  </si>
  <si>
    <t>2-401</t>
  </si>
  <si>
    <t>2-402</t>
  </si>
  <si>
    <t>2-403</t>
  </si>
  <si>
    <t>2-404</t>
  </si>
  <si>
    <t>2-405</t>
  </si>
  <si>
    <t>2-406</t>
  </si>
  <si>
    <t>2-407</t>
  </si>
  <si>
    <t>2-408</t>
  </si>
  <si>
    <t>2-410</t>
  </si>
  <si>
    <t>2-411</t>
  </si>
  <si>
    <t>2-413</t>
  </si>
  <si>
    <t>2-414</t>
  </si>
  <si>
    <t>2-416</t>
  </si>
  <si>
    <t>2-417</t>
  </si>
  <si>
    <t>2-418</t>
  </si>
  <si>
    <t>2-419</t>
  </si>
  <si>
    <t>2-420</t>
  </si>
  <si>
    <t>2-421</t>
  </si>
  <si>
    <t>国有建设用地使用权出让合同</t>
    <phoneticPr fontId="134" type="noConversion"/>
  </si>
  <si>
    <r>
      <t>电子监管号：3</t>
    </r>
    <r>
      <rPr>
        <sz val="11"/>
        <color theme="1"/>
        <rFont val="宋体"/>
        <family val="3"/>
        <charset val="134"/>
        <scheme val="minor"/>
      </rPr>
      <t>701002011B03297</t>
    </r>
    <phoneticPr fontId="134" type="noConversion"/>
  </si>
  <si>
    <t>电子监管号：3701002011B03307</t>
    <phoneticPr fontId="134" type="noConversion"/>
  </si>
  <si>
    <t>电子监管号：3701002011B03315</t>
    <phoneticPr fontId="134" type="noConversion"/>
  </si>
  <si>
    <t>B-1</t>
    <phoneticPr fontId="134" type="noConversion"/>
  </si>
  <si>
    <r>
      <t>2</t>
    </r>
    <r>
      <rPr>
        <sz val="11"/>
        <color theme="1"/>
        <rFont val="宋体"/>
        <family val="3"/>
        <charset val="134"/>
        <scheme val="minor"/>
      </rPr>
      <t>011-G002</t>
    </r>
    <phoneticPr fontId="134" type="noConversion"/>
  </si>
  <si>
    <t>居住</t>
    <phoneticPr fontId="134" type="noConversion"/>
  </si>
  <si>
    <t>B-2</t>
    <phoneticPr fontId="134" type="noConversion"/>
  </si>
  <si>
    <t>2011-G003</t>
    <phoneticPr fontId="134" type="noConversion"/>
  </si>
  <si>
    <t>商务金融</t>
    <phoneticPr fontId="134" type="noConversion"/>
  </si>
  <si>
    <t>C</t>
    <phoneticPr fontId="134" type="noConversion"/>
  </si>
  <si>
    <t>2011-G004</t>
    <phoneticPr fontId="134" type="noConversion"/>
  </si>
  <si>
    <t>地价款</t>
    <phoneticPr fontId="134" type="noConversion"/>
  </si>
  <si>
    <t>建设用地规划许可证</t>
    <phoneticPr fontId="134" type="noConversion"/>
  </si>
  <si>
    <r>
      <t>地字第3</t>
    </r>
    <r>
      <rPr>
        <sz val="11"/>
        <color theme="1"/>
        <rFont val="宋体"/>
        <family val="3"/>
        <charset val="134"/>
        <scheme val="minor"/>
      </rPr>
      <t>70105201200106号</t>
    </r>
    <phoneticPr fontId="134" type="noConversion"/>
  </si>
  <si>
    <t>地字第370105201200107号</t>
    <phoneticPr fontId="134" type="noConversion"/>
  </si>
  <si>
    <t>地字第370105201200108号</t>
    <phoneticPr fontId="134" type="noConversion"/>
  </si>
  <si>
    <t>山东鲁鼎置业有限公司</t>
    <phoneticPr fontId="134" type="noConversion"/>
  </si>
  <si>
    <t>鲁鼎国际城市商业综合体房地产开发项目B-1地块</t>
    <phoneticPr fontId="134" type="noConversion"/>
  </si>
  <si>
    <t>鲁鼎国际城市商业综合体房地产开发项目B-2地块</t>
    <phoneticPr fontId="134" type="noConversion"/>
  </si>
  <si>
    <t>鲁鼎国际城市商业综合体房地产开发项目C地块</t>
    <phoneticPr fontId="134" type="noConversion"/>
  </si>
  <si>
    <t>济泺路以西，汽车厂东路以南</t>
    <phoneticPr fontId="134" type="noConversion"/>
  </si>
  <si>
    <t>市政规划建设用地面积</t>
    <phoneticPr fontId="134" type="noConversion"/>
  </si>
  <si>
    <t>项目规划建设用地面积</t>
    <phoneticPr fontId="134" type="noConversion"/>
  </si>
  <si>
    <t>地上建设规模</t>
    <phoneticPr fontId="134" type="noConversion"/>
  </si>
  <si>
    <t>地下建设规模</t>
    <phoneticPr fontId="134" type="noConversion"/>
  </si>
  <si>
    <t>土地使用权证</t>
    <phoneticPr fontId="134" type="noConversion"/>
  </si>
  <si>
    <r>
      <t>天桥国用（2</t>
    </r>
    <r>
      <rPr>
        <sz val="11"/>
        <color theme="1"/>
        <rFont val="宋体"/>
        <family val="3"/>
        <charset val="134"/>
        <scheme val="minor"/>
      </rPr>
      <t>012）第0400026号</t>
    </r>
    <phoneticPr fontId="134" type="noConversion"/>
  </si>
  <si>
    <t>天桥国用（2012）第0400027号</t>
    <phoneticPr fontId="134" type="noConversion"/>
  </si>
  <si>
    <t>天桥国用（2012）第0400028号</t>
    <phoneticPr fontId="134" type="noConversion"/>
  </si>
  <si>
    <t>天桥区济泺路西侧，汽车厂东路南侧</t>
    <phoneticPr fontId="134" type="noConversion"/>
  </si>
  <si>
    <t>居住（其它普通商品住房）</t>
    <phoneticPr fontId="134" type="noConversion"/>
  </si>
  <si>
    <t>终止日期</t>
    <phoneticPr fontId="134" type="noConversion"/>
  </si>
  <si>
    <t>使用权面积</t>
    <phoneticPr fontId="134" type="noConversion"/>
  </si>
  <si>
    <t>建设工程规划许可证</t>
    <phoneticPr fontId="134" type="noConversion"/>
  </si>
  <si>
    <t>建字第370105201300021号</t>
    <phoneticPr fontId="134" type="noConversion"/>
  </si>
  <si>
    <t>建字第370105201300020号</t>
    <phoneticPr fontId="134" type="noConversion"/>
  </si>
  <si>
    <t>建字第370105201300019号</t>
    <phoneticPr fontId="134" type="noConversion"/>
  </si>
  <si>
    <t>鲁鼎国际城市商业综合体项目（B-1地块）</t>
    <phoneticPr fontId="134" type="noConversion"/>
  </si>
  <si>
    <t>鲁鼎国际城市商业综合体项目（B-2地块）</t>
    <phoneticPr fontId="134" type="noConversion"/>
  </si>
  <si>
    <t>鲁鼎国际城市商业综合体项目（C地块）</t>
    <phoneticPr fontId="134" type="noConversion"/>
  </si>
  <si>
    <t>规划建筑面积</t>
    <phoneticPr fontId="134" type="noConversion"/>
  </si>
  <si>
    <t>配套公建</t>
    <phoneticPr fontId="134" type="noConversion"/>
  </si>
  <si>
    <r>
      <t xml:space="preserve">含物业管理用房 </t>
    </r>
    <r>
      <rPr>
        <sz val="11"/>
        <color theme="1"/>
        <rFont val="宋体"/>
        <family val="3"/>
        <charset val="134"/>
        <scheme val="minor"/>
      </rPr>
      <t>67.1</t>
    </r>
    <phoneticPr fontId="134" type="noConversion"/>
  </si>
  <si>
    <r>
      <t>含物业管理用房1</t>
    </r>
    <r>
      <rPr>
        <sz val="11"/>
        <color theme="1"/>
        <rFont val="宋体"/>
        <family val="3"/>
        <charset val="134"/>
        <scheme val="minor"/>
      </rPr>
      <t>56.8</t>
    </r>
    <phoneticPr fontId="134" type="noConversion"/>
  </si>
  <si>
    <r>
      <t>含（物业管理用房3</t>
    </r>
    <r>
      <rPr>
        <sz val="11"/>
        <color theme="1"/>
        <rFont val="宋体"/>
        <family val="3"/>
        <charset val="134"/>
        <scheme val="minor"/>
      </rPr>
      <t>8.5）</t>
    </r>
    <phoneticPr fontId="134" type="noConversion"/>
  </si>
  <si>
    <r>
      <t>车库及配套（含1</t>
    </r>
    <r>
      <rPr>
        <sz val="11"/>
        <color theme="1"/>
        <rFont val="宋体"/>
        <family val="3"/>
        <charset val="134"/>
        <scheme val="minor"/>
      </rPr>
      <t>900人防）</t>
    </r>
    <phoneticPr fontId="134" type="noConversion"/>
  </si>
  <si>
    <r>
      <t>9</t>
    </r>
    <r>
      <rPr>
        <sz val="11"/>
        <color theme="1"/>
        <rFont val="宋体"/>
        <family val="3"/>
        <charset val="134"/>
        <scheme val="minor"/>
      </rPr>
      <t>0个车位（地上17、地下73）</t>
    </r>
    <phoneticPr fontId="134" type="noConversion"/>
  </si>
  <si>
    <r>
      <t>设备及车库（含3</t>
    </r>
    <r>
      <rPr>
        <sz val="11"/>
        <color theme="1"/>
        <rFont val="宋体"/>
        <family val="3"/>
        <charset val="134"/>
        <scheme val="minor"/>
      </rPr>
      <t>600人防不记容积率）</t>
    </r>
    <phoneticPr fontId="134" type="noConversion"/>
  </si>
  <si>
    <r>
      <t>3</t>
    </r>
    <r>
      <rPr>
        <sz val="11"/>
        <color theme="1"/>
        <rFont val="宋体"/>
        <family val="3"/>
        <charset val="134"/>
        <scheme val="minor"/>
      </rPr>
      <t>73个车位（地上37，地下336）</t>
    </r>
    <phoneticPr fontId="134" type="noConversion"/>
  </si>
  <si>
    <r>
      <t>9</t>
    </r>
    <r>
      <rPr>
        <sz val="11"/>
        <color theme="1"/>
        <rFont val="宋体"/>
        <family val="3"/>
        <charset val="134"/>
        <scheme val="minor"/>
      </rPr>
      <t>5个车位（地上17个，地下78）</t>
    </r>
    <phoneticPr fontId="134" type="noConversion"/>
  </si>
  <si>
    <t>规划建设用地面积</t>
    <phoneticPr fontId="134" type="noConversion"/>
  </si>
  <si>
    <t>地上容积率</t>
    <phoneticPr fontId="134" type="noConversion"/>
  </si>
  <si>
    <t>地下容积率</t>
    <phoneticPr fontId="134" type="noConversion"/>
  </si>
  <si>
    <t>建筑密度</t>
    <phoneticPr fontId="134" type="noConversion"/>
  </si>
  <si>
    <t>绿地率</t>
    <phoneticPr fontId="134" type="noConversion"/>
  </si>
  <si>
    <t>建设工程施工许可手续办理函</t>
    <phoneticPr fontId="134" type="noConversion"/>
  </si>
  <si>
    <r>
      <t>编号：2</t>
    </r>
    <r>
      <rPr>
        <sz val="11"/>
        <color theme="1"/>
        <rFont val="宋体"/>
        <family val="3"/>
        <charset val="134"/>
        <scheme val="minor"/>
      </rPr>
      <t>014第20号</t>
    </r>
    <phoneticPr fontId="134" type="noConversion"/>
  </si>
  <si>
    <r>
      <t>2</t>
    </r>
    <r>
      <rPr>
        <sz val="11"/>
        <color theme="1"/>
        <rFont val="宋体"/>
        <family val="3"/>
        <charset val="134"/>
        <scheme val="minor"/>
      </rPr>
      <t>013.10开工</t>
    </r>
    <phoneticPr fontId="134" type="noConversion"/>
  </si>
  <si>
    <t>天桥区济泺路以西，汽车厂东路以南</t>
    <phoneticPr fontId="134" type="noConversion"/>
  </si>
  <si>
    <t>建设规模</t>
    <phoneticPr fontId="134" type="noConversion"/>
  </si>
  <si>
    <t>工程造价</t>
    <phoneticPr fontId="134" type="noConversion"/>
  </si>
  <si>
    <t>设计单位</t>
    <phoneticPr fontId="134" type="noConversion"/>
  </si>
  <si>
    <t>济南市人防建筑设计院有限责任公司</t>
    <phoneticPr fontId="134" type="noConversion"/>
  </si>
  <si>
    <t>施工单位</t>
    <phoneticPr fontId="134" type="noConversion"/>
  </si>
  <si>
    <t>山东平安建设集团有限公司</t>
    <phoneticPr fontId="134" type="noConversion"/>
  </si>
  <si>
    <t>商品房预售许可证</t>
    <phoneticPr fontId="134" type="noConversion"/>
  </si>
  <si>
    <r>
      <t>济建预许2</t>
    </r>
    <r>
      <rPr>
        <sz val="11"/>
        <color theme="1"/>
        <rFont val="宋体"/>
        <family val="3"/>
        <charset val="134"/>
        <scheme val="minor"/>
      </rPr>
      <t>014432号</t>
    </r>
    <phoneticPr fontId="134" type="noConversion"/>
  </si>
  <si>
    <t>济建预许2015070号</t>
    <phoneticPr fontId="134" type="noConversion"/>
  </si>
  <si>
    <t>济建预许2014433号</t>
    <phoneticPr fontId="134" type="noConversion"/>
  </si>
  <si>
    <t>中凡鲁鼎广场B-2</t>
    <phoneticPr fontId="134" type="noConversion"/>
  </si>
  <si>
    <t>住宅楼及配套公建</t>
    <phoneticPr fontId="134" type="noConversion"/>
  </si>
  <si>
    <r>
      <t>2</t>
    </r>
    <r>
      <rPr>
        <sz val="11"/>
        <color theme="1"/>
        <rFont val="宋体"/>
        <family val="3"/>
        <charset val="134"/>
        <scheme val="minor"/>
      </rPr>
      <t>1层</t>
    </r>
    <phoneticPr fontId="134" type="noConversion"/>
  </si>
  <si>
    <t>商业、商务办公综合楼</t>
    <phoneticPr fontId="134" type="noConversion"/>
  </si>
  <si>
    <t>26层</t>
    <phoneticPr fontId="134" type="noConversion"/>
  </si>
  <si>
    <t>预售面积</t>
    <phoneticPr fontId="134" type="noConversion"/>
  </si>
  <si>
    <t>车位</t>
    <phoneticPr fontId="134" type="noConversion"/>
  </si>
  <si>
    <t>建设工程规划核实证</t>
    <phoneticPr fontId="134" type="noConversion"/>
  </si>
  <si>
    <t>济规核字第370105201500041号</t>
    <phoneticPr fontId="134" type="noConversion"/>
  </si>
  <si>
    <t>规划总建筑面积</t>
    <phoneticPr fontId="134" type="noConversion"/>
  </si>
  <si>
    <t>实际建筑面积</t>
    <phoneticPr fontId="134" type="noConversion"/>
  </si>
  <si>
    <t>含物业管理用房37.06</t>
    <phoneticPr fontId="134" type="noConversion"/>
  </si>
  <si>
    <t>房屋建筑工程竣工验收备案表</t>
    <phoneticPr fontId="134" type="noConversion"/>
  </si>
  <si>
    <t>编号：201524106</t>
    <phoneticPr fontId="134" type="noConversion"/>
  </si>
  <si>
    <t>竣工验收日期</t>
    <phoneticPr fontId="134" type="noConversion"/>
  </si>
  <si>
    <t>企业</t>
  </si>
  <si>
    <t>其他：</t>
  </si>
  <si>
    <t>核定资产</t>
  </si>
  <si>
    <t>房地产市场价值</t>
  </si>
  <si>
    <t>d</t>
    <phoneticPr fontId="137" type="noConversion"/>
  </si>
  <si>
    <t>收益法 (元)-商业</t>
  </si>
  <si>
    <t>收益法 (元)-商业</t>
    <phoneticPr fontId="16" type="noConversion"/>
  </si>
  <si>
    <t>收益法 (元)-办公</t>
  </si>
  <si>
    <t>收益法 (元)-办公</t>
    <phoneticPr fontId="16" type="noConversion"/>
  </si>
  <si>
    <t>是</t>
  </si>
  <si>
    <t>地上</t>
  </si>
  <si>
    <t>地下</t>
  </si>
  <si>
    <t>商业</t>
    <phoneticPr fontId="7" type="noConversion"/>
  </si>
  <si>
    <t>办公</t>
    <phoneticPr fontId="7" type="noConversion"/>
  </si>
  <si>
    <t>车位</t>
  </si>
  <si>
    <t>车位</t>
    <phoneticPr fontId="7" type="noConversion"/>
  </si>
  <si>
    <t>仓储</t>
    <phoneticPr fontId="7" type="noConversion"/>
  </si>
  <si>
    <t>楼层</t>
    <phoneticPr fontId="134" type="noConversion"/>
  </si>
  <si>
    <t>项目指标</t>
  </si>
  <si>
    <t>2号楼</t>
  </si>
  <si>
    <t>成新度</t>
  </si>
  <si>
    <t>收益法 (元)-车位</t>
  </si>
  <si>
    <t>收益法 (元)-车位</t>
    <phoneticPr fontId="16" type="noConversion"/>
  </si>
  <si>
    <t>收益法 (元)-仓储</t>
  </si>
  <si>
    <t>收益法 (元)-仓储</t>
    <phoneticPr fontId="16" type="noConversion"/>
  </si>
  <si>
    <t>比较法-车位</t>
  </si>
  <si>
    <t>济南印发城市基础设施配套费征收使用管理办法 民生资讯 济南政府网_济南市人民政府门户网站</t>
  </si>
  <si>
    <t>押一</t>
  </si>
  <si>
    <t>钢混</t>
  </si>
  <si>
    <t>非生产用房</t>
  </si>
  <si>
    <t>否</t>
  </si>
  <si>
    <t>王舍人片区16街区小汉峪沟以东、张马屯街以南用地DWS1603</t>
    <phoneticPr fontId="134" type="noConversion"/>
  </si>
  <si>
    <t>轨道交通7号线历山北路站TOD综合开发项目</t>
  </si>
  <si>
    <t>2025TDGP05C0049</t>
  </si>
  <si>
    <t>2025-11-17</t>
  </si>
  <si>
    <t>济南北城投资发展有限公司</t>
  </si>
  <si>
    <t>2025-11-14 16:00</t>
  </si>
  <si>
    <t>凤凰山路东地块棚改项目BH19-1-1地块</t>
  </si>
  <si>
    <t>2025TDGP05R0042</t>
  </si>
  <si>
    <t>2025-09-28</t>
  </si>
  <si>
    <t>济南华城恒基置业有限公司</t>
  </si>
  <si>
    <t>2025-09-26 16:00</t>
  </si>
  <si>
    <t>丁太鲁新徐片区城市更新项目 CYS-02-07(原A-4)</t>
  </si>
  <si>
    <t>2025TDGP05R0041</t>
  </si>
  <si>
    <t>2025-09-08</t>
  </si>
  <si>
    <t>2025-09-05 16:00</t>
  </si>
  <si>
    <t>起步区都市阳台QB-DQ-36-10-2地块</t>
  </si>
  <si>
    <t>2025TDGPQBC0012</t>
  </si>
  <si>
    <t>2025-09-03</t>
  </si>
  <si>
    <t>济南新征程建设发展有限公司</t>
  </si>
  <si>
    <t>2025-09-01 16:00</t>
  </si>
  <si>
    <t>起步区示范区片区项目AZX-R-03地块</t>
  </si>
  <si>
    <t>2025TDGPQBR0011</t>
  </si>
  <si>
    <t>2.0&lt;=地上容积率&lt;=2.3</t>
  </si>
  <si>
    <t>2025-08-04</t>
  </si>
  <si>
    <t>济南上河产业发展服务集团有限公司</t>
  </si>
  <si>
    <t>2025-08-01 16:00</t>
  </si>
  <si>
    <t>起步区大桥片区总部经济区QB-DQ-21-39地块</t>
  </si>
  <si>
    <t>2025TDGPQBR0010</t>
  </si>
  <si>
    <t>1.8&lt;=地上容积率&lt;=2.2</t>
  </si>
  <si>
    <t>2025-07-31</t>
  </si>
  <si>
    <t>淄博中大房地产开发有限责任公司</t>
  </si>
  <si>
    <t>2025-07-29 16:00</t>
  </si>
  <si>
    <t>黄河流域民营经济创新总部基地B-5地块</t>
  </si>
  <si>
    <t>2025TDGPQBC0008</t>
  </si>
  <si>
    <t>2.0&lt;=地上容积率&lt;=2.6</t>
  </si>
  <si>
    <t>2025-06-26</t>
  </si>
  <si>
    <t>济南天域置业有限公司</t>
  </si>
  <si>
    <t>2025-06-24 16:00</t>
  </si>
  <si>
    <t>起步区大桥片区总部经济区B-2地块</t>
  </si>
  <si>
    <t>2023TDGPQBC0054</t>
  </si>
  <si>
    <t>2024-01-29</t>
  </si>
  <si>
    <t>2024-01-26 16:00</t>
  </si>
  <si>
    <t>起步区大桥片区总部经济区B-11地块</t>
  </si>
  <si>
    <t>2023TDGPQBR0061</t>
  </si>
  <si>
    <t>起步区大桥片区总部经济区E-2地块</t>
  </si>
  <si>
    <t>2023TDGPQBC0044</t>
  </si>
  <si>
    <t>济南先投产业发展有限公司</t>
  </si>
  <si>
    <t>起步区大桥片区总部经济区A-1地块</t>
  </si>
  <si>
    <t>2023TDGPQBC0040</t>
  </si>
  <si>
    <t>5.5&lt;=地上容积率&lt;=6.0</t>
  </si>
  <si>
    <t>起步区大桥片区总部经济区B-4地块</t>
  </si>
  <si>
    <t>2023TDGPQBR0055</t>
  </si>
  <si>
    <t>起步区大桥片区总部经济区C-6-1地块</t>
  </si>
  <si>
    <t>2023TDGPQBC0049</t>
  </si>
  <si>
    <t>5.0&lt;=地上容积率&lt;=6.0</t>
  </si>
  <si>
    <t>起步区大桥片区总部经济区B-10地块</t>
  </si>
  <si>
    <t>2023TDGPQBR0059</t>
  </si>
  <si>
    <t>起步区大桥片区总部经济区C-4地块</t>
  </si>
  <si>
    <t>2023TDGPQBC0051</t>
  </si>
  <si>
    <t>2.5&lt;=地上容积率&lt;=3.5</t>
  </si>
  <si>
    <t>起步区园博园A-1地块</t>
  </si>
  <si>
    <t>2023TDGPQBC0076</t>
  </si>
  <si>
    <t>起步区大桥片区总部经济区A-4地块</t>
  </si>
  <si>
    <t>2023TDGPQBR0043</t>
  </si>
  <si>
    <t>起步区园博园B-1地块</t>
  </si>
  <si>
    <t>2023TDGPQBC0074</t>
  </si>
  <si>
    <t>起步区园博园A-5地块</t>
  </si>
  <si>
    <t>2023TDGPQBC0071</t>
  </si>
  <si>
    <t>起步区大桥片区总部经济区B-1-1地块</t>
  </si>
  <si>
    <t>2023TDGPQBR0064</t>
  </si>
  <si>
    <t>起步区大桥片区总部经济区C-2地块</t>
  </si>
  <si>
    <t>2023TDGPQBR0050</t>
  </si>
  <si>
    <t>起步区园博园A-6地块</t>
  </si>
  <si>
    <t>2023TDGPQBC0072</t>
  </si>
  <si>
    <t>已包含在土地取得成本中</t>
  </si>
  <si>
    <t>未包含在土地购买价格中</t>
  </si>
  <si>
    <t>中凡鲁鼎广场</t>
    <phoneticPr fontId="134" type="noConversion"/>
  </si>
  <si>
    <t>城发成家北园时代中心</t>
    <phoneticPr fontId="134" type="noConversion"/>
  </si>
  <si>
    <r>
      <t>3</t>
    </r>
    <r>
      <rPr>
        <sz val="11"/>
        <color theme="1"/>
        <rFont val="宋体"/>
        <family val="3"/>
        <charset val="134"/>
        <scheme val="minor"/>
      </rPr>
      <t>5-1000</t>
    </r>
    <phoneticPr fontId="134" type="noConversion"/>
  </si>
  <si>
    <t>四建美林大厦</t>
    <phoneticPr fontId="134" type="noConversion"/>
  </si>
  <si>
    <t>名泉春晓</t>
    <phoneticPr fontId="134" type="noConversion"/>
  </si>
  <si>
    <t>全量汇总</t>
  </si>
  <si>
    <t>2025-09</t>
  </si>
  <si>
    <t>2025-07</t>
  </si>
  <si>
    <t>2025-06</t>
  </si>
  <si>
    <t>2025-01</t>
  </si>
  <si>
    <t>金科澜山公馆商业</t>
    <phoneticPr fontId="134" type="noConversion"/>
  </si>
  <si>
    <t>时间</t>
  </si>
  <si>
    <t>成交价格(元/㎡)</t>
  </si>
  <si>
    <t>成交金额(万元)</t>
  </si>
  <si>
    <t>批准上市套数(套)</t>
  </si>
  <si>
    <t>批准上市面积(㎡)</t>
  </si>
  <si>
    <t>可售套数(套)</t>
  </si>
  <si>
    <t>可售面积(㎡)</t>
  </si>
  <si>
    <t>2024-02</t>
  </si>
  <si>
    <t>2023-12</t>
  </si>
  <si>
    <t>2023-10</t>
  </si>
  <si>
    <t>2023-09</t>
  </si>
  <si>
    <t>2023-08</t>
  </si>
  <si>
    <t>2023-03</t>
  </si>
  <si>
    <t>2023-02</t>
  </si>
  <si>
    <t>2023-01</t>
  </si>
  <si>
    <t>2022-12</t>
  </si>
  <si>
    <t>金科澜山公馆车位</t>
    <phoneticPr fontId="134" type="noConversion"/>
  </si>
  <si>
    <t>金科澜山公馆办公</t>
    <phoneticPr fontId="134" type="noConversion"/>
  </si>
  <si>
    <t>2024-09</t>
  </si>
  <si>
    <t>2023-11</t>
  </si>
  <si>
    <t>2022-09</t>
  </si>
  <si>
    <t>2022-08</t>
  </si>
  <si>
    <t>金科澜山公馆仓储</t>
    <phoneticPr fontId="134" type="noConversion"/>
  </si>
  <si>
    <t>泉星小区商业</t>
    <phoneticPr fontId="134" type="noConversion"/>
  </si>
  <si>
    <t>泉星小区办公</t>
    <phoneticPr fontId="134" type="noConversion"/>
  </si>
  <si>
    <t>泉星小区仓储</t>
    <phoneticPr fontId="134" type="noConversion"/>
  </si>
  <si>
    <t>博翠明湖车位</t>
    <phoneticPr fontId="134" type="noConversion"/>
  </si>
  <si>
    <t>博翠明湖仓储</t>
    <phoneticPr fontId="134" type="noConversion"/>
  </si>
  <si>
    <t>博翠明湖办公</t>
    <phoneticPr fontId="134" type="noConversion"/>
  </si>
  <si>
    <t>博翠明湖商业</t>
    <phoneticPr fontId="134" type="noConversion"/>
  </si>
  <si>
    <t>世茂天城仓储</t>
    <phoneticPr fontId="134" type="noConversion"/>
  </si>
  <si>
    <t>世茂天城商业</t>
    <phoneticPr fontId="134" type="noConversion"/>
  </si>
  <si>
    <t>世茂天城车位</t>
    <phoneticPr fontId="134" type="noConversion"/>
  </si>
  <si>
    <t>世茂天城办公</t>
    <phoneticPr fontId="134" type="noConversion"/>
  </si>
  <si>
    <t>鲁鼎国际</t>
    <phoneticPr fontId="134" type="noConversion"/>
  </si>
  <si>
    <t>1层商业</t>
  </si>
  <si>
    <t>1层商业</t>
    <phoneticPr fontId="7" type="noConversion"/>
  </si>
  <si>
    <t>单套模式</t>
  </si>
  <si>
    <t>售价</t>
  </si>
  <si>
    <t>比较法-商业</t>
  </si>
  <si>
    <t>比较法-办公</t>
  </si>
  <si>
    <t>鲁鼎国际</t>
    <phoneticPr fontId="3" type="noConversion"/>
  </si>
  <si>
    <t>比较法-仓储</t>
  </si>
  <si>
    <t>商业总价</t>
    <phoneticPr fontId="134" type="noConversion"/>
  </si>
  <si>
    <t>办公总价</t>
    <phoneticPr fontId="134" type="noConversion"/>
  </si>
  <si>
    <t>车位总价</t>
    <phoneticPr fontId="134" type="noConversion"/>
  </si>
  <si>
    <t>仓储总价</t>
    <phoneticPr fontId="134" type="noConversion"/>
  </si>
  <si>
    <t>总价</t>
    <phoneticPr fontId="134" type="noConversion"/>
  </si>
  <si>
    <t>总面积</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</si>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</sst>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u/>
      <sz val="11"/>
      <color theme="10"/>
      <name val="宋体"/>
      <family val="3"/>
      <charset val="134"/>
      <scheme val="minor"/>
    </font>
    <font>
      <sz val="12"/>
      <name val="宋体"/>
      <family val="3"/>
      <charset val="134"/>
      <scheme val="minor"/>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6"/>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0" borderId="0" xfId="19"/>
    <xf numFmtId="0" fontId="96" fillId="0" borderId="1" xfId="1" applyFont="1" applyBorder="1" applyAlignment="1">
      <alignment horizontal="center" vertical="center" wrapText="1"/>
    </xf>
    <xf numFmtId="0" fontId="95" fillId="0" borderId="0" xfId="2"/>
    <xf numFmtId="0" fontId="95" fillId="0" borderId="1" xfId="1" applyBorder="1" applyAlignment="1">
      <alignment horizontal="center" vertical="center" wrapText="1"/>
    </xf>
    <xf numFmtId="14" fontId="95" fillId="0" borderId="1" xfId="1" applyNumberFormat="1" applyBorder="1" applyAlignment="1">
      <alignment horizontal="center" vertical="center" wrapText="1"/>
    </xf>
    <xf numFmtId="0" fontId="95" fillId="0" borderId="58" xfId="1" applyBorder="1" applyAlignment="1">
      <alignment horizontal="center" vertical="center" wrapText="1"/>
    </xf>
    <xf numFmtId="0" fontId="271" fillId="0" borderId="1" xfId="1" applyFont="1" applyBorder="1" applyAlignment="1">
      <alignment horizontal="center" vertical="center" wrapText="1"/>
    </xf>
    <xf numFmtId="14" fontId="271" fillId="0" borderId="1" xfId="1" applyNumberFormat="1" applyFont="1" applyBorder="1" applyAlignment="1">
      <alignment horizontal="center" vertical="center" wrapText="1"/>
    </xf>
    <xf numFmtId="58" fontId="95" fillId="0" borderId="1" xfId="1" applyNumberFormat="1" applyBorder="1" applyAlignment="1">
      <alignment horizontal="center" vertical="center" wrapText="1"/>
    </xf>
    <xf numFmtId="0" fontId="95" fillId="22" borderId="0" xfId="1" applyFill="1">
      <alignment vertical="center"/>
    </xf>
    <xf numFmtId="0" fontId="95" fillId="0" borderId="0" xfId="1" applyAlignment="1">
      <alignment horizontal="center" vertical="center" wrapText="1"/>
    </xf>
    <xf numFmtId="0" fontId="271" fillId="0" borderId="0" xfId="1" applyFont="1" applyAlignment="1">
      <alignment horizontal="center" vertical="center" wrapText="1"/>
    </xf>
    <xf numFmtId="0" fontId="271" fillId="22" borderId="0" xfId="1" applyFont="1" applyFill="1">
      <alignment vertical="center"/>
    </xf>
    <xf numFmtId="0" fontId="271" fillId="0" borderId="0" xfId="0" applyFont="1">
      <alignment vertical="center"/>
    </xf>
    <xf numFmtId="0" fontId="95" fillId="14" borderId="0" xfId="2" applyFill="1"/>
    <xf numFmtId="0" fontId="95" fillId="14" borderId="0" xfId="2" applyFill="1" applyAlignment="1">
      <alignment wrapText="1"/>
    </xf>
    <xf numFmtId="0" fontId="95" fillId="0" borderId="0" xfId="2" applyAlignment="1">
      <alignment wrapText="1"/>
    </xf>
    <xf numFmtId="0" fontId="95" fillId="23" borderId="0" xfId="2" applyFill="1"/>
    <xf numFmtId="0" fontId="95" fillId="23" borderId="0" xfId="2" applyFill="1" applyAlignment="1">
      <alignment wrapText="1"/>
    </xf>
    <xf numFmtId="0" fontId="95" fillId="24" borderId="0" xfId="2" applyFill="1" applyAlignment="1">
      <alignment wrapText="1"/>
    </xf>
    <xf numFmtId="0" fontId="95" fillId="24" borderId="0" xfId="2" applyFill="1"/>
    <xf numFmtId="14" fontId="95" fillId="0" borderId="0" xfId="2" applyNumberFormat="1" applyAlignment="1">
      <alignment wrapText="1"/>
    </xf>
    <xf numFmtId="0" fontId="95" fillId="25" borderId="0" xfId="2" applyFill="1" applyAlignment="1">
      <alignment wrapText="1"/>
    </xf>
    <xf numFmtId="0" fontId="95" fillId="25" borderId="0" xfId="2" applyFill="1"/>
    <xf numFmtId="0" fontId="95" fillId="0" borderId="0" xfId="2" applyAlignment="1">
      <alignment horizontal="left" wrapText="1"/>
    </xf>
    <xf numFmtId="0" fontId="95" fillId="0" borderId="0" xfId="2" applyAlignment="1">
      <alignment horizontal="right" wrapText="1"/>
    </xf>
    <xf numFmtId="9" fontId="95" fillId="0" borderId="0" xfId="2" applyNumberFormat="1" applyAlignment="1">
      <alignment wrapText="1"/>
    </xf>
    <xf numFmtId="9" fontId="95" fillId="0" borderId="0" xfId="2" applyNumberFormat="1" applyAlignment="1">
      <alignment horizontal="left" wrapText="1"/>
    </xf>
    <xf numFmtId="0" fontId="95" fillId="26" borderId="0" xfId="2" applyFill="1"/>
    <xf numFmtId="0" fontId="95" fillId="26" borderId="0" xfId="2" applyFill="1" applyAlignment="1">
      <alignment wrapText="1"/>
    </xf>
    <xf numFmtId="14" fontId="95" fillId="26" borderId="0" xfId="2" applyNumberFormat="1" applyFill="1" applyAlignment="1">
      <alignment wrapText="1"/>
    </xf>
    <xf numFmtId="0" fontId="95" fillId="22" borderId="0" xfId="2" applyFill="1" applyAlignment="1">
      <alignment wrapText="1"/>
    </xf>
    <xf numFmtId="0" fontId="95" fillId="22" borderId="0" xfId="2" applyFill="1"/>
    <xf numFmtId="14" fontId="95" fillId="0" borderId="0" xfId="2" applyNumberFormat="1" applyAlignment="1">
      <alignment horizontal="left"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72" fillId="0" borderId="0" xfId="19"/>
    <xf numFmtId="0" fontId="248" fillId="0" borderId="0" xfId="19" applyFont="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6" fillId="0" borderId="0" xfId="1" applyFont="1" applyBorder="1" applyAlignment="1">
      <alignment horizontal="center" vertical="center" wrapText="1"/>
    </xf>
    <xf numFmtId="0" fontId="95" fillId="0" borderId="0" xfId="1" applyBorder="1" applyAlignment="1">
      <alignment horizontal="center" vertical="center" wrapText="1"/>
    </xf>
    <xf numFmtId="0" fontId="273" fillId="0" borderId="0" xfId="20">
      <alignment vertical="center"/>
    </xf>
    <xf numFmtId="0" fontId="272" fillId="5" borderId="0" xfId="19" applyFill="1"/>
    <xf numFmtId="0" fontId="272" fillId="22" borderId="0" xfId="19" applyFill="1"/>
    <xf numFmtId="0" fontId="0" fillId="22" borderId="0" xfId="0" applyFill="1">
      <alignment vertical="center"/>
    </xf>
    <xf numFmtId="0" fontId="248" fillId="22" borderId="0" xfId="19" applyFont="1" applyFill="1"/>
    <xf numFmtId="0" fontId="272" fillId="0" borderId="0" xfId="19" applyFill="1"/>
    <xf numFmtId="0" fontId="0" fillId="0" borderId="0" xfId="0" applyFill="1">
      <alignment vertical="center"/>
    </xf>
    <xf numFmtId="0" fontId="272" fillId="13" borderId="0" xfId="19" applyFill="1"/>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27" borderId="0" xfId="19" applyFill="1"/>
    <xf numFmtId="0" fontId="274" fillId="27" borderId="0" xfId="19" applyFont="1" applyFill="1"/>
    <xf numFmtId="0" fontId="272" fillId="28" borderId="0" xfId="19" applyFill="1"/>
    <xf numFmtId="0" fontId="272" fillId="29" borderId="0" xfId="19" applyFill="1"/>
    <xf numFmtId="189" fontId="44" fillId="6" borderId="9" xfId="0" applyNumberFormat="1"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95" fillId="28" borderId="0" xfId="2" applyFill="1"/>
    <xf numFmtId="0" fontId="275" fillId="28" borderId="0" xfId="1" applyFont="1" applyFill="1">
      <alignment vertical="center"/>
    </xf>
    <xf numFmtId="0" fontId="95" fillId="9" borderId="0" xfId="2" applyFill="1"/>
    <xf numFmtId="0" fontId="95" fillId="13" borderId="1" xfId="2" applyFill="1" applyBorder="1"/>
    <xf numFmtId="0" fontId="95" fillId="0" borderId="1" xfId="2" applyBorder="1"/>
    <xf numFmtId="0" fontId="95" fillId="27" borderId="1" xfId="2" applyFill="1" applyBorder="1"/>
    <xf numFmtId="0" fontId="95" fillId="29" borderId="1" xfId="2" applyFill="1" applyBorder="1"/>
    <xf numFmtId="0" fontId="95" fillId="30" borderId="1" xfId="2" applyFill="1" applyBorder="1"/>
  </cellXfs>
  <cellStyles count="21">
    <cellStyle name="百分比" xfId="17" builtinId="5"/>
    <cellStyle name="百分比 2" xfId="14" xr:uid="{00000000-0005-0000-0000-000001000000}"/>
    <cellStyle name="常规" xfId="0" builtinId="0"/>
    <cellStyle name="常规 10" xfId="19" xr:uid="{30B7C003-84CC-4240-B15D-63E96A653EE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142875</xdr:rowOff>
    </xdr:from>
    <xdr:to>
      <xdr:col>15</xdr:col>
      <xdr:colOff>985248</xdr:colOff>
      <xdr:row>56</xdr:row>
      <xdr:rowOff>140886</xdr:rowOff>
    </xdr:to>
    <xdr:pic>
      <xdr:nvPicPr>
        <xdr:cNvPr id="2" name="图片 1">
          <a:extLst>
            <a:ext uri="{FF2B5EF4-FFF2-40B4-BE49-F238E27FC236}">
              <a16:creationId xmlns:a16="http://schemas.microsoft.com/office/drawing/2014/main" id="{74CDB085-774B-40B0-A3C4-27BAD1F0C0EB}"/>
            </a:ext>
          </a:extLst>
        </xdr:cNvPr>
        <xdr:cNvPicPr>
          <a:picLocks noChangeAspect="1"/>
        </xdr:cNvPicPr>
      </xdr:nvPicPr>
      <xdr:blipFill>
        <a:blip xmlns:r="http://schemas.openxmlformats.org/officeDocument/2006/relationships" r:embed="rId1"/>
        <a:stretch>
          <a:fillRect/>
        </a:stretch>
      </xdr:blipFill>
      <xdr:spPr>
        <a:xfrm>
          <a:off x="0" y="9363075"/>
          <a:ext cx="11900898" cy="902886"/>
        </a:xfrm>
        <a:prstGeom prst="rect">
          <a:avLst/>
        </a:prstGeom>
      </xdr:spPr>
    </xdr:pic>
    <xdr:clientData/>
  </xdr:twoCellAnchor>
  <xdr:twoCellAnchor editAs="oneCell">
    <xdr:from>
      <xdr:col>0</xdr:col>
      <xdr:colOff>0</xdr:colOff>
      <xdr:row>60</xdr:row>
      <xdr:rowOff>66675</xdr:rowOff>
    </xdr:from>
    <xdr:to>
      <xdr:col>15</xdr:col>
      <xdr:colOff>809625</xdr:colOff>
      <xdr:row>86</xdr:row>
      <xdr:rowOff>67017</xdr:rowOff>
    </xdr:to>
    <xdr:pic>
      <xdr:nvPicPr>
        <xdr:cNvPr id="3" name="图片 2">
          <a:extLst>
            <a:ext uri="{FF2B5EF4-FFF2-40B4-BE49-F238E27FC236}">
              <a16:creationId xmlns:a16="http://schemas.microsoft.com/office/drawing/2014/main" id="{6DCFF0ED-F717-4941-80A1-03949F7F56DF}"/>
            </a:ext>
          </a:extLst>
        </xdr:cNvPr>
        <xdr:cNvPicPr>
          <a:picLocks noChangeAspect="1"/>
        </xdr:cNvPicPr>
      </xdr:nvPicPr>
      <xdr:blipFill>
        <a:blip xmlns:r="http://schemas.openxmlformats.org/officeDocument/2006/relationships" r:embed="rId2"/>
        <a:stretch>
          <a:fillRect/>
        </a:stretch>
      </xdr:blipFill>
      <xdr:spPr>
        <a:xfrm>
          <a:off x="0" y="10915650"/>
          <a:ext cx="11725275" cy="47056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95250</xdr:colOff>
      <xdr:row>20</xdr:row>
      <xdr:rowOff>123825</xdr:rowOff>
    </xdr:from>
    <xdr:to>
      <xdr:col>33</xdr:col>
      <xdr:colOff>246859</xdr:colOff>
      <xdr:row>46</xdr:row>
      <xdr:rowOff>170673</xdr:rowOff>
    </xdr:to>
    <xdr:pic>
      <xdr:nvPicPr>
        <xdr:cNvPr id="2" name="图片 1">
          <a:extLst>
            <a:ext uri="{FF2B5EF4-FFF2-40B4-BE49-F238E27FC236}">
              <a16:creationId xmlns:a16="http://schemas.microsoft.com/office/drawing/2014/main" id="{EE6FCA74-398C-451C-810D-045B7C1C4B38}"/>
            </a:ext>
          </a:extLst>
        </xdr:cNvPr>
        <xdr:cNvPicPr>
          <a:picLocks noChangeAspect="1"/>
        </xdr:cNvPicPr>
      </xdr:nvPicPr>
      <xdr:blipFill>
        <a:blip xmlns:r="http://schemas.openxmlformats.org/officeDocument/2006/relationships" r:embed="rId1"/>
        <a:stretch>
          <a:fillRect/>
        </a:stretch>
      </xdr:blipFill>
      <xdr:spPr>
        <a:xfrm>
          <a:off x="26546175" y="5095875"/>
          <a:ext cx="6323809" cy="6219048"/>
        </a:xfrm>
        <a:prstGeom prst="rect">
          <a:avLst/>
        </a:prstGeom>
      </xdr:spPr>
    </xdr:pic>
    <xdr:clientData/>
  </xdr:twoCellAnchor>
  <xdr:twoCellAnchor editAs="oneCell">
    <xdr:from>
      <xdr:col>24</xdr:col>
      <xdr:colOff>390525</xdr:colOff>
      <xdr:row>4</xdr:row>
      <xdr:rowOff>152400</xdr:rowOff>
    </xdr:from>
    <xdr:to>
      <xdr:col>33</xdr:col>
      <xdr:colOff>56420</xdr:colOff>
      <xdr:row>16</xdr:row>
      <xdr:rowOff>123486</xdr:rowOff>
    </xdr:to>
    <xdr:pic>
      <xdr:nvPicPr>
        <xdr:cNvPr id="3" name="图片 2">
          <a:extLst>
            <a:ext uri="{FF2B5EF4-FFF2-40B4-BE49-F238E27FC236}">
              <a16:creationId xmlns:a16="http://schemas.microsoft.com/office/drawing/2014/main" id="{DCAA41DC-3A78-4DBF-9858-0CB40F507AAE}"/>
            </a:ext>
          </a:extLst>
        </xdr:cNvPr>
        <xdr:cNvPicPr>
          <a:picLocks noChangeAspect="1"/>
        </xdr:cNvPicPr>
      </xdr:nvPicPr>
      <xdr:blipFill>
        <a:blip xmlns:r="http://schemas.openxmlformats.org/officeDocument/2006/relationships" r:embed="rId2"/>
        <a:stretch>
          <a:fillRect/>
        </a:stretch>
      </xdr:blipFill>
      <xdr:spPr>
        <a:xfrm>
          <a:off x="26841450" y="1352550"/>
          <a:ext cx="5838095" cy="2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180975</xdr:colOff>
      <xdr:row>1</xdr:row>
      <xdr:rowOff>85725</xdr:rowOff>
    </xdr:from>
    <xdr:to>
      <xdr:col>29</xdr:col>
      <xdr:colOff>141680</xdr:colOff>
      <xdr:row>33</xdr:row>
      <xdr:rowOff>170751</xdr:rowOff>
    </xdr:to>
    <xdr:pic>
      <xdr:nvPicPr>
        <xdr:cNvPr id="2" name="图片 1">
          <a:extLst>
            <a:ext uri="{FF2B5EF4-FFF2-40B4-BE49-F238E27FC236}">
              <a16:creationId xmlns:a16="http://schemas.microsoft.com/office/drawing/2014/main" id="{2FE94AA5-D17D-6F18-96ED-23CE26367374}"/>
            </a:ext>
          </a:extLst>
        </xdr:cNvPr>
        <xdr:cNvPicPr>
          <a:picLocks noChangeAspect="1"/>
        </xdr:cNvPicPr>
      </xdr:nvPicPr>
      <xdr:blipFill>
        <a:blip xmlns:r="http://schemas.openxmlformats.org/officeDocument/2006/relationships" r:embed="rId1"/>
        <a:stretch>
          <a:fillRect/>
        </a:stretch>
      </xdr:blipFill>
      <xdr:spPr>
        <a:xfrm>
          <a:off x="11601450" y="266700"/>
          <a:ext cx="9561905" cy="5590476"/>
        </a:xfrm>
        <a:prstGeom prst="rect">
          <a:avLst/>
        </a:prstGeom>
      </xdr:spPr>
    </xdr:pic>
    <xdr:clientData/>
  </xdr:twoCellAnchor>
  <xdr:twoCellAnchor editAs="oneCell">
    <xdr:from>
      <xdr:col>0</xdr:col>
      <xdr:colOff>0</xdr:colOff>
      <xdr:row>3</xdr:row>
      <xdr:rowOff>92004</xdr:rowOff>
    </xdr:from>
    <xdr:to>
      <xdr:col>9</xdr:col>
      <xdr:colOff>1276350</xdr:colOff>
      <xdr:row>47</xdr:row>
      <xdr:rowOff>103561</xdr:rowOff>
    </xdr:to>
    <xdr:pic>
      <xdr:nvPicPr>
        <xdr:cNvPr id="3" name="图片 2">
          <a:extLst>
            <a:ext uri="{FF2B5EF4-FFF2-40B4-BE49-F238E27FC236}">
              <a16:creationId xmlns:a16="http://schemas.microsoft.com/office/drawing/2014/main" id="{6C8F1CF6-2C26-40F3-E445-F87393EFB641}"/>
            </a:ext>
          </a:extLst>
        </xdr:cNvPr>
        <xdr:cNvPicPr>
          <a:picLocks noChangeAspect="1"/>
        </xdr:cNvPicPr>
      </xdr:nvPicPr>
      <xdr:blipFill>
        <a:blip xmlns:r="http://schemas.openxmlformats.org/officeDocument/2006/relationships" r:embed="rId2"/>
        <a:stretch>
          <a:fillRect/>
        </a:stretch>
      </xdr:blipFill>
      <xdr:spPr>
        <a:xfrm>
          <a:off x="0" y="634929"/>
          <a:ext cx="8934450" cy="7555357"/>
        </a:xfrm>
        <a:prstGeom prst="rect">
          <a:avLst/>
        </a:prstGeom>
      </xdr:spPr>
    </xdr:pic>
    <xdr:clientData/>
  </xdr:twoCellAnchor>
  <xdr:twoCellAnchor editAs="oneCell">
    <xdr:from>
      <xdr:col>0</xdr:col>
      <xdr:colOff>0</xdr:colOff>
      <xdr:row>45</xdr:row>
      <xdr:rowOff>0</xdr:rowOff>
    </xdr:from>
    <xdr:to>
      <xdr:col>3</xdr:col>
      <xdr:colOff>494863</xdr:colOff>
      <xdr:row>96</xdr:row>
      <xdr:rowOff>84621</xdr:rowOff>
    </xdr:to>
    <xdr:pic>
      <xdr:nvPicPr>
        <xdr:cNvPr id="4" name="图片 3">
          <a:extLst>
            <a:ext uri="{FF2B5EF4-FFF2-40B4-BE49-F238E27FC236}">
              <a16:creationId xmlns:a16="http://schemas.microsoft.com/office/drawing/2014/main" id="{71B7D99D-BC7B-7D30-5D2A-84A21C3984B0}"/>
            </a:ext>
          </a:extLst>
        </xdr:cNvPr>
        <xdr:cNvPicPr>
          <a:picLocks noChangeAspect="1"/>
        </xdr:cNvPicPr>
      </xdr:nvPicPr>
      <xdr:blipFill>
        <a:blip xmlns:r="http://schemas.openxmlformats.org/officeDocument/2006/relationships" r:embed="rId3"/>
        <a:stretch>
          <a:fillRect/>
        </a:stretch>
      </xdr:blipFill>
      <xdr:spPr>
        <a:xfrm>
          <a:off x="0" y="7743825"/>
          <a:ext cx="3495238" cy="8828571"/>
        </a:xfrm>
        <a:prstGeom prst="rect">
          <a:avLst/>
        </a:prstGeom>
      </xdr:spPr>
    </xdr:pic>
    <xdr:clientData/>
  </xdr:twoCellAnchor>
  <xdr:twoCellAnchor editAs="oneCell">
    <xdr:from>
      <xdr:col>5</xdr:col>
      <xdr:colOff>171450</xdr:colOff>
      <xdr:row>46</xdr:row>
      <xdr:rowOff>66675</xdr:rowOff>
    </xdr:from>
    <xdr:to>
      <xdr:col>9</xdr:col>
      <xdr:colOff>209134</xdr:colOff>
      <xdr:row>103</xdr:row>
      <xdr:rowOff>46406</xdr:rowOff>
    </xdr:to>
    <xdr:pic>
      <xdr:nvPicPr>
        <xdr:cNvPr id="5" name="图片 4">
          <a:extLst>
            <a:ext uri="{FF2B5EF4-FFF2-40B4-BE49-F238E27FC236}">
              <a16:creationId xmlns:a16="http://schemas.microsoft.com/office/drawing/2014/main" id="{F15C5B94-03B0-901B-5A52-4A82B67F832D}"/>
            </a:ext>
          </a:extLst>
        </xdr:cNvPr>
        <xdr:cNvPicPr>
          <a:picLocks noChangeAspect="1"/>
        </xdr:cNvPicPr>
      </xdr:nvPicPr>
      <xdr:blipFill>
        <a:blip xmlns:r="http://schemas.openxmlformats.org/officeDocument/2006/relationships" r:embed="rId4"/>
        <a:stretch>
          <a:fillRect/>
        </a:stretch>
      </xdr:blipFill>
      <xdr:spPr>
        <a:xfrm>
          <a:off x="3600450" y="7981950"/>
          <a:ext cx="3323809" cy="9752381"/>
        </a:xfrm>
        <a:prstGeom prst="rect">
          <a:avLst/>
        </a:prstGeom>
      </xdr:spPr>
    </xdr:pic>
    <xdr:clientData/>
  </xdr:twoCellAnchor>
  <xdr:twoCellAnchor editAs="oneCell">
    <xdr:from>
      <xdr:col>9</xdr:col>
      <xdr:colOff>133350</xdr:colOff>
      <xdr:row>47</xdr:row>
      <xdr:rowOff>76200</xdr:rowOff>
    </xdr:from>
    <xdr:to>
      <xdr:col>11</xdr:col>
      <xdr:colOff>285333</xdr:colOff>
      <xdr:row>113</xdr:row>
      <xdr:rowOff>65262</xdr:rowOff>
    </xdr:to>
    <xdr:pic>
      <xdr:nvPicPr>
        <xdr:cNvPr id="6" name="图片 5">
          <a:extLst>
            <a:ext uri="{FF2B5EF4-FFF2-40B4-BE49-F238E27FC236}">
              <a16:creationId xmlns:a16="http://schemas.microsoft.com/office/drawing/2014/main" id="{C2378601-8D54-2F9D-C774-2D059B683FC2}"/>
            </a:ext>
          </a:extLst>
        </xdr:cNvPr>
        <xdr:cNvPicPr>
          <a:picLocks noChangeAspect="1"/>
        </xdr:cNvPicPr>
      </xdr:nvPicPr>
      <xdr:blipFill>
        <a:blip xmlns:r="http://schemas.openxmlformats.org/officeDocument/2006/relationships" r:embed="rId5"/>
        <a:stretch>
          <a:fillRect/>
        </a:stretch>
      </xdr:blipFill>
      <xdr:spPr>
        <a:xfrm>
          <a:off x="6848475" y="8162925"/>
          <a:ext cx="3333333" cy="11304762"/>
        </a:xfrm>
        <a:prstGeom prst="rect">
          <a:avLst/>
        </a:prstGeom>
      </xdr:spPr>
    </xdr:pic>
    <xdr:clientData/>
  </xdr:twoCellAnchor>
  <xdr:twoCellAnchor editAs="oneCell">
    <xdr:from>
      <xdr:col>10</xdr:col>
      <xdr:colOff>28575</xdr:colOff>
      <xdr:row>45</xdr:row>
      <xdr:rowOff>82469</xdr:rowOff>
    </xdr:from>
    <xdr:to>
      <xdr:col>29</xdr:col>
      <xdr:colOff>340085</xdr:colOff>
      <xdr:row>62</xdr:row>
      <xdr:rowOff>8972</xdr:rowOff>
    </xdr:to>
    <xdr:pic>
      <xdr:nvPicPr>
        <xdr:cNvPr id="8" name="图片 7">
          <a:extLst>
            <a:ext uri="{FF2B5EF4-FFF2-40B4-BE49-F238E27FC236}">
              <a16:creationId xmlns:a16="http://schemas.microsoft.com/office/drawing/2014/main" id="{F8C60520-BD82-2FA4-7C99-386DFDEA855E}"/>
            </a:ext>
          </a:extLst>
        </xdr:cNvPr>
        <xdr:cNvPicPr>
          <a:picLocks noChangeAspect="1"/>
        </xdr:cNvPicPr>
      </xdr:nvPicPr>
      <xdr:blipFill>
        <a:blip xmlns:r="http://schemas.openxmlformats.org/officeDocument/2006/relationships" r:embed="rId6"/>
        <a:stretch>
          <a:fillRect/>
        </a:stretch>
      </xdr:blipFill>
      <xdr:spPr>
        <a:xfrm>
          <a:off x="8105775" y="7826294"/>
          <a:ext cx="14475185" cy="2841153"/>
        </a:xfrm>
        <a:prstGeom prst="rect">
          <a:avLst/>
        </a:prstGeom>
      </xdr:spPr>
    </xdr:pic>
    <xdr:clientData/>
  </xdr:twoCellAnchor>
  <xdr:twoCellAnchor editAs="oneCell">
    <xdr:from>
      <xdr:col>11</xdr:col>
      <xdr:colOff>209550</xdr:colOff>
      <xdr:row>64</xdr:row>
      <xdr:rowOff>47625</xdr:rowOff>
    </xdr:from>
    <xdr:to>
      <xdr:col>25</xdr:col>
      <xdr:colOff>532159</xdr:colOff>
      <xdr:row>78</xdr:row>
      <xdr:rowOff>75896</xdr:rowOff>
    </xdr:to>
    <xdr:pic>
      <xdr:nvPicPr>
        <xdr:cNvPr id="9" name="图片 8">
          <a:extLst>
            <a:ext uri="{FF2B5EF4-FFF2-40B4-BE49-F238E27FC236}">
              <a16:creationId xmlns:a16="http://schemas.microsoft.com/office/drawing/2014/main" id="{F92EAEED-81BA-E113-52FB-99E30FE42CE5}"/>
            </a:ext>
          </a:extLst>
        </xdr:cNvPr>
        <xdr:cNvPicPr>
          <a:picLocks noChangeAspect="1"/>
        </xdr:cNvPicPr>
      </xdr:nvPicPr>
      <xdr:blipFill>
        <a:blip xmlns:r="http://schemas.openxmlformats.org/officeDocument/2006/relationships" r:embed="rId7"/>
        <a:stretch>
          <a:fillRect/>
        </a:stretch>
      </xdr:blipFill>
      <xdr:spPr>
        <a:xfrm>
          <a:off x="10106025" y="11049000"/>
          <a:ext cx="9923809" cy="2428571"/>
        </a:xfrm>
        <a:prstGeom prst="rect">
          <a:avLst/>
        </a:prstGeom>
      </xdr:spPr>
    </xdr:pic>
    <xdr:clientData/>
  </xdr:twoCellAnchor>
  <xdr:twoCellAnchor editAs="oneCell">
    <xdr:from>
      <xdr:col>5</xdr:col>
      <xdr:colOff>123825</xdr:colOff>
      <xdr:row>81</xdr:row>
      <xdr:rowOff>93743</xdr:rowOff>
    </xdr:from>
    <xdr:to>
      <xdr:col>10</xdr:col>
      <xdr:colOff>1552575</xdr:colOff>
      <xdr:row>130</xdr:row>
      <xdr:rowOff>84331</xdr:rowOff>
    </xdr:to>
    <xdr:pic>
      <xdr:nvPicPr>
        <xdr:cNvPr id="10" name="图片 9">
          <a:extLst>
            <a:ext uri="{FF2B5EF4-FFF2-40B4-BE49-F238E27FC236}">
              <a16:creationId xmlns:a16="http://schemas.microsoft.com/office/drawing/2014/main" id="{FA8BDD40-D3A6-D11E-08BE-27050EC58A99}"/>
            </a:ext>
          </a:extLst>
        </xdr:cNvPr>
        <xdr:cNvPicPr>
          <a:picLocks noChangeAspect="1"/>
        </xdr:cNvPicPr>
      </xdr:nvPicPr>
      <xdr:blipFill>
        <a:blip xmlns:r="http://schemas.openxmlformats.org/officeDocument/2006/relationships" r:embed="rId8"/>
        <a:stretch>
          <a:fillRect/>
        </a:stretch>
      </xdr:blipFill>
      <xdr:spPr>
        <a:xfrm>
          <a:off x="4495800" y="14009768"/>
          <a:ext cx="6076950" cy="8391638"/>
        </a:xfrm>
        <a:prstGeom prst="rect">
          <a:avLst/>
        </a:prstGeom>
      </xdr:spPr>
    </xdr:pic>
    <xdr:clientData/>
  </xdr:twoCellAnchor>
  <xdr:twoCellAnchor editAs="oneCell">
    <xdr:from>
      <xdr:col>0</xdr:col>
      <xdr:colOff>0</xdr:colOff>
      <xdr:row>127</xdr:row>
      <xdr:rowOff>75922</xdr:rowOff>
    </xdr:from>
    <xdr:to>
      <xdr:col>10</xdr:col>
      <xdr:colOff>1323975</xdr:colOff>
      <xdr:row>173</xdr:row>
      <xdr:rowOff>122625</xdr:rowOff>
    </xdr:to>
    <xdr:pic>
      <xdr:nvPicPr>
        <xdr:cNvPr id="13" name="图片 12">
          <a:extLst>
            <a:ext uri="{FF2B5EF4-FFF2-40B4-BE49-F238E27FC236}">
              <a16:creationId xmlns:a16="http://schemas.microsoft.com/office/drawing/2014/main" id="{47883942-28D6-21CD-D558-A471C5449C30}"/>
            </a:ext>
          </a:extLst>
        </xdr:cNvPr>
        <xdr:cNvPicPr>
          <a:picLocks noChangeAspect="1"/>
        </xdr:cNvPicPr>
      </xdr:nvPicPr>
      <xdr:blipFill>
        <a:blip xmlns:r="http://schemas.openxmlformats.org/officeDocument/2006/relationships" r:embed="rId9"/>
        <a:stretch>
          <a:fillRect/>
        </a:stretch>
      </xdr:blipFill>
      <xdr:spPr>
        <a:xfrm>
          <a:off x="0" y="21878647"/>
          <a:ext cx="10344150" cy="7933403"/>
        </a:xfrm>
        <a:prstGeom prst="rect">
          <a:avLst/>
        </a:prstGeom>
      </xdr:spPr>
    </xdr:pic>
    <xdr:clientData/>
  </xdr:twoCellAnchor>
  <xdr:twoCellAnchor editAs="oneCell">
    <xdr:from>
      <xdr:col>12</xdr:col>
      <xdr:colOff>304799</xdr:colOff>
      <xdr:row>78</xdr:row>
      <xdr:rowOff>57150</xdr:rowOff>
    </xdr:from>
    <xdr:to>
      <xdr:col>26</xdr:col>
      <xdr:colOff>189256</xdr:colOff>
      <xdr:row>88</xdr:row>
      <xdr:rowOff>85507</xdr:rowOff>
    </xdr:to>
    <xdr:pic>
      <xdr:nvPicPr>
        <xdr:cNvPr id="14" name="图片 13">
          <a:extLst>
            <a:ext uri="{FF2B5EF4-FFF2-40B4-BE49-F238E27FC236}">
              <a16:creationId xmlns:a16="http://schemas.microsoft.com/office/drawing/2014/main" id="{D879DAD2-2789-6B56-66DF-87076A396E45}"/>
            </a:ext>
          </a:extLst>
        </xdr:cNvPr>
        <xdr:cNvPicPr>
          <a:picLocks noChangeAspect="1"/>
        </xdr:cNvPicPr>
      </xdr:nvPicPr>
      <xdr:blipFill>
        <a:blip xmlns:r="http://schemas.openxmlformats.org/officeDocument/2006/relationships" r:embed="rId10"/>
        <a:stretch>
          <a:fillRect/>
        </a:stretch>
      </xdr:blipFill>
      <xdr:spPr>
        <a:xfrm>
          <a:off x="11830049" y="13458825"/>
          <a:ext cx="9485657" cy="1742857"/>
        </a:xfrm>
        <a:prstGeom prst="rect">
          <a:avLst/>
        </a:prstGeom>
      </xdr:spPr>
    </xdr:pic>
    <xdr:clientData/>
  </xdr:twoCellAnchor>
  <xdr:twoCellAnchor editAs="oneCell">
    <xdr:from>
      <xdr:col>12</xdr:col>
      <xdr:colOff>123825</xdr:colOff>
      <xdr:row>87</xdr:row>
      <xdr:rowOff>76200</xdr:rowOff>
    </xdr:from>
    <xdr:to>
      <xdr:col>26</xdr:col>
      <xdr:colOff>579768</xdr:colOff>
      <xdr:row>97</xdr:row>
      <xdr:rowOff>28367</xdr:rowOff>
    </xdr:to>
    <xdr:pic>
      <xdr:nvPicPr>
        <xdr:cNvPr id="15" name="图片 14">
          <a:extLst>
            <a:ext uri="{FF2B5EF4-FFF2-40B4-BE49-F238E27FC236}">
              <a16:creationId xmlns:a16="http://schemas.microsoft.com/office/drawing/2014/main" id="{7DF436A2-4894-84DE-A748-59997EAF3726}"/>
            </a:ext>
          </a:extLst>
        </xdr:cNvPr>
        <xdr:cNvPicPr>
          <a:picLocks noChangeAspect="1"/>
        </xdr:cNvPicPr>
      </xdr:nvPicPr>
      <xdr:blipFill>
        <a:blip xmlns:r="http://schemas.openxmlformats.org/officeDocument/2006/relationships" r:embed="rId11"/>
        <a:stretch>
          <a:fillRect/>
        </a:stretch>
      </xdr:blipFill>
      <xdr:spPr>
        <a:xfrm>
          <a:off x="11649075" y="15020925"/>
          <a:ext cx="10057143" cy="1666667"/>
        </a:xfrm>
        <a:prstGeom prst="rect">
          <a:avLst/>
        </a:prstGeom>
      </xdr:spPr>
    </xdr:pic>
    <xdr:clientData/>
  </xdr:twoCellAnchor>
  <xdr:twoCellAnchor editAs="oneCell">
    <xdr:from>
      <xdr:col>12</xdr:col>
      <xdr:colOff>180975</xdr:colOff>
      <xdr:row>95</xdr:row>
      <xdr:rowOff>95250</xdr:rowOff>
    </xdr:from>
    <xdr:to>
      <xdr:col>26</xdr:col>
      <xdr:colOff>379775</xdr:colOff>
      <xdr:row>105</xdr:row>
      <xdr:rowOff>123607</xdr:rowOff>
    </xdr:to>
    <xdr:pic>
      <xdr:nvPicPr>
        <xdr:cNvPr id="16" name="图片 15">
          <a:extLst>
            <a:ext uri="{FF2B5EF4-FFF2-40B4-BE49-F238E27FC236}">
              <a16:creationId xmlns:a16="http://schemas.microsoft.com/office/drawing/2014/main" id="{5AFB9A61-4C78-F0F5-6BD7-4745D4DC09A6}"/>
            </a:ext>
          </a:extLst>
        </xdr:cNvPr>
        <xdr:cNvPicPr>
          <a:picLocks noChangeAspect="1"/>
        </xdr:cNvPicPr>
      </xdr:nvPicPr>
      <xdr:blipFill>
        <a:blip xmlns:r="http://schemas.openxmlformats.org/officeDocument/2006/relationships" r:embed="rId12"/>
        <a:stretch>
          <a:fillRect/>
        </a:stretch>
      </xdr:blipFill>
      <xdr:spPr>
        <a:xfrm>
          <a:off x="11706225" y="16411575"/>
          <a:ext cx="9800000" cy="1742857"/>
        </a:xfrm>
        <a:prstGeom prst="rect">
          <a:avLst/>
        </a:prstGeom>
      </xdr:spPr>
    </xdr:pic>
    <xdr:clientData/>
  </xdr:twoCellAnchor>
  <xdr:twoCellAnchor editAs="oneCell">
    <xdr:from>
      <xdr:col>12</xdr:col>
      <xdr:colOff>57150</xdr:colOff>
      <xdr:row>104</xdr:row>
      <xdr:rowOff>9525</xdr:rowOff>
    </xdr:from>
    <xdr:to>
      <xdr:col>26</xdr:col>
      <xdr:colOff>189283</xdr:colOff>
      <xdr:row>114</xdr:row>
      <xdr:rowOff>133120</xdr:rowOff>
    </xdr:to>
    <xdr:pic>
      <xdr:nvPicPr>
        <xdr:cNvPr id="17" name="图片 16">
          <a:extLst>
            <a:ext uri="{FF2B5EF4-FFF2-40B4-BE49-F238E27FC236}">
              <a16:creationId xmlns:a16="http://schemas.microsoft.com/office/drawing/2014/main" id="{C6D2EB6D-0873-ED25-E83C-547AE29B13F7}"/>
            </a:ext>
          </a:extLst>
        </xdr:cNvPr>
        <xdr:cNvPicPr>
          <a:picLocks noChangeAspect="1"/>
        </xdr:cNvPicPr>
      </xdr:nvPicPr>
      <xdr:blipFill>
        <a:blip xmlns:r="http://schemas.openxmlformats.org/officeDocument/2006/relationships" r:embed="rId13"/>
        <a:stretch>
          <a:fillRect/>
        </a:stretch>
      </xdr:blipFill>
      <xdr:spPr>
        <a:xfrm>
          <a:off x="11582400" y="17868900"/>
          <a:ext cx="9733333" cy="1838095"/>
        </a:xfrm>
        <a:prstGeom prst="rect">
          <a:avLst/>
        </a:prstGeom>
      </xdr:spPr>
    </xdr:pic>
    <xdr:clientData/>
  </xdr:twoCellAnchor>
  <xdr:twoCellAnchor editAs="oneCell">
    <xdr:from>
      <xdr:col>14</xdr:col>
      <xdr:colOff>476250</xdr:colOff>
      <xdr:row>117</xdr:row>
      <xdr:rowOff>95250</xdr:rowOff>
    </xdr:from>
    <xdr:to>
      <xdr:col>30</xdr:col>
      <xdr:colOff>46307</xdr:colOff>
      <xdr:row>128</xdr:row>
      <xdr:rowOff>95014</xdr:rowOff>
    </xdr:to>
    <xdr:pic>
      <xdr:nvPicPr>
        <xdr:cNvPr id="18" name="图片 17">
          <a:extLst>
            <a:ext uri="{FF2B5EF4-FFF2-40B4-BE49-F238E27FC236}">
              <a16:creationId xmlns:a16="http://schemas.microsoft.com/office/drawing/2014/main" id="{3EEE8FCB-799A-5E4E-E6BA-B47F417506A7}"/>
            </a:ext>
          </a:extLst>
        </xdr:cNvPr>
        <xdr:cNvPicPr>
          <a:picLocks noChangeAspect="1"/>
        </xdr:cNvPicPr>
      </xdr:nvPicPr>
      <xdr:blipFill>
        <a:blip xmlns:r="http://schemas.openxmlformats.org/officeDocument/2006/relationships" r:embed="rId14"/>
        <a:stretch>
          <a:fillRect/>
        </a:stretch>
      </xdr:blipFill>
      <xdr:spPr>
        <a:xfrm>
          <a:off x="13373100" y="20183475"/>
          <a:ext cx="10542857" cy="1885714"/>
        </a:xfrm>
        <a:prstGeom prst="rect">
          <a:avLst/>
        </a:prstGeom>
      </xdr:spPr>
    </xdr:pic>
    <xdr:clientData/>
  </xdr:twoCellAnchor>
  <xdr:twoCellAnchor editAs="oneCell">
    <xdr:from>
      <xdr:col>15</xdr:col>
      <xdr:colOff>104775</xdr:colOff>
      <xdr:row>126</xdr:row>
      <xdr:rowOff>142875</xdr:rowOff>
    </xdr:from>
    <xdr:to>
      <xdr:col>29</xdr:col>
      <xdr:colOff>522623</xdr:colOff>
      <xdr:row>146</xdr:row>
      <xdr:rowOff>47208</xdr:rowOff>
    </xdr:to>
    <xdr:pic>
      <xdr:nvPicPr>
        <xdr:cNvPr id="19" name="图片 18">
          <a:extLst>
            <a:ext uri="{FF2B5EF4-FFF2-40B4-BE49-F238E27FC236}">
              <a16:creationId xmlns:a16="http://schemas.microsoft.com/office/drawing/2014/main" id="{88A8021B-4603-BA16-015A-A883C60C05A7}"/>
            </a:ext>
          </a:extLst>
        </xdr:cNvPr>
        <xdr:cNvPicPr>
          <a:picLocks noChangeAspect="1"/>
        </xdr:cNvPicPr>
      </xdr:nvPicPr>
      <xdr:blipFill>
        <a:blip xmlns:r="http://schemas.openxmlformats.org/officeDocument/2006/relationships" r:embed="rId15"/>
        <a:stretch>
          <a:fillRect/>
        </a:stretch>
      </xdr:blipFill>
      <xdr:spPr>
        <a:xfrm>
          <a:off x="13687425" y="21774150"/>
          <a:ext cx="10019048" cy="3333333"/>
        </a:xfrm>
        <a:prstGeom prst="rect">
          <a:avLst/>
        </a:prstGeom>
      </xdr:spPr>
    </xdr:pic>
    <xdr:clientData/>
  </xdr:twoCellAnchor>
  <xdr:twoCellAnchor editAs="oneCell">
    <xdr:from>
      <xdr:col>15</xdr:col>
      <xdr:colOff>152400</xdr:colOff>
      <xdr:row>145</xdr:row>
      <xdr:rowOff>66675</xdr:rowOff>
    </xdr:from>
    <xdr:to>
      <xdr:col>29</xdr:col>
      <xdr:colOff>551200</xdr:colOff>
      <xdr:row>154</xdr:row>
      <xdr:rowOff>114101</xdr:rowOff>
    </xdr:to>
    <xdr:pic>
      <xdr:nvPicPr>
        <xdr:cNvPr id="20" name="图片 19">
          <a:extLst>
            <a:ext uri="{FF2B5EF4-FFF2-40B4-BE49-F238E27FC236}">
              <a16:creationId xmlns:a16="http://schemas.microsoft.com/office/drawing/2014/main" id="{9AEC4674-2C7F-DD7E-86B7-64FF9C0EC9BF}"/>
            </a:ext>
          </a:extLst>
        </xdr:cNvPr>
        <xdr:cNvPicPr>
          <a:picLocks noChangeAspect="1"/>
        </xdr:cNvPicPr>
      </xdr:nvPicPr>
      <xdr:blipFill>
        <a:blip xmlns:r="http://schemas.openxmlformats.org/officeDocument/2006/relationships" r:embed="rId16"/>
        <a:stretch>
          <a:fillRect/>
        </a:stretch>
      </xdr:blipFill>
      <xdr:spPr>
        <a:xfrm>
          <a:off x="13735050" y="24955500"/>
          <a:ext cx="10000000" cy="1590476"/>
        </a:xfrm>
        <a:prstGeom prst="rect">
          <a:avLst/>
        </a:prstGeom>
      </xdr:spPr>
    </xdr:pic>
    <xdr:clientData/>
  </xdr:twoCellAnchor>
  <xdr:twoCellAnchor editAs="oneCell">
    <xdr:from>
      <xdr:col>15</xdr:col>
      <xdr:colOff>323850</xdr:colOff>
      <xdr:row>152</xdr:row>
      <xdr:rowOff>152400</xdr:rowOff>
    </xdr:from>
    <xdr:to>
      <xdr:col>29</xdr:col>
      <xdr:colOff>617888</xdr:colOff>
      <xdr:row>191</xdr:row>
      <xdr:rowOff>75374</xdr:rowOff>
    </xdr:to>
    <xdr:pic>
      <xdr:nvPicPr>
        <xdr:cNvPr id="21" name="图片 20">
          <a:extLst>
            <a:ext uri="{FF2B5EF4-FFF2-40B4-BE49-F238E27FC236}">
              <a16:creationId xmlns:a16="http://schemas.microsoft.com/office/drawing/2014/main" id="{A0343FEC-6391-D75B-7687-94AA4A5309DF}"/>
            </a:ext>
          </a:extLst>
        </xdr:cNvPr>
        <xdr:cNvPicPr>
          <a:picLocks noChangeAspect="1"/>
        </xdr:cNvPicPr>
      </xdr:nvPicPr>
      <xdr:blipFill>
        <a:blip xmlns:r="http://schemas.openxmlformats.org/officeDocument/2006/relationships" r:embed="rId17"/>
        <a:stretch>
          <a:fillRect/>
        </a:stretch>
      </xdr:blipFill>
      <xdr:spPr>
        <a:xfrm>
          <a:off x="13906500" y="26241375"/>
          <a:ext cx="9895238" cy="6609524"/>
        </a:xfrm>
        <a:prstGeom prst="rect">
          <a:avLst/>
        </a:prstGeom>
      </xdr:spPr>
    </xdr:pic>
    <xdr:clientData/>
  </xdr:twoCellAnchor>
  <xdr:twoCellAnchor editAs="oneCell">
    <xdr:from>
      <xdr:col>0</xdr:col>
      <xdr:colOff>0</xdr:colOff>
      <xdr:row>169</xdr:row>
      <xdr:rowOff>171172</xdr:rowOff>
    </xdr:from>
    <xdr:to>
      <xdr:col>10</xdr:col>
      <xdr:colOff>865539</xdr:colOff>
      <xdr:row>181</xdr:row>
      <xdr:rowOff>9010</xdr:rowOff>
    </xdr:to>
    <xdr:pic>
      <xdr:nvPicPr>
        <xdr:cNvPr id="22" name="图片 21">
          <a:extLst>
            <a:ext uri="{FF2B5EF4-FFF2-40B4-BE49-F238E27FC236}">
              <a16:creationId xmlns:a16="http://schemas.microsoft.com/office/drawing/2014/main" id="{73D2CE11-A04B-7563-035F-37DD9FA47448}"/>
            </a:ext>
          </a:extLst>
        </xdr:cNvPr>
        <xdr:cNvPicPr>
          <a:picLocks noChangeAspect="1"/>
        </xdr:cNvPicPr>
      </xdr:nvPicPr>
      <xdr:blipFill>
        <a:blip xmlns:r="http://schemas.openxmlformats.org/officeDocument/2006/relationships" r:embed="rId18"/>
        <a:stretch>
          <a:fillRect/>
        </a:stretch>
      </xdr:blipFill>
      <xdr:spPr>
        <a:xfrm>
          <a:off x="0" y="29174797"/>
          <a:ext cx="9885714" cy="1895238"/>
        </a:xfrm>
        <a:prstGeom prst="rect">
          <a:avLst/>
        </a:prstGeom>
      </xdr:spPr>
    </xdr:pic>
    <xdr:clientData/>
  </xdr:twoCellAnchor>
  <xdr:twoCellAnchor editAs="oneCell">
    <xdr:from>
      <xdr:col>0</xdr:col>
      <xdr:colOff>0</xdr:colOff>
      <xdr:row>180</xdr:row>
      <xdr:rowOff>28575</xdr:rowOff>
    </xdr:from>
    <xdr:to>
      <xdr:col>10</xdr:col>
      <xdr:colOff>884587</xdr:colOff>
      <xdr:row>189</xdr:row>
      <xdr:rowOff>37906</xdr:rowOff>
    </xdr:to>
    <xdr:pic>
      <xdr:nvPicPr>
        <xdr:cNvPr id="23" name="图片 22">
          <a:extLst>
            <a:ext uri="{FF2B5EF4-FFF2-40B4-BE49-F238E27FC236}">
              <a16:creationId xmlns:a16="http://schemas.microsoft.com/office/drawing/2014/main" id="{457A56C2-4932-394D-184D-046913B13A02}"/>
            </a:ext>
          </a:extLst>
        </xdr:cNvPr>
        <xdr:cNvPicPr>
          <a:picLocks noChangeAspect="1"/>
        </xdr:cNvPicPr>
      </xdr:nvPicPr>
      <xdr:blipFill>
        <a:blip xmlns:r="http://schemas.openxmlformats.org/officeDocument/2006/relationships" r:embed="rId19"/>
        <a:stretch>
          <a:fillRect/>
        </a:stretch>
      </xdr:blipFill>
      <xdr:spPr>
        <a:xfrm>
          <a:off x="0" y="30918150"/>
          <a:ext cx="9904762" cy="1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1762125</xdr:colOff>
      <xdr:row>32</xdr:row>
      <xdr:rowOff>47625</xdr:rowOff>
    </xdr:from>
    <xdr:to>
      <xdr:col>13</xdr:col>
      <xdr:colOff>760923</xdr:colOff>
      <xdr:row>59</xdr:row>
      <xdr:rowOff>151776</xdr:rowOff>
    </xdr:to>
    <xdr:pic>
      <xdr:nvPicPr>
        <xdr:cNvPr id="2" name="图片 1">
          <a:extLst>
            <a:ext uri="{FF2B5EF4-FFF2-40B4-BE49-F238E27FC236}">
              <a16:creationId xmlns:a16="http://schemas.microsoft.com/office/drawing/2014/main" id="{3BD1C4E3-F513-8062-F408-29A95E6C1C8F}"/>
            </a:ext>
          </a:extLst>
        </xdr:cNvPr>
        <xdr:cNvPicPr>
          <a:picLocks noChangeAspect="1"/>
        </xdr:cNvPicPr>
      </xdr:nvPicPr>
      <xdr:blipFill>
        <a:blip xmlns:r="http://schemas.openxmlformats.org/officeDocument/2006/relationships" r:embed="rId1"/>
        <a:stretch>
          <a:fillRect/>
        </a:stretch>
      </xdr:blipFill>
      <xdr:spPr>
        <a:xfrm>
          <a:off x="5648325" y="5838825"/>
          <a:ext cx="8619048"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jinan.gov.cn/art/2024/1/1/art_1812_4968135.html" TargetMode="External"/><Relationship Id="rId1" Type="http://schemas.openxmlformats.org/officeDocument/2006/relationships/hyperlink" Target="https://jncc.jinan.gov.cn/EpointQYZB/frame/pages/zby/zbpublishenterpriserelease/zbpublishenterprisereleasexmzbshowlist"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房地产市场价值预评估</v>
      </c>
    </row>
    <row r="3" spans="1:2">
      <c r="A3" s="1119" t="s">
        <v>522</v>
      </c>
      <c r="B3" s="1120">
        <f>'预评函-封皮'!B40</f>
        <v>0</v>
      </c>
    </row>
    <row r="4" spans="1:2">
      <c r="A4" s="1119" t="s">
        <v>523</v>
      </c>
      <c r="B4" s="1120" t="str">
        <f>'预评函-封皮'!B46</f>
        <v>（注册号：0)、（注册号：0)</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受贵公司委托，我公司对房地产市场价值进行了预评估。</v>
      </c>
    </row>
    <row r="7" spans="1:2">
      <c r="A7" s="1119" t="s">
        <v>565</v>
      </c>
      <c r="B7" s="1120" t="str">
        <f>'预评函-1'!A7</f>
        <v>估价对象为房地产，为所有。根据《国有土地使用证》[]，估价对象（分摊）出让国有建设用地使用权面积为0平方米，建筑面积为11841.61平方米。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估价对象为房地产,属开发建设的，该项目尚在开发建设中。根据《国有土地使用证》[]，估价对象（分摊）出让国有建设用地使用权面积为0平方米，规划建筑面积为11841.61平方米。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为估价委托人了解估价对象房地产市场价值提供参考依据。</v>
      </c>
    </row>
    <row r="12" spans="1:2">
      <c r="A12" s="1119" t="s">
        <v>527</v>
      </c>
      <c r="B12" s="1120" t="str">
        <f>'预评函-1'!A15</f>
        <v>2025年11月13日（评估专业人员实地查勘之日）</v>
      </c>
    </row>
    <row r="13" spans="1:2">
      <c r="A13" s="1119" t="s">
        <v>528</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v>
      </c>
    </row>
    <row r="16" spans="1:2">
      <c r="A16" s="1119" t="s">
        <v>531</v>
      </c>
      <c r="B16" s="1120" t="str">
        <f>'预评函-1'!A21</f>
        <v>——</v>
      </c>
    </row>
    <row r="17" spans="1:2">
      <c r="A17" s="1119" t="s">
        <v>532</v>
      </c>
      <c r="B17" s="1120" t="str">
        <f>'预评函-1'!A22</f>
        <v>——</v>
      </c>
    </row>
    <row r="18" spans="1:2" s="1115" customFormat="1" ht="15" thickBot="1">
      <c r="A18" s="1122" t="s">
        <v>533</v>
      </c>
      <c r="B18" s="1123" t="str">
        <f>'预评函-1'!A24</f>
        <v>本次评估采用的主估价方法为收益法和比较法。</v>
      </c>
    </row>
    <row r="19" spans="1:2" s="1118" customFormat="1" ht="15" thickTop="1">
      <c r="A19" s="1116" t="s">
        <v>534</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535</v>
      </c>
      <c r="B20" s="1120" t="e">
        <f ca="1">'预评函-2'!D5</f>
        <v>#REF!</v>
      </c>
    </row>
    <row r="21" spans="1:2">
      <c r="A21" s="1119" t="s">
        <v>536</v>
      </c>
      <c r="B21" s="1120" t="e">
        <f ca="1">'预评函-2'!D7</f>
        <v>#REF!</v>
      </c>
    </row>
    <row r="22" spans="1:2">
      <c r="A22" s="1119" t="s">
        <v>537</v>
      </c>
      <c r="B22" s="1120" t="e">
        <f ca="1">'预评函-2'!D6</f>
        <v>#REF!</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t="e">
        <f ca="1">'预评函-2'!D13</f>
        <v>#REF!</v>
      </c>
    </row>
    <row r="31" spans="1:2">
      <c r="A31" s="1119" t="s">
        <v>575</v>
      </c>
      <c r="B31" s="1120" t="e">
        <f ca="1">'预评函-2'!D15</f>
        <v>#REF!</v>
      </c>
    </row>
    <row r="32" spans="1:2">
      <c r="A32" s="1119" t="s">
        <v>542</v>
      </c>
      <c r="B32" s="1120" t="e">
        <f ca="1">'预评函-2'!D14</f>
        <v>#REF!</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房地产</v>
      </c>
    </row>
    <row r="42" spans="1:2">
      <c r="A42" s="1119" t="s">
        <v>589</v>
      </c>
      <c r="B42" s="1120" t="str">
        <f>'预评函-3'!B2</f>
        <v>建筑面积</v>
      </c>
    </row>
    <row r="43" spans="1:2">
      <c r="A43" s="1119" t="s">
        <v>590</v>
      </c>
      <c r="B43" s="1120">
        <f>'预评函-3'!B4</f>
        <v>11841.610000000006</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t="e">
        <f ca="1">'预评函-3'!D4</f>
        <v>#REF!</v>
      </c>
    </row>
    <row r="48" spans="1:2">
      <c r="A48" s="1119" t="s">
        <v>548</v>
      </c>
      <c r="B48" s="1120" t="e">
        <f ca="1">'预评函-3'!E4</f>
        <v>#REF!</v>
      </c>
    </row>
    <row r="49" spans="1:2">
      <c r="A49" s="1119" t="s">
        <v>549</v>
      </c>
      <c r="B49" s="1120" t="e">
        <f ca="1">'预评函-3'!D5</f>
        <v>#REF!</v>
      </c>
    </row>
    <row r="50" spans="1:2">
      <c r="A50" s="1119" t="s">
        <v>573</v>
      </c>
      <c r="B50" s="1120" t="str">
        <f>'预评函-3'!F2</f>
        <v>在建建筑物价值</v>
      </c>
    </row>
    <row r="51" spans="1:2">
      <c r="A51" s="1119" t="s">
        <v>550</v>
      </c>
      <c r="B51" s="1120" t="e">
        <f ca="1">'预评函-3'!F4</f>
        <v>#REF!</v>
      </c>
    </row>
    <row r="52" spans="1:2">
      <c r="A52" s="1119" t="s">
        <v>551</v>
      </c>
      <c r="B52" s="1120" t="e">
        <f ca="1">'预评函-3'!G4</f>
        <v>#REF!</v>
      </c>
    </row>
    <row r="53" spans="1:2">
      <c r="A53" s="1119" t="s">
        <v>579</v>
      </c>
      <c r="B53" s="1120" t="e">
        <f ca="1">'预评函-3'!F5</f>
        <v>#REF!</v>
      </c>
    </row>
    <row r="54" spans="1:2">
      <c r="A54" s="1119" t="s">
        <v>597</v>
      </c>
      <c r="B54" s="1120" t="str">
        <f>'预评函-3'!A8</f>
        <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
      </c>
    </row>
    <row r="58" spans="1:2" s="1118" customFormat="1" ht="15" thickTop="1">
      <c r="A58" s="1116" t="s">
        <v>552</v>
      </c>
      <c r="B58" s="1117" t="str">
        <f>'预评函-4'!A12</f>
        <v>2.本次评估设定估价对象房地产权属无争议，未被查封或者以其他形式限制其房地产权利，未设定抵押权等他项权利，不涉及第三方权利义务。</v>
      </c>
    </row>
    <row r="59" spans="1:2">
      <c r="A59" s="1119" t="s">
        <v>553</v>
      </c>
      <c r="B59" s="1120" t="str">
        <f>'预评函-4'!A13</f>
        <v>——</v>
      </c>
    </row>
    <row r="60" spans="1:2">
      <c r="A60" s="1119" t="s">
        <v>554</v>
      </c>
      <c r="B60" s="1120" t="str">
        <f>'预评函-4'!A14</f>
        <v>——</v>
      </c>
    </row>
    <row r="61" spans="1:2">
      <c r="A61" s="1119" t="s">
        <v>555</v>
      </c>
      <c r="B61" s="1120" t="str">
        <f>'预评函-4'!A15</f>
        <v>——</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v>
      </c>
    </row>
    <row r="65" spans="1:2">
      <c r="A65" s="1119" t="s">
        <v>558</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570</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f>'预评函-4'!A4</f>
        <v>0</v>
      </c>
    </row>
    <row r="71" spans="1:2">
      <c r="A71" s="1119" t="s">
        <v>562</v>
      </c>
      <c r="B71" s="1120">
        <f>'预评函-4'!B4</f>
        <v>0</v>
      </c>
    </row>
    <row r="72" spans="1:2">
      <c r="A72" s="1119" t="s">
        <v>563</v>
      </c>
      <c r="B72" s="1127">
        <f>'预评函-4'!A5</f>
        <v>0</v>
      </c>
    </row>
    <row r="73" spans="1:2" s="1115" customFormat="1" ht="15" thickBot="1">
      <c r="A73" s="1122" t="s">
        <v>564</v>
      </c>
      <c r="B73" s="1123">
        <f>'预评函-4'!B5</f>
        <v>0</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2" sqref="D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976</v>
      </c>
      <c r="C1" s="1438" t="s">
        <v>314</v>
      </c>
      <c r="D1" s="1439" t="s">
        <v>3347</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3401</v>
      </c>
      <c r="AA1" s="1438" t="s">
        <v>3400</v>
      </c>
      <c r="AB1" s="1438" t="s">
        <v>3</v>
      </c>
    </row>
    <row r="2" spans="1:28">
      <c r="A2" s="1441" t="s">
        <v>19</v>
      </c>
      <c r="B2" s="1441" t="s">
        <v>992</v>
      </c>
      <c r="C2" s="1442" t="s">
        <v>315</v>
      </c>
      <c r="D2" s="1443" t="s">
        <v>993</v>
      </c>
      <c r="E2" s="1443" t="s">
        <v>994</v>
      </c>
      <c r="F2" s="1443" t="s">
        <v>995</v>
      </c>
      <c r="G2" s="1443">
        <v>20</v>
      </c>
      <c r="H2" s="1443" t="s">
        <v>995</v>
      </c>
      <c r="I2" s="1443" t="s">
        <v>3333</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2437</v>
      </c>
      <c r="Y2" s="1445" t="s">
        <v>3407</v>
      </c>
      <c r="Z2" s="1445" t="s">
        <v>2450</v>
      </c>
      <c r="AA2" s="1445" t="s">
        <v>3408</v>
      </c>
      <c r="AB2" s="1445" t="s">
        <v>2477</v>
      </c>
    </row>
    <row r="3" spans="1:28">
      <c r="A3" s="1441" t="s">
        <v>1000</v>
      </c>
      <c r="B3" s="1444" t="s">
        <v>448</v>
      </c>
      <c r="C3" s="1442" t="s">
        <v>316</v>
      </c>
      <c r="D3" s="1443" t="s">
        <v>1001</v>
      </c>
      <c r="E3" s="1443" t="s">
        <v>13</v>
      </c>
      <c r="F3" s="1443" t="s">
        <v>1002</v>
      </c>
      <c r="G3" s="1443">
        <v>40</v>
      </c>
      <c r="H3" s="1443" t="s">
        <v>1002</v>
      </c>
      <c r="I3" s="1443" t="s">
        <v>3334</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2439</v>
      </c>
      <c r="Z3" s="1445" t="s">
        <v>2452</v>
      </c>
      <c r="AB3" s="1445" t="s">
        <v>2479</v>
      </c>
    </row>
    <row r="4" spans="1:28">
      <c r="A4" s="1441" t="s">
        <v>1007</v>
      </c>
      <c r="B4" s="1441" t="s">
        <v>1008</v>
      </c>
      <c r="C4" s="1442" t="s">
        <v>317</v>
      </c>
      <c r="D4" s="1443" t="s">
        <v>389</v>
      </c>
      <c r="E4" s="1443" t="s">
        <v>1009</v>
      </c>
      <c r="F4" s="1443" t="s">
        <v>1010</v>
      </c>
      <c r="G4" s="1443">
        <v>50</v>
      </c>
      <c r="H4" s="1443" t="s">
        <v>1010</v>
      </c>
      <c r="I4" s="1443" t="s">
        <v>3335</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2441</v>
      </c>
      <c r="Z4" s="1445" t="s">
        <v>2454</v>
      </c>
      <c r="AB4" s="1445" t="s">
        <v>2481</v>
      </c>
    </row>
    <row r="5" spans="1:28">
      <c r="A5" s="1441" t="s">
        <v>1013</v>
      </c>
      <c r="B5" s="1444" t="s">
        <v>4767</v>
      </c>
      <c r="C5" s="1442" t="s">
        <v>318</v>
      </c>
      <c r="F5" s="1443" t="s">
        <v>1014</v>
      </c>
      <c r="G5" s="1443">
        <v>70</v>
      </c>
      <c r="H5" s="1443" t="s">
        <v>1015</v>
      </c>
      <c r="I5" s="1443" t="s">
        <v>3336</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2443</v>
      </c>
      <c r="Z5" s="1445" t="s">
        <v>2456</v>
      </c>
      <c r="AB5" s="1445" t="s">
        <v>3409</v>
      </c>
    </row>
    <row r="6" spans="1:28">
      <c r="A6" s="1441" t="s">
        <v>1018</v>
      </c>
      <c r="B6" s="1444" t="s">
        <v>4765</v>
      </c>
      <c r="C6" s="1446" t="s">
        <v>24</v>
      </c>
      <c r="F6" s="1443" t="s">
        <v>1015</v>
      </c>
      <c r="H6" s="1443" t="s">
        <v>1019</v>
      </c>
      <c r="I6" s="1443" t="s">
        <v>3337</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2445</v>
      </c>
      <c r="Z6" s="1445" t="s">
        <v>2458</v>
      </c>
      <c r="AB6" s="1445" t="s">
        <v>2484</v>
      </c>
    </row>
    <row r="7" spans="1:28">
      <c r="A7" s="1441" t="s">
        <v>1021</v>
      </c>
      <c r="B7" s="1444" t="s">
        <v>449</v>
      </c>
      <c r="C7" s="1442" t="s">
        <v>25</v>
      </c>
      <c r="F7" s="1443" t="s">
        <v>1022</v>
      </c>
      <c r="H7" s="1443" t="s">
        <v>1023</v>
      </c>
      <c r="I7" s="1443" t="s">
        <v>3338</v>
      </c>
      <c r="X7" s="1445" t="s">
        <v>2447</v>
      </c>
      <c r="Z7" s="1445" t="s">
        <v>2460</v>
      </c>
      <c r="AB7" s="1445" t="s">
        <v>2486</v>
      </c>
    </row>
    <row r="8" spans="1:28">
      <c r="A8" s="1441" t="s">
        <v>1024</v>
      </c>
      <c r="B8" s="1441" t="s">
        <v>1025</v>
      </c>
      <c r="C8" s="1442" t="s">
        <v>319</v>
      </c>
      <c r="F8" s="1443" t="s">
        <v>1026</v>
      </c>
      <c r="H8" s="1443" t="s">
        <v>2575</v>
      </c>
      <c r="I8" s="1443" t="s">
        <v>3339</v>
      </c>
      <c r="X8" s="1445" t="s">
        <v>3410</v>
      </c>
      <c r="Z8" s="1445" t="s">
        <v>2462</v>
      </c>
      <c r="AB8" s="1445" t="s">
        <v>2488</v>
      </c>
    </row>
    <row r="9" spans="1:28">
      <c r="A9" s="1441" t="s">
        <v>1027</v>
      </c>
      <c r="B9" s="1441" t="s">
        <v>1028</v>
      </c>
      <c r="C9" s="1442" t="s">
        <v>320</v>
      </c>
      <c r="F9" s="1443" t="s">
        <v>1029</v>
      </c>
      <c r="H9" s="1443"/>
      <c r="I9" s="1445" t="s">
        <v>3340</v>
      </c>
      <c r="X9" s="1445" t="s">
        <v>3411</v>
      </c>
      <c r="Z9" s="1445" t="s">
        <v>2464</v>
      </c>
      <c r="AB9" s="1445" t="s">
        <v>2490</v>
      </c>
    </row>
    <row r="10" spans="1:28">
      <c r="A10" s="1441" t="s">
        <v>1030</v>
      </c>
      <c r="B10" s="1441" t="s">
        <v>1031</v>
      </c>
      <c r="C10" s="1442" t="s">
        <v>321</v>
      </c>
      <c r="F10" s="1443" t="s">
        <v>2576</v>
      </c>
      <c r="I10" s="1445" t="s">
        <v>3341</v>
      </c>
      <c r="Z10" s="1445" t="s">
        <v>2466</v>
      </c>
      <c r="AB10" s="1445" t="s">
        <v>2492</v>
      </c>
    </row>
    <row r="11" spans="1:28">
      <c r="A11" s="1441" t="s">
        <v>1032</v>
      </c>
      <c r="B11" s="1441" t="s">
        <v>1033</v>
      </c>
      <c r="C11" s="1442" t="s">
        <v>322</v>
      </c>
      <c r="F11" s="1443" t="s">
        <v>13</v>
      </c>
      <c r="I11" s="1445" t="s">
        <v>3342</v>
      </c>
      <c r="Z11" s="1445" t="s">
        <v>2468</v>
      </c>
      <c r="AB11" s="1445" t="s">
        <v>2494</v>
      </c>
    </row>
    <row r="12" spans="1:28">
      <c r="A12" s="1441" t="s">
        <v>1034</v>
      </c>
      <c r="B12" s="1441" t="s">
        <v>1035</v>
      </c>
      <c r="C12" s="1442" t="s">
        <v>323</v>
      </c>
      <c r="I12" s="1445" t="s">
        <v>3343</v>
      </c>
      <c r="Z12" s="1445" t="s">
        <v>2470</v>
      </c>
      <c r="AB12" s="1445" t="s">
        <v>2496</v>
      </c>
    </row>
    <row r="13" spans="1:28">
      <c r="A13" s="1441" t="s">
        <v>1036</v>
      </c>
      <c r="B13" s="1441" t="s">
        <v>1037</v>
      </c>
      <c r="C13" s="1442" t="s">
        <v>324</v>
      </c>
      <c r="I13" s="1445" t="s">
        <v>3344</v>
      </c>
      <c r="Z13" s="1445" t="s">
        <v>2472</v>
      </c>
    </row>
    <row r="14" spans="1:28">
      <c r="A14" s="1441" t="s">
        <v>1038</v>
      </c>
      <c r="B14" s="1441" t="s">
        <v>1039</v>
      </c>
      <c r="C14" s="1443" t="s">
        <v>13</v>
      </c>
      <c r="I14" s="1445" t="s">
        <v>3345</v>
      </c>
      <c r="Z14" s="1445" t="s">
        <v>2474</v>
      </c>
    </row>
    <row r="15" spans="1:28">
      <c r="A15" s="1441" t="s">
        <v>1040</v>
      </c>
      <c r="B15" s="1441" t="s">
        <v>1041</v>
      </c>
      <c r="C15" s="1442"/>
      <c r="I15" s="1445" t="s">
        <v>3346</v>
      </c>
    </row>
    <row r="16" spans="1:28">
      <c r="A16" s="1441" t="s">
        <v>1042</v>
      </c>
      <c r="B16" s="1441" t="s">
        <v>312</v>
      </c>
      <c r="C16" s="1442"/>
    </row>
    <row r="17" spans="1:3">
      <c r="A17" s="1441" t="s">
        <v>1043</v>
      </c>
      <c r="B17" s="1441" t="s">
        <v>2291</v>
      </c>
      <c r="C17" s="1442"/>
    </row>
    <row r="18" spans="1:3">
      <c r="A18" s="1441" t="s">
        <v>1044</v>
      </c>
      <c r="B18" s="1441" t="s">
        <v>2431</v>
      </c>
      <c r="C18" s="1442"/>
    </row>
    <row r="19" spans="1:3">
      <c r="A19" s="1441" t="s">
        <v>1045</v>
      </c>
      <c r="B19" s="1441" t="s">
        <v>4781</v>
      </c>
      <c r="C19" s="1442"/>
    </row>
    <row r="20" spans="1:3">
      <c r="A20" s="1441" t="s">
        <v>1046</v>
      </c>
      <c r="B20" s="1441" t="s">
        <v>4783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4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47" t="s">
        <v>385</v>
      </c>
      <c r="C54" s="1445" t="s">
        <v>582</v>
      </c>
    </row>
    <row r="55" spans="1:4">
      <c r="A55" s="3244"/>
      <c r="B55" s="1447" t="s">
        <v>386</v>
      </c>
      <c r="C55" s="1445" t="s">
        <v>583</v>
      </c>
    </row>
    <row r="56" spans="1:4">
      <c r="A56" s="3244"/>
      <c r="B56" s="1447" t="s">
        <v>387</v>
      </c>
      <c r="C56" s="1445" t="s">
        <v>587</v>
      </c>
    </row>
    <row r="57" spans="1:4">
      <c r="A57" s="3244"/>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45" t="s">
        <v>2578</v>
      </c>
      <c r="J2" s="3245"/>
      <c r="K2" s="3245"/>
      <c r="L2" s="3245"/>
      <c r="M2" s="3245"/>
      <c r="N2" s="3245"/>
      <c r="O2" s="3245"/>
      <c r="P2" s="3245"/>
      <c r="Q2" s="3245"/>
      <c r="R2" s="3245"/>
    </row>
    <row r="3" spans="1:18">
      <c r="A3" s="2763" t="s">
        <v>2499</v>
      </c>
      <c r="B3" s="2764">
        <f>项目基本情况!D3</f>
        <v>45974</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1.0900000000000001</v>
      </c>
      <c r="D5" s="2768">
        <f>IF(ISERROR(ROUND(POWER(1+E5,A5-C5)*(POWER(1+E5,C5)-1)/(POWER(1+E5,A5)-1),3)),0,ROUND(POWER(1+E5,A5-C5)*(POWER(1+E5,C5)-1)/(POWER(1+E5,A5)-1),4))</f>
        <v>5.2900000000000003E-2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3383</v>
      </c>
    </row>
    <row r="50" spans="1:4">
      <c r="A50" s="3145" t="s">
        <v>3384</v>
      </c>
      <c r="B50" s="3145" t="s">
        <v>3385</v>
      </c>
      <c r="C50" s="3145" t="s">
        <v>3386</v>
      </c>
      <c r="D50" s="3145" t="s">
        <v>3387</v>
      </c>
    </row>
    <row r="51" spans="1:4">
      <c r="A51" s="3145" t="s">
        <v>3388</v>
      </c>
      <c r="B51" s="2765">
        <f>B52+B53</f>
        <v>15000</v>
      </c>
      <c r="C51" s="3146">
        <f>D51/B51</f>
        <v>2666.6666666666665</v>
      </c>
      <c r="D51" s="2765">
        <f>D52+D53</f>
        <v>40000000</v>
      </c>
    </row>
    <row r="52" spans="1:4">
      <c r="A52" s="3147" t="s">
        <v>3389</v>
      </c>
      <c r="B52" s="3148">
        <v>10000</v>
      </c>
      <c r="C52" s="3148">
        <v>1500</v>
      </c>
      <c r="D52" s="3149">
        <f>C52*B52</f>
        <v>15000000</v>
      </c>
    </row>
    <row r="53" spans="1:4">
      <c r="A53" s="3147" t="s">
        <v>3390</v>
      </c>
      <c r="B53" s="3148">
        <v>5000</v>
      </c>
      <c r="C53" s="3148">
        <v>5000</v>
      </c>
      <c r="D53" s="3149">
        <f>C53*B53</f>
        <v>25000000</v>
      </c>
    </row>
    <row r="54" spans="1:4">
      <c r="A54" s="3145" t="s">
        <v>3391</v>
      </c>
      <c r="B54" s="2765">
        <f>B51</f>
        <v>15000</v>
      </c>
      <c r="C54" s="2771">
        <v>700</v>
      </c>
      <c r="D54" s="2765">
        <f t="shared" ref="D54:D55" si="5">C54*B54</f>
        <v>10500000</v>
      </c>
    </row>
    <row r="55" spans="1:4">
      <c r="A55" s="3145" t="s">
        <v>3392</v>
      </c>
      <c r="B55" s="2765">
        <f>B51</f>
        <v>15000</v>
      </c>
      <c r="C55" s="2771">
        <v>1500</v>
      </c>
      <c r="D55" s="2765">
        <f t="shared" si="5"/>
        <v>22500000</v>
      </c>
    </row>
    <row r="56" spans="1:4">
      <c r="A56" s="3145" t="s">
        <v>3393</v>
      </c>
      <c r="B56" s="2765">
        <f>B51</f>
        <v>15000</v>
      </c>
      <c r="C56" s="3150">
        <f>C51+C54+C55</f>
        <v>4866.6666666666661</v>
      </c>
      <c r="D56" s="2765">
        <f>D51+D54+D55</f>
        <v>73000000</v>
      </c>
    </row>
    <row r="58" spans="1:4">
      <c r="A58" s="3145" t="s">
        <v>3394</v>
      </c>
      <c r="B58" s="3151">
        <v>0.05</v>
      </c>
      <c r="C58" s="2765">
        <f>C56*(1+B58)</f>
        <v>5110</v>
      </c>
      <c r="D58" s="2765">
        <f>D56*B58</f>
        <v>3650000</v>
      </c>
    </row>
    <row r="60" spans="1:4">
      <c r="A60" s="3145" t="s">
        <v>3395</v>
      </c>
      <c r="B60" s="2771">
        <v>3500</v>
      </c>
      <c r="C60" s="2771">
        <f>C53</f>
        <v>5000</v>
      </c>
      <c r="D60" s="2765">
        <f>C60*B60</f>
        <v>17500000</v>
      </c>
    </row>
    <row r="62" spans="1:4">
      <c r="A62" s="3145" t="s">
        <v>3396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F13" sqref="F13:G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46" t="str">
        <f>IF(B10="北京市","北京市",C10)&amp;F10&amp;IF('结果表-1层商业'!G1="在建","出让国有建设用地使用权及在建建筑物",IF('结果表-1层商业'!G1="土地","出让国有建设用地使用权",))&amp;B9&amp;"预评估"</f>
        <v>房地产市场价值预评估</v>
      </c>
      <c r="C1" s="3247"/>
      <c r="D1" s="3247"/>
      <c r="E1" s="3247"/>
      <c r="F1" s="3247"/>
      <c r="G1" s="3247"/>
      <c r="H1" s="3247"/>
      <c r="I1" s="3248"/>
      <c r="J1" s="2245"/>
      <c r="K1" s="2183"/>
      <c r="L1" s="2184"/>
      <c r="M1" s="2184"/>
      <c r="N1" s="2182"/>
      <c r="O1" s="1466"/>
      <c r="P1" s="2182"/>
      <c r="Q1" s="2182"/>
      <c r="R1" s="2182"/>
      <c r="S1" s="1561" t="str">
        <f>IF(B10="北京市","北京市",C10)&amp;F10&amp;IF('结果表-1层商业'!G1="在建","出让国有建设用地使用权及在建建筑物房地产抵押价值",IF('结果表-1层商业'!G1="土地","出让国有建设用地使用权抵押价值",B9))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IF(B10="北京市","北京市",C10)&amp;F10&amp;IF('结果表-1层商业'!G1="在建","出让国有建设用地使用权及在建建筑物房地产",IF('结果表-1层商业'!G1="土地","出让国有建设用地使用权","房地产"))</f>
        <v>房地产</v>
      </c>
      <c r="T2" s="1618"/>
      <c r="U2" s="1618"/>
      <c r="V2" s="1618"/>
      <c r="W2" s="1618"/>
      <c r="X2" s="1618"/>
      <c r="Y2" s="1618"/>
      <c r="Z2" s="1618"/>
      <c r="AA2" s="1618"/>
      <c r="AB2" s="1618"/>
    </row>
    <row r="3" spans="1:30">
      <c r="A3" s="294" t="s">
        <v>2168</v>
      </c>
      <c r="B3" s="2185">
        <f>D3</f>
        <v>45974</v>
      </c>
      <c r="C3" s="2186" t="s">
        <v>2169</v>
      </c>
      <c r="D3" s="2185">
        <v>45974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4761</v>
      </c>
      <c r="C8" s="2201"/>
      <c r="D8" s="3249" t="s">
        <v>2175</v>
      </c>
      <c r="E8" s="2202"/>
      <c r="F8" s="2203"/>
      <c r="G8" s="2442"/>
      <c r="H8" s="2442"/>
      <c r="I8" s="2442"/>
      <c r="J8" s="2245"/>
      <c r="K8" s="2400"/>
      <c r="L8" s="2399"/>
      <c r="M8" s="2399"/>
      <c r="N8" s="2245"/>
      <c r="O8" s="1670"/>
      <c r="P8" s="2245"/>
      <c r="Q8" s="2245"/>
      <c r="R8" s="2245"/>
    </row>
    <row r="9" spans="1:30" ht="13.5" thickBot="1">
      <c r="A9" s="2204" t="s">
        <v>2176</v>
      </c>
      <c r="B9" s="2205" t="s">
        <v>4762</v>
      </c>
      <c r="C9" s="2206"/>
      <c r="D9" s="3250"/>
      <c r="E9" s="2205"/>
      <c r="F9" s="2207"/>
      <c r="G9" s="2443"/>
      <c r="H9" s="2443"/>
      <c r="I9" s="2443"/>
      <c r="J9" s="2245"/>
      <c r="K9" s="2402"/>
      <c r="L9" s="2399"/>
      <c r="M9" s="2399"/>
      <c r="N9" s="2245"/>
      <c r="O9" s="1670"/>
      <c r="P9" s="2245"/>
      <c r="Q9" s="2245"/>
      <c r="R9" s="2245"/>
    </row>
    <row r="10" spans="1:30" ht="13.5" thickTop="1">
      <c r="A10" s="2208" t="s">
        <v>2177</v>
      </c>
      <c r="B10" s="2209" t="s">
        <v>4760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4759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3328</v>
      </c>
      <c r="B13" s="2218" t="s">
        <v>2188</v>
      </c>
      <c r="C13" s="803">
        <v>66242</v>
      </c>
      <c r="D13" s="803">
        <v>55284</v>
      </c>
      <c r="E13" s="803">
        <v>58937</v>
      </c>
      <c r="F13" s="803">
        <v>58937</v>
      </c>
      <c r="G13" s="803">
        <v>58937</v>
      </c>
      <c r="H13" s="803"/>
      <c r="I13" s="803"/>
      <c r="J13" s="2803"/>
      <c r="K13" s="2399"/>
      <c r="L13" s="2399"/>
      <c r="M13" s="2245"/>
      <c r="N13" s="1670"/>
      <c r="O13" s="2245"/>
      <c r="P13" s="2245"/>
      <c r="Q13" s="2245"/>
      <c r="AD13" s="1618"/>
    </row>
    <row r="14" spans="1:30">
      <c r="A14" s="1018"/>
      <c r="B14" s="2218" t="s">
        <v>2189</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2190</v>
      </c>
      <c r="C15" s="2221">
        <f>IF(A13="出让",IF(C13="","",ROUNDDOWN(MIN((C13-$D$3)/365,C14),2)),C14)</f>
        <v>55.52</v>
      </c>
      <c r="D15" s="2221">
        <f>IF(A13="出让",IF(D13="","",ROUNDDOWN(MIN((D13-$D$3)/365,D14),2)),D14)</f>
        <v>25.5</v>
      </c>
      <c r="E15" s="2221">
        <f>IF(A13="出让",IF(E13="","",ROUNDDOWN(MIN((E13-$D$3)/365,E14),2)),E14)</f>
        <v>35.51</v>
      </c>
      <c r="F15" s="2221">
        <f>IF(A13="出让",IF(F13="","",ROUNDDOWN(MIN((F13-$D$3)/365,F14),2)),F14)</f>
        <v>35.51</v>
      </c>
      <c r="G15" s="2221">
        <f>IF(A13="出让",IF(G13="","",ROUNDDOWN(MIN((G13-$D$3)/365,G14),2)),G14)</f>
        <v>35.51</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56"/>
      <c r="C16" s="3257"/>
      <c r="D16" s="3258"/>
      <c r="E16" s="2222" t="s">
        <v>2192</v>
      </c>
      <c r="F16" s="3259"/>
      <c r="G16" s="3260"/>
      <c r="H16" s="3260"/>
      <c r="I16" s="3261"/>
      <c r="J16" s="2245"/>
      <c r="K16" s="2403"/>
      <c r="L16" s="1670"/>
      <c r="M16" s="1670"/>
      <c r="N16" s="2245"/>
      <c r="O16" s="1670"/>
      <c r="P16" s="2245"/>
      <c r="Q16" s="2245"/>
      <c r="R16" s="2245"/>
    </row>
    <row r="17" spans="1:28">
      <c r="A17" s="305" t="s">
        <v>2193</v>
      </c>
      <c r="B17" s="294" t="s">
        <v>2194</v>
      </c>
      <c r="C17" s="8">
        <f>'数据-汇总表'!E3</f>
        <v>11841.610000000006</v>
      </c>
      <c r="D17" s="1256" t="s">
        <v>2195</v>
      </c>
      <c r="E17" s="3262" t="s">
        <v>2196</v>
      </c>
      <c r="F17" s="3263"/>
      <c r="G17" s="3263"/>
      <c r="H17" s="3263"/>
      <c r="I17" s="3264"/>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65" t="s">
        <v>2200</v>
      </c>
      <c r="F18" s="3266"/>
      <c r="G18" s="3266"/>
      <c r="H18" s="3266"/>
      <c r="I18" s="3267"/>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52" t="s">
        <v>2204</v>
      </c>
      <c r="C20" s="3253"/>
      <c r="D20" s="3254" t="s">
        <v>2205</v>
      </c>
      <c r="E20" s="3255"/>
      <c r="F20" s="2430" t="s">
        <v>1054</v>
      </c>
      <c r="G20" s="2442"/>
      <c r="H20" s="2442"/>
      <c r="I20" s="2442"/>
      <c r="J20" s="2245"/>
      <c r="K20" s="325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5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51"/>
      <c r="L22" s="646"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9"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9"/>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9"/>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70"/>
      <c r="B30" s="294" t="s">
        <v>2216</v>
      </c>
      <c r="C30" s="3271"/>
      <c r="D30" s="3272"/>
      <c r="E30" s="2442"/>
      <c r="F30" s="2442"/>
      <c r="G30" s="2442"/>
      <c r="H30" s="2442"/>
      <c r="I30" s="2442"/>
      <c r="J30" s="2245"/>
      <c r="K30" s="2402"/>
      <c r="L30" s="2399"/>
      <c r="M30" s="2399"/>
      <c r="N30" s="2245"/>
      <c r="O30" s="1670"/>
      <c r="P30" s="2245"/>
      <c r="Q30" s="2245"/>
      <c r="R30" s="2245"/>
      <c r="S30" s="2245"/>
      <c r="T30" s="2245"/>
      <c r="U30" s="2245"/>
      <c r="V30" s="2245"/>
    </row>
    <row r="31" spans="1:28">
      <c r="A31" s="3273"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7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7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68" t="s">
        <v>2226</v>
      </c>
      <c r="T34" s="315" t="str">
        <f>NUMBERSTRING(7-K34,1)&amp;"通"</f>
        <v>七通</v>
      </c>
      <c r="U34" s="2245"/>
      <c r="V34" s="2245"/>
    </row>
    <row r="35" spans="1:30">
      <c r="A35" s="2236"/>
      <c r="B35" s="3268" t="s">
        <v>2227</v>
      </c>
      <c r="C35" s="3268"/>
      <c r="D35" s="3268"/>
      <c r="E35" s="326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8"/>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11841.610000000006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11841.610000000006</v>
      </c>
      <c r="H5" s="13">
        <f t="shared" ref="H5:AT5" si="0">SUM(H13:H656)</f>
        <v>11841.610000000006</v>
      </c>
      <c r="I5" s="13">
        <f t="shared" si="0"/>
        <v>2007.2000000000005</v>
      </c>
      <c r="J5" s="13">
        <f t="shared" si="0"/>
        <v>0</v>
      </c>
      <c r="K5" s="13">
        <f t="shared" si="0"/>
        <v>3082.8099999999981</v>
      </c>
      <c r="L5" s="13">
        <f t="shared" si="0"/>
        <v>0</v>
      </c>
      <c r="M5" s="13">
        <f t="shared" si="0"/>
        <v>6666.6000000000076</v>
      </c>
      <c r="N5" s="13">
        <f t="shared" si="0"/>
        <v>0</v>
      </c>
      <c r="O5" s="13">
        <f t="shared" si="0"/>
        <v>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11841.610000000006</v>
      </c>
      <c r="BA5" s="15">
        <f t="shared" si="1"/>
        <v>11841.610000000006</v>
      </c>
      <c r="BB5" s="15">
        <f t="shared" si="1"/>
        <v>2007.2000000000005</v>
      </c>
      <c r="BC5" s="15">
        <f t="shared" si="1"/>
        <v>3082.8099999999981</v>
      </c>
      <c r="BD5" s="15">
        <f t="shared" si="1"/>
        <v>6666.6000000000076</v>
      </c>
      <c r="BE5" s="15">
        <f t="shared" si="1"/>
        <v>85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4769</v>
      </c>
      <c r="J9" s="761"/>
      <c r="K9" s="1491" t="s">
        <v>4769</v>
      </c>
      <c r="L9" s="761"/>
      <c r="M9" s="1491" t="s">
        <v>4770</v>
      </c>
      <c r="N9" s="761"/>
      <c r="O9" s="1491" t="s">
        <v>4770</v>
      </c>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672</v>
      </c>
      <c r="J10" s="761"/>
      <c r="K10" s="1497" t="s">
        <v>21</v>
      </c>
      <c r="L10" s="761"/>
      <c r="M10" s="1497" t="s">
        <v>3329</v>
      </c>
      <c r="N10" s="761"/>
      <c r="O10" s="1497" t="s">
        <v>3330</v>
      </c>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车库</v>
      </c>
      <c r="BE11" s="1487" t="str">
        <f>O10</f>
        <v>仓储</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4768</v>
      </c>
      <c r="E13" s="13">
        <f>IF($C$3="是",ROUND($A$3*G13/$B$3,2),ROUND($A$3*(G13-AT13)/$B$3,2))</f>
        <v>0</v>
      </c>
      <c r="F13" s="29"/>
      <c r="G13" s="30">
        <f>H13+AC13+AT13</f>
        <v>11841.610000000006</v>
      </c>
      <c r="H13" s="17">
        <f>SUMIF(I$12:AB$12,"总值",I13:AB13)</f>
        <v>11841.610000000006</v>
      </c>
      <c r="I13" s="1514">
        <f>最终结果!S3+最终结果!S7</f>
        <v>2007.2000000000005</v>
      </c>
      <c r="J13" s="1514"/>
      <c r="K13" s="1514">
        <f>最终结果!S8</f>
        <v>3082.8099999999981</v>
      </c>
      <c r="L13" s="1514"/>
      <c r="M13" s="1514">
        <f>最终结果!S4+最终结果!S14</f>
        <v>6666.6000000000076</v>
      </c>
      <c r="N13" s="1514"/>
      <c r="O13" s="1514">
        <f>最终结果!S12</f>
        <v>85</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11841.610000000006</v>
      </c>
      <c r="BA13" s="13">
        <f>SUM(BB13:BK13)</f>
        <v>11841.610000000006</v>
      </c>
      <c r="BB13" s="13">
        <f>IF($D13="是",I13-J13,0)</f>
        <v>2007.2000000000005</v>
      </c>
      <c r="BC13" s="13">
        <f>IF($D13="是",K13-L13,0)</f>
        <v>3082.8099999999981</v>
      </c>
      <c r="BD13" s="13">
        <f>IF($D13="是",M13-N13,0)</f>
        <v>6666.6000000000076</v>
      </c>
      <c r="BE13" s="13">
        <f>IF($D13="是",O13-P13,0)</f>
        <v>85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4" sqref="F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84" t="s">
        <v>1129</v>
      </c>
      <c r="B2" s="3284"/>
      <c r="C2" s="3284"/>
      <c r="D2" s="748" t="s">
        <v>1105</v>
      </c>
      <c r="E2" s="1523" t="s">
        <v>1106</v>
      </c>
      <c r="F2" s="2439"/>
      <c r="G2" s="2432"/>
      <c r="H2" s="2433"/>
      <c r="I2" s="2146" t="s">
        <v>1130</v>
      </c>
      <c r="J2" s="2439"/>
      <c r="K2" s="2439"/>
      <c r="L2" s="2439"/>
      <c r="M2" s="2439"/>
      <c r="N2" s="2440"/>
      <c r="O2" s="2439"/>
      <c r="P2" s="2439"/>
    </row>
    <row r="3" spans="1:16" ht="15.75" thickBot="1">
      <c r="A3" s="3285" t="s">
        <v>1103</v>
      </c>
      <c r="B3" s="3285"/>
      <c r="C3" s="3285"/>
      <c r="D3" s="41">
        <f>'数据-基础表'!AY6</f>
        <v>0</v>
      </c>
      <c r="E3" s="41">
        <f>'数据-基础表'!AZ5</f>
        <v>11841.610000000006</v>
      </c>
      <c r="F3" s="2439"/>
      <c r="G3" s="42"/>
      <c r="H3" s="43" t="s">
        <v>1104</v>
      </c>
      <c r="I3" s="802" t="e">
        <f>ROUND('数据-基础表'!B3/'数据-基础表'!A3,2)</f>
        <v>#DIV/0!</v>
      </c>
      <c r="J3" s="2439"/>
      <c r="K3" s="2439"/>
      <c r="L3" s="2439"/>
      <c r="M3" s="2439"/>
      <c r="N3" s="2440"/>
      <c r="O3" s="2439"/>
      <c r="P3" s="2439"/>
    </row>
    <row r="4" spans="1:16" ht="15">
      <c r="A4" s="3286"/>
      <c r="B4" s="3287"/>
      <c r="C4" s="3288"/>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289" t="s">
        <v>1108</v>
      </c>
      <c r="C5" s="3289"/>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5" thickBot="1">
      <c r="A6" s="1527"/>
      <c r="B6" s="3289" t="s">
        <v>1109</v>
      </c>
      <c r="C6" s="3289"/>
      <c r="D6" s="43">
        <f>ROUND($D$3*E6/$E$3,2)</f>
        <v>0</v>
      </c>
      <c r="E6" s="44">
        <f>E3-E5</f>
        <v>11841.610000000006</v>
      </c>
      <c r="F6" s="2439"/>
      <c r="G6" s="1529" t="s">
        <v>1110</v>
      </c>
      <c r="H6" s="45" t="s">
        <v>1111</v>
      </c>
      <c r="I6" s="2435" t="e">
        <f>ROUND(F31/D31,2)</f>
        <v>#DIV/0!</v>
      </c>
      <c r="J6" s="2439"/>
      <c r="K6" s="2439"/>
      <c r="L6" s="2439"/>
      <c r="M6" s="2439"/>
      <c r="N6" s="2439"/>
      <c r="O6" s="2439"/>
      <c r="P6" s="2439"/>
    </row>
    <row r="7" spans="1:16" ht="15.75" thickBot="1">
      <c r="A7" s="3281"/>
      <c r="B7" s="3282"/>
      <c r="C7" s="3283"/>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5090.0099999999984</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85</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6666.6000000000076</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0</v>
      </c>
      <c r="E16" s="48">
        <f>SUM(E8:E15)</f>
        <v>11841.610000000006</v>
      </c>
      <c r="F16" s="2439"/>
      <c r="G16" s="2439"/>
      <c r="H16" s="1531" t="s">
        <v>1133</v>
      </c>
      <c r="I16" s="1532"/>
      <c r="J16" s="1071"/>
      <c r="K16" s="3278" t="s">
        <v>1133</v>
      </c>
      <c r="L16" s="3279"/>
      <c r="M16" s="3279"/>
      <c r="N16" s="3279"/>
      <c r="O16" s="3279"/>
      <c r="P16" s="3280"/>
    </row>
    <row r="17" spans="1:19" ht="15">
      <c r="A17" s="1533" t="s">
        <v>1134</v>
      </c>
      <c r="B17" s="1534" t="s">
        <v>1135</v>
      </c>
      <c r="C17" s="1535" t="s">
        <v>1136</v>
      </c>
      <c r="D17" s="1536" t="s">
        <v>1124</v>
      </c>
      <c r="E17" s="1537" t="s">
        <v>1125</v>
      </c>
      <c r="F17" s="1538"/>
      <c r="G17" s="1539"/>
      <c r="H17" s="1540" t="s">
        <v>1137</v>
      </c>
      <c r="I17" s="1541" t="s">
        <v>1122</v>
      </c>
      <c r="J17" s="1071"/>
      <c r="K17" s="3275" t="s">
        <v>1138</v>
      </c>
      <c r="L17" s="3276"/>
      <c r="M17" s="3277"/>
      <c r="N17" s="3275" t="s">
        <v>1139</v>
      </c>
      <c r="O17" s="3276"/>
      <c r="P17" s="3277"/>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4913</v>
      </c>
      <c r="D19" s="43">
        <f>ROUND($D$3*E19/$E$3,2)</f>
        <v>0</v>
      </c>
      <c r="E19" s="51">
        <f t="shared" ref="E19:E26" si="1">SUM(F19:G19)</f>
        <v>173.35</v>
      </c>
      <c r="F19" s="2558">
        <f>最终结果!T3</f>
        <v>173.35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173.35</v>
      </c>
    </row>
    <row r="20" spans="1:19">
      <c r="A20" s="1549"/>
      <c r="B20" s="45" t="s">
        <v>1151</v>
      </c>
      <c r="C20" s="3116" t="s">
        <v>4772</v>
      </c>
      <c r="D20" s="43">
        <f t="shared" ref="D20:D26" si="6">ROUND($D$3*E20/$E$3,2)</f>
        <v>0</v>
      </c>
      <c r="E20" s="51">
        <f t="shared" si="1"/>
        <v>3082.8099999999981</v>
      </c>
      <c r="F20" s="2558">
        <f>'数据-基础表'!K13</f>
        <v>3082.8099999999981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3082.8099999999981</v>
      </c>
    </row>
    <row r="21" spans="1:19">
      <c r="A21" s="1549"/>
      <c r="B21" s="45" t="s">
        <v>1151</v>
      </c>
      <c r="C21" s="3116" t="s">
        <v>4774</v>
      </c>
      <c r="D21" s="43">
        <f t="shared" si="6"/>
        <v>0</v>
      </c>
      <c r="E21" s="51">
        <f t="shared" si="1"/>
        <v>6666.6000000000076</v>
      </c>
      <c r="F21" s="2558"/>
      <c r="G21" s="1243">
        <f>'数据-基础表'!M13</f>
        <v>6666.6000000000076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6666.6000000000076</v>
      </c>
    </row>
    <row r="22" spans="1:19">
      <c r="A22" s="1549"/>
      <c r="B22" s="45" t="s">
        <v>1151</v>
      </c>
      <c r="C22" s="3117" t="s">
        <v>4775</v>
      </c>
      <c r="D22" s="43">
        <f t="shared" si="6"/>
        <v>0</v>
      </c>
      <c r="E22" s="51">
        <f t="shared" si="1"/>
        <v>85</v>
      </c>
      <c r="F22" s="2559"/>
      <c r="G22" s="2560">
        <f>'数据-基础表'!O13</f>
        <v>85</v>
      </c>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85</v>
      </c>
    </row>
    <row r="23" spans="1:19">
      <c r="A23" s="1549"/>
      <c r="B23" s="45" t="s">
        <v>1151</v>
      </c>
      <c r="C23" s="3117" t="s">
        <v>4771</v>
      </c>
      <c r="D23" s="43">
        <f>ROUND($D$3*E23/$E$3,2)</f>
        <v>0</v>
      </c>
      <c r="E23" s="51">
        <f>SUM(F23:G23)</f>
        <v>1833.8500000000006</v>
      </c>
      <c r="F23" s="2559">
        <f>'数据-基础表'!I13-'数据-汇总表'!F19</f>
        <v>1833.8500000000006</v>
      </c>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1833.8500000000006</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11841.610000000006</v>
      </c>
      <c r="F27" s="1072">
        <f>IF(SUM(F19:F26)=E8,SUM(F19:F26),"地上面积有误")</f>
        <v>5090.0099999999984</v>
      </c>
      <c r="G27" s="1074">
        <f>SUM(G19:G26)</f>
        <v>6751.6000000000076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11841.610000000006</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0</v>
      </c>
      <c r="E31" s="643">
        <f>E27+E30</f>
        <v>11841.610000000006</v>
      </c>
      <c r="F31" s="644">
        <f>F27+F30</f>
        <v>5090.0099999999984</v>
      </c>
      <c r="G31" s="645">
        <f>G27+G30</f>
        <v>6751.6000000000076</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4779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672</v>
      </c>
      <c r="D6" s="805">
        <f>SUMIF(项目基本情况!C$12:I$12,C6,项目基本情况!C$14:I$14)</f>
        <v>40</v>
      </c>
      <c r="E6" s="804">
        <f>IF(B6="","",SUMIF(项目基本情况!C$12:I$12,C6,项目基本情况!C$13:I$13))</f>
        <v>55284</v>
      </c>
      <c r="F6" s="61">
        <f>SUMIF(项目基本情况!C$12:I$12,C6,项目基本情况!C$15:I$15)</f>
        <v>25.5</v>
      </c>
      <c r="G6" s="62">
        <f>IF(ISERROR(ROUND(POWER(1+H6,D6-F6)*(POWER(1+H6,F6)-1)/(POWER(1+H6,D6)-1),3)),0,ROUND(POWER(1+H6,D6-F6)*(POWER(1+H6,F6)-1)/(POWER(1+H6,D6)-1),3))</f>
        <v>0.83</v>
      </c>
      <c r="H6" s="691">
        <v>0.05</v>
      </c>
      <c r="I6" s="691">
        <v>5.5E-2</v>
      </c>
      <c r="J6" s="63">
        <v>0.06</v>
      </c>
      <c r="K6" s="970">
        <f>SUMIF('数据-汇总表'!C$19:C$33,A6,'数据-汇总表'!E$19:E$33)</f>
        <v>173.35</v>
      </c>
      <c r="L6" s="692">
        <v>3000</v>
      </c>
      <c r="M6" s="64">
        <f t="shared" ref="M6:M14" si="0">ROUND(K6*L6/10000,0)</f>
        <v>52</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1.4999999999999999E-2</v>
      </c>
      <c r="W6" s="67">
        <v>0.15</v>
      </c>
      <c r="X6" s="979"/>
      <c r="Y6" s="68">
        <f>N6</f>
        <v>0.85</v>
      </c>
      <c r="Z6" s="69"/>
      <c r="AA6" s="63"/>
      <c r="AB6" s="63"/>
      <c r="AC6" s="979"/>
      <c r="AD6" s="70"/>
      <c r="AE6" s="980">
        <f ca="1">IF(AN6="",0,SUMIF(INDIRECT("'"&amp;AN6&amp;"'"&amp;"!E:E"),$AE$5,INDIRECT("'"&amp;AN6&amp;"'"&amp;"!F:F")))</f>
        <v>25.5</v>
      </c>
      <c r="AF6" s="74"/>
      <c r="AG6" s="130">
        <f>IF(AF6="",0,AE6-AF6)</f>
        <v>0</v>
      </c>
      <c r="AH6" s="71"/>
      <c r="AI6" s="73">
        <v>365</v>
      </c>
      <c r="AJ6" s="74"/>
      <c r="AK6" s="75">
        <v>2E-3</v>
      </c>
      <c r="AL6" s="76">
        <v>1E-3</v>
      </c>
      <c r="AM6" s="77">
        <v>0.01</v>
      </c>
      <c r="AN6" s="1589" t="s">
        <v>4764</v>
      </c>
      <c r="AO6" s="50">
        <f ca="1">SUMIF(INDIRECT("'"&amp;AN6&amp;"'"&amp;"!A:A"),"总价",INDIRECT("'"&amp;AN6&amp;"'"&amp;"!B:B"))</f>
        <v>280.43669999999997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58937</v>
      </c>
      <c r="F7" s="61">
        <f>SUMIF(项目基本情况!C$12:I$12,C7,项目基本情况!C$15:I$15)</f>
        <v>35.51</v>
      </c>
      <c r="G7" s="62">
        <f t="shared" ref="G7:G11" si="2">IF(ISERROR(ROUND(POWER(1+H7,D7-F7)*(POWER(1+H7,F7)-1)/(POWER(1+H7,D7)-1),3)),0,ROUND(POWER(1+H7,D7-F7)*(POWER(1+H7,F7)-1)/(POWER(1+H7,D7)-1),3))</f>
        <v>0.90200000000000002</v>
      </c>
      <c r="H7" s="691">
        <f>H6</f>
        <v>0.05</v>
      </c>
      <c r="I7" s="691">
        <f>I6</f>
        <v>5.5E-2</v>
      </c>
      <c r="J7" s="63">
        <f>J6</f>
        <v>0.06</v>
      </c>
      <c r="K7" s="970">
        <f>SUMIF('数据-汇总表'!C$19:C$33,A7,'数据-汇总表'!E$19:E$33)</f>
        <v>3082.8099999999981</v>
      </c>
      <c r="L7" s="692">
        <v>3000</v>
      </c>
      <c r="M7" s="64">
        <f t="shared" si="0"/>
        <v>925</v>
      </c>
      <c r="N7" s="690">
        <f>N6</f>
        <v>0.85</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1.3</v>
      </c>
      <c r="V7" s="67">
        <v>1.4999999999999999E-2</v>
      </c>
      <c r="W7" s="67">
        <v>0.1</v>
      </c>
      <c r="X7" s="979"/>
      <c r="Y7" s="68">
        <f t="shared" ref="Y7:Y9" si="6">N7</f>
        <v>0.85</v>
      </c>
      <c r="Z7" s="69"/>
      <c r="AA7" s="63"/>
      <c r="AB7" s="63"/>
      <c r="AC7" s="979"/>
      <c r="AD7" s="70"/>
      <c r="AE7" s="980">
        <f t="shared" ref="AE7:AE13" ca="1" si="7">IF(AN7="",0,SUMIF(INDIRECT("'"&amp;AN7&amp;"'"&amp;"!E:E"),$AE$5,INDIRECT("'"&amp;AN7&amp;"'"&amp;"!F:F")))</f>
        <v>35.51</v>
      </c>
      <c r="AF7" s="74"/>
      <c r="AG7" s="130">
        <f t="shared" ref="AG7:AG13" si="8">IF(AF7="",0,AE7-AF7)</f>
        <v>0</v>
      </c>
      <c r="AH7" s="71"/>
      <c r="AI7" s="73">
        <v>365</v>
      </c>
      <c r="AJ7" s="74"/>
      <c r="AK7" s="75">
        <f>AK6</f>
        <v>2E-3</v>
      </c>
      <c r="AL7" s="76">
        <f>AL6</f>
        <v>1E-3</v>
      </c>
      <c r="AM7" s="77">
        <f>AM6</f>
        <v>0.01</v>
      </c>
      <c r="AN7" s="1589" t="s">
        <v>4766</v>
      </c>
      <c r="AO7" s="50">
        <f t="shared" ref="AO7:AO13" ca="1" si="9">SUMIF(INDIRECT("'"&amp;AN7&amp;"'"&amp;"!A:A"),"总价",INDIRECT("'"&amp;AN7&amp;"'"&amp;"!B:B"))</f>
        <v>2009.7529999999999</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车位</v>
      </c>
      <c r="B8" s="1587" t="str">
        <f t="shared" si="1"/>
        <v>经营性</v>
      </c>
      <c r="C8" s="1588" t="s">
        <v>3329</v>
      </c>
      <c r="D8" s="805">
        <f>SUMIF(项目基本情况!C$12:I$12,C8,项目基本情况!C$14:I$14)</f>
        <v>50</v>
      </c>
      <c r="E8" s="804">
        <f>IF(B8="","",SUMIF(项目基本情况!C$12:I$12,C8,项目基本情况!C$13:I$13))</f>
        <v>58937</v>
      </c>
      <c r="F8" s="61">
        <f>SUMIF(项目基本情况!C$12:I$12,C8,项目基本情况!C$15:I$15)</f>
        <v>35.51</v>
      </c>
      <c r="G8" s="62">
        <f t="shared" si="2"/>
        <v>0.90200000000000002</v>
      </c>
      <c r="H8" s="691">
        <f t="shared" ref="H8:H9" si="13">H7</f>
        <v>0.05</v>
      </c>
      <c r="I8" s="691">
        <f t="shared" ref="I8:I9" si="14">I7</f>
        <v>5.5E-2</v>
      </c>
      <c r="J8" s="63">
        <f t="shared" ref="J8:J9" si="15">J7</f>
        <v>0.06</v>
      </c>
      <c r="K8" s="970">
        <f>SUMIF('数据-汇总表'!C$19:C$33,A8,'数据-汇总表'!E$19:E$33)</f>
        <v>6666.6000000000076</v>
      </c>
      <c r="L8" s="692">
        <v>4000</v>
      </c>
      <c r="M8" s="64">
        <f>ROUND(K8*L8/10000,0)</f>
        <v>2667</v>
      </c>
      <c r="N8" s="690">
        <f>N6</f>
        <v>0.85</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694">
        <v>0.01</v>
      </c>
      <c r="W8" s="694">
        <v>0.2</v>
      </c>
      <c r="X8" s="979"/>
      <c r="Y8" s="68">
        <f t="shared" si="6"/>
        <v>0.85</v>
      </c>
      <c r="Z8" s="69"/>
      <c r="AA8" s="63"/>
      <c r="AB8" s="63"/>
      <c r="AC8" s="979"/>
      <c r="AD8" s="70"/>
      <c r="AE8" s="980">
        <f t="shared" ca="1" si="7"/>
        <v>35.51</v>
      </c>
      <c r="AF8" s="74"/>
      <c r="AG8" s="130">
        <f t="shared" si="8"/>
        <v>0</v>
      </c>
      <c r="AH8" s="695">
        <f>最终结果!R4+最终结果!R14</f>
        <v>154</v>
      </c>
      <c r="AI8" s="73">
        <v>12</v>
      </c>
      <c r="AJ8" s="74"/>
      <c r="AK8" s="696">
        <f>AK6</f>
        <v>2E-3</v>
      </c>
      <c r="AL8" s="697">
        <f>AL6</f>
        <v>1E-3</v>
      </c>
      <c r="AM8" s="106">
        <f>AM6</f>
        <v>0.01</v>
      </c>
      <c r="AN8" s="1589" t="s">
        <v>4780</v>
      </c>
      <c r="AO8" s="50">
        <f t="shared" ca="1" si="9"/>
        <v>613.44489999999996</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仓储</v>
      </c>
      <c r="B9" s="1587" t="str">
        <f t="shared" si="1"/>
        <v>经营性</v>
      </c>
      <c r="C9" s="1588" t="s">
        <v>3330</v>
      </c>
      <c r="D9" s="805">
        <f>SUMIF(项目基本情况!C$12:I$12,C9,项目基本情况!C$14:I$14)</f>
        <v>50</v>
      </c>
      <c r="E9" s="804">
        <f>IF(B9="","",SUMIF(项目基本情况!C$12:I$12,C9,项目基本情况!C$13:I$13))</f>
        <v>58937</v>
      </c>
      <c r="F9" s="61">
        <f>SUMIF(项目基本情况!C$12:I$12,C9,项目基本情况!C$15:I$15)</f>
        <v>35.51</v>
      </c>
      <c r="G9" s="62">
        <f t="shared" si="2"/>
        <v>0.90200000000000002</v>
      </c>
      <c r="H9" s="691">
        <f t="shared" si="13"/>
        <v>0.05</v>
      </c>
      <c r="I9" s="691">
        <f t="shared" si="14"/>
        <v>5.5E-2</v>
      </c>
      <c r="J9" s="63">
        <f t="shared" si="15"/>
        <v>0.06</v>
      </c>
      <c r="K9" s="970">
        <f>SUMIF('数据-汇总表'!C$19:C$33,A9,'数据-汇总表'!E$19:E$33)</f>
        <v>85</v>
      </c>
      <c r="L9" s="692">
        <v>4000</v>
      </c>
      <c r="M9" s="64">
        <f t="shared" si="0"/>
        <v>34</v>
      </c>
      <c r="N9" s="690">
        <f>N6</f>
        <v>0.85</v>
      </c>
      <c r="O9" s="64" t="str">
        <f t="shared" si="3"/>
        <v>——</v>
      </c>
      <c r="P9" s="65" t="str">
        <f t="shared" si="4"/>
        <v>——</v>
      </c>
      <c r="Q9" s="78">
        <v>0.05</v>
      </c>
      <c r="R9" s="66">
        <f ca="1">SUMIF('数据-汇总表'!C$19:C$33,A9,'数据-汇总表'!R$19:R$27)</f>
        <v>0</v>
      </c>
      <c r="S9" s="49">
        <f>IF('数据-汇总表'!$I$17="按面积比例",SUMIF('数据-汇总表'!C$19:C$33,A9,'数据-汇总表'!K$19:K$33),SUMIF('数据-汇总表'!C$19:C$33,A9,'数据-汇总表'!N$19:N$33))</f>
        <v>0</v>
      </c>
      <c r="T9" s="1092">
        <f t="shared" si="5"/>
        <v>0</v>
      </c>
      <c r="U9" s="3127">
        <v>0.5</v>
      </c>
      <c r="V9" s="67">
        <v>0.01</v>
      </c>
      <c r="W9" s="67">
        <v>0.2</v>
      </c>
      <c r="X9" s="979"/>
      <c r="Y9" s="68">
        <f t="shared" si="6"/>
        <v>0.85</v>
      </c>
      <c r="Z9" s="69"/>
      <c r="AA9" s="63"/>
      <c r="AB9" s="63"/>
      <c r="AC9" s="979"/>
      <c r="AD9" s="70"/>
      <c r="AE9" s="980">
        <f t="shared" ca="1" si="7"/>
        <v>35.51</v>
      </c>
      <c r="AF9" s="74"/>
      <c r="AG9" s="130">
        <f t="shared" si="8"/>
        <v>0</v>
      </c>
      <c r="AH9" s="71"/>
      <c r="AI9" s="73">
        <v>365</v>
      </c>
      <c r="AJ9" s="74"/>
      <c r="AK9" s="75">
        <f>AK6</f>
        <v>2E-3</v>
      </c>
      <c r="AL9" s="76">
        <f>AL6</f>
        <v>1E-3</v>
      </c>
      <c r="AM9" s="77">
        <f>AM6</f>
        <v>0.01</v>
      </c>
      <c r="AN9" s="1589" t="s">
        <v>4782</v>
      </c>
      <c r="AO9" s="50">
        <f t="shared" ca="1" si="9"/>
        <v>17.5563</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t="str">
        <f>'数据-汇总表'!C23</f>
        <v>商业</v>
      </c>
      <c r="B10" s="1587" t="str">
        <f t="shared" si="1"/>
        <v>经营性</v>
      </c>
      <c r="C10" s="1588"/>
      <c r="D10" s="805">
        <f>SUMIF(项目基本情况!C$12:I$12,C10,项目基本情况!C$14:I$14)</f>
        <v>0</v>
      </c>
      <c r="E10" s="804">
        <f>IF(B10="","",SUMIF(项目基本情况!C$12:I$12,C10,项目基本情况!C$13:I$13))</f>
        <v>0</v>
      </c>
      <c r="F10" s="61">
        <f>SUMIF(项目基本情况!C$12:I$12,C10,项目基本情况!C$15:I$15)</f>
        <v>0</v>
      </c>
      <c r="G10" s="62">
        <f t="shared" si="2"/>
        <v>0</v>
      </c>
      <c r="H10" s="63"/>
      <c r="I10" s="63"/>
      <c r="J10" s="63"/>
      <c r="K10" s="970">
        <f>SUMIF('数据-汇总表'!C$19:C$33,A10,'数据-汇总表'!E$19:E$33)</f>
        <v>1833.8500000000006</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0.90100000000000002</v>
      </c>
      <c r="H16" s="84">
        <f>ROUND(SUMPRODUCT(H6:H13,K6:K13)/SUMPRODUCT((H6:H13&gt;0)*(K6:K13)),3)</f>
        <v>0.05</v>
      </c>
      <c r="I16" s="85"/>
      <c r="J16" s="85"/>
      <c r="K16" s="86">
        <f>SUM(K6:K15)</f>
        <v>11841.610000000006</v>
      </c>
      <c r="L16" s="87">
        <f>ROUND(M16*10000/SUM(K6:K14),0)</f>
        <v>3106</v>
      </c>
      <c r="M16" s="87">
        <f>SUM(M6:M14)</f>
        <v>3678</v>
      </c>
      <c r="N16" s="88">
        <f>ROUND(SUMPRODUCT(M6:M14,N6:N14)/M16,3)</f>
        <v>0.85</v>
      </c>
      <c r="O16" s="87">
        <f>SUM(O6:O14)</f>
        <v>0</v>
      </c>
      <c r="P16" s="87">
        <f>SUM(P6:P14)</f>
        <v>0</v>
      </c>
      <c r="Q16" s="89">
        <f>ROUND(SUMPRODUCT(Q6:Q13,K6:K13)/SUMPRODUCT((Q6:Q13&gt;0)*(K6:K13)),2)</f>
        <v>7.0000000000000007E-2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2298</v>
      </c>
      <c r="D20" s="2452"/>
      <c r="E20" s="2439"/>
      <c r="F20" s="2439"/>
      <c r="G20" s="2439"/>
      <c r="H20" s="2439"/>
      <c r="I20" s="2439"/>
      <c r="J20" s="2439"/>
      <c r="K20" s="2450"/>
      <c r="L20" s="2450"/>
      <c r="M20" s="2449"/>
      <c r="N20" s="2449">
        <v>2015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f>1-(2025-N20)/60</f>
        <v>0.83333333333333337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246</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246</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246</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0.01</v>
      </c>
      <c r="C37" s="2565" t="s">
        <v>3380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3381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3382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0" t="s">
        <v>2284</v>
      </c>
      <c r="B1" s="3291"/>
      <c r="C1" s="3291"/>
      <c r="D1" s="3291"/>
      <c r="E1" s="3291"/>
      <c r="F1" s="3291"/>
      <c r="G1" s="329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D17"/>
    </sheetView>
  </sheetViews>
  <sheetFormatPr defaultColWidth="9" defaultRowHeight="13.5"/>
  <cols>
    <col min="1" max="1" width="25" style="2301" customWidth="1"/>
    <col min="2" max="9" width="15.75" style="2301" customWidth="1"/>
    <col min="10" max="16384" width="9" style="2301"/>
  </cols>
  <sheetData>
    <row r="1" spans="1:11" ht="16.5">
      <c r="A1" s="2300" t="s">
        <v>664</v>
      </c>
      <c r="B1" s="2300">
        <f>SUM(B14:B23)</f>
        <v>11841.610000000006</v>
      </c>
      <c r="C1" s="2462"/>
      <c r="D1" s="2462"/>
      <c r="E1" s="2462"/>
      <c r="F1" s="2462"/>
      <c r="G1" s="2463"/>
      <c r="H1" s="2463"/>
      <c r="I1" s="2463"/>
      <c r="J1" s="2463"/>
      <c r="K1" s="2463"/>
    </row>
    <row r="2" spans="1:11" ht="16.5">
      <c r="A2" s="2300" t="s">
        <v>652</v>
      </c>
      <c r="B2" s="2300">
        <f>SUM(C14:C23)</f>
        <v>0</v>
      </c>
      <c r="C2" s="2462"/>
      <c r="D2" s="2462"/>
      <c r="E2" s="2462"/>
      <c r="F2" s="2462"/>
      <c r="G2" s="2463"/>
      <c r="H2" s="2463"/>
      <c r="I2" s="2463"/>
      <c r="J2" s="2463"/>
      <c r="K2" s="2463"/>
    </row>
    <row r="3" spans="1:11" ht="16.5">
      <c r="A3" s="2300" t="s">
        <v>661</v>
      </c>
      <c r="B3" s="2302">
        <f>项目基本情况!D3</f>
        <v>45974</v>
      </c>
      <c r="C3" s="2462"/>
      <c r="D3" s="2462"/>
      <c r="E3" s="2462"/>
      <c r="F3" s="2462"/>
      <c r="G3" s="2463"/>
      <c r="H3" s="2463"/>
      <c r="I3" s="2463"/>
      <c r="J3" s="2463"/>
      <c r="K3" s="2463"/>
    </row>
    <row r="4" spans="1:11" ht="33">
      <c r="A4" s="2300" t="s">
        <v>660</v>
      </c>
      <c r="B4" s="2300" t="s">
        <v>659</v>
      </c>
      <c r="C4" s="2300" t="s">
        <v>658</v>
      </c>
      <c r="D4" s="2300" t="s">
        <v>657</v>
      </c>
      <c r="E4" s="2462"/>
      <c r="F4" s="2463"/>
      <c r="G4" s="2463"/>
      <c r="H4" s="2463"/>
      <c r="I4" s="2463"/>
      <c r="J4" s="2463"/>
      <c r="K4" s="2463"/>
    </row>
    <row r="5" spans="1:11" ht="16.5">
      <c r="A5" s="2300" t="s">
        <v>656</v>
      </c>
      <c r="B5" s="2300">
        <f ca="1">SUM(D14:D23)</f>
        <v>6628.4059520000019</v>
      </c>
      <c r="C5" s="2300">
        <f ca="1">IF(B5=D14,'结果表-1层商业'!H102,ROUND(B5*10000/$B$1,0))</f>
        <v>5598</v>
      </c>
      <c r="D5" s="2300" t="e">
        <f ca="1">ROUND(B5*10000/$B$2,0)</f>
        <v>#DIV/0!</v>
      </c>
      <c r="E5" s="2462"/>
      <c r="F5" s="2463"/>
      <c r="G5" s="2463"/>
      <c r="H5" s="2463"/>
      <c r="I5" s="2463"/>
      <c r="J5" s="2463"/>
      <c r="K5" s="2463"/>
    </row>
    <row r="6" spans="1:11" ht="16.5">
      <c r="A6" s="2300" t="s">
        <v>655</v>
      </c>
      <c r="B6" s="2300">
        <f>SUM(G14:G23)</f>
        <v>0</v>
      </c>
      <c r="C6" s="2300">
        <f ca="1">IF(B6=G14,'结果表-1层商业'!H108,ROUND(B6*10000/$B$1,0))</f>
        <v>0</v>
      </c>
      <c r="D6" s="2300" t="e">
        <f>ROUND(B6*10000/$B$2,0)</f>
        <v>#DIV/0!</v>
      </c>
      <c r="E6" s="2462"/>
      <c r="F6" s="2463"/>
      <c r="G6" s="2463"/>
      <c r="H6" s="2463"/>
      <c r="I6" s="2463"/>
      <c r="J6" s="2463"/>
      <c r="K6" s="2463"/>
    </row>
    <row r="7" spans="1:11" ht="16.5">
      <c r="A7" s="2300" t="s">
        <v>663</v>
      </c>
      <c r="B7" s="2300">
        <f>SUM(H14:H23)</f>
        <v>0</v>
      </c>
      <c r="C7" s="2300" t="str">
        <f>IF(B7=H14,'结果表-1层商业'!H110,ROUND(B7*10000/$B$1,0))</f>
        <v>——</v>
      </c>
      <c r="D7" s="2300" t="e">
        <f>ROUND(B7*10000/$B$2,0)</f>
        <v>#DIV/0!</v>
      </c>
      <c r="E7" s="2462"/>
      <c r="F7" s="2463"/>
      <c r="G7" s="2463"/>
      <c r="H7" s="2463"/>
      <c r="I7" s="2463"/>
      <c r="J7" s="2463"/>
      <c r="K7" s="2463"/>
    </row>
    <row r="8" spans="1:11" ht="16.5">
      <c r="A8" s="2300" t="s">
        <v>586</v>
      </c>
      <c r="B8" s="2300">
        <f>SUM(I14:I23)</f>
        <v>0</v>
      </c>
      <c r="C8" s="2300" t="str">
        <f>IF(B8=I14,'结果表-1层商业'!H112,ROUND(B8*10000/$B$1,0))</f>
        <v>——</v>
      </c>
      <c r="D8" s="2300" t="e">
        <f>ROUND(B8*10000/$B$2,0)</f>
        <v>#DIV/0!</v>
      </c>
      <c r="E8" s="2462"/>
      <c r="F8" s="2463"/>
      <c r="G8" s="2463"/>
      <c r="H8" s="2463"/>
      <c r="I8" s="2463"/>
      <c r="J8" s="2463"/>
      <c r="K8" s="2463"/>
    </row>
    <row r="9" spans="1:11" ht="16.5">
      <c r="A9" s="2300" t="s">
        <v>654</v>
      </c>
      <c r="B9" s="1244"/>
      <c r="C9" s="2462"/>
      <c r="D9" s="2462"/>
      <c r="E9" s="2462"/>
      <c r="F9" s="2463"/>
      <c r="G9" s="2463"/>
      <c r="H9" s="2463"/>
      <c r="I9" s="2463"/>
      <c r="J9" s="2463"/>
      <c r="K9" s="2463"/>
    </row>
    <row r="10" spans="1:11" ht="16.5">
      <c r="A10" s="2300" t="s">
        <v>653</v>
      </c>
      <c r="B10" s="2300">
        <f>IF(E10="",0,ROUND(B1*(E10*365/G10)/10000,0))</f>
        <v>0</v>
      </c>
      <c r="C10" s="2300" t="s">
        <v>3352</v>
      </c>
      <c r="D10" s="2300" t="s">
        <v>3353</v>
      </c>
      <c r="E10" s="3137"/>
      <c r="F10" s="3141" t="s">
        <v>3354</v>
      </c>
      <c r="G10" s="3138"/>
      <c r="H10" s="2463"/>
      <c r="I10" s="2463"/>
      <c r="J10" s="2463"/>
      <c r="K10" s="2463"/>
    </row>
    <row r="11" spans="1:11" ht="16.5">
      <c r="A11" s="2300" t="s">
        <v>669</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668</v>
      </c>
      <c r="B13" s="2304" t="s">
        <v>665</v>
      </c>
      <c r="C13" s="2304" t="s">
        <v>667</v>
      </c>
      <c r="D13" s="2304" t="s">
        <v>666</v>
      </c>
      <c r="E13" s="2300" t="s">
        <v>658</v>
      </c>
      <c r="F13" s="2300" t="s">
        <v>657</v>
      </c>
      <c r="G13" s="2304" t="s">
        <v>651</v>
      </c>
      <c r="H13" s="2304" t="s">
        <v>662</v>
      </c>
      <c r="I13" s="2304" t="s">
        <v>650</v>
      </c>
      <c r="J13" s="2463"/>
      <c r="K13" s="2463"/>
    </row>
    <row r="14" spans="1:11" ht="16.5">
      <c r="A14" s="2305" t="s">
        <v>649</v>
      </c>
      <c r="B14" s="2306">
        <f>最终结果!S43</f>
        <v>2007.2000000000005</v>
      </c>
      <c r="C14" s="2306"/>
      <c r="D14" s="2306">
        <f ca="1">最终结果!R43/10000</f>
        <v>2185.4010149999999</v>
      </c>
      <c r="E14" s="2306">
        <f ca="1">ROUND(D14*10000/B14,0)</f>
        <v>10888</v>
      </c>
      <c r="F14" s="2306" t="e">
        <f ca="1">ROUND(D14*10000/C14,0)</f>
        <v>#DIV/0!</v>
      </c>
      <c r="G14" s="2306"/>
      <c r="H14" s="2306"/>
      <c r="I14" s="2306"/>
      <c r="J14" s="2463"/>
      <c r="K14" s="2463"/>
    </row>
    <row r="15" spans="1:11" ht="16.5">
      <c r="A15" s="2305" t="s">
        <v>648</v>
      </c>
      <c r="B15" s="2306">
        <f>最终结果!S44</f>
        <v>3082.8099999999981</v>
      </c>
      <c r="C15" s="2307"/>
      <c r="D15" s="2306">
        <f ca="1">最终结果!R44/10000</f>
        <v>2194.0358769999989</v>
      </c>
      <c r="E15" s="2306">
        <f t="shared" ref="E15:E23" ca="1" si="0">ROUND(D15*10000/B15,0)</f>
        <v>7117</v>
      </c>
      <c r="F15" s="2306" t="e">
        <f t="shared" ref="F15:F23" ca="1" si="1">ROUND(D15*10000/C15,0)</f>
        <v>#DIV/0!</v>
      </c>
      <c r="G15" s="1244"/>
      <c r="H15" s="1244"/>
      <c r="I15" s="2307"/>
      <c r="J15" s="2463"/>
      <c r="K15" s="2463"/>
    </row>
    <row r="16" spans="1:11" ht="16.5">
      <c r="A16" s="2305" t="s">
        <v>647</v>
      </c>
      <c r="B16" s="2306">
        <f>最终结果!S45</f>
        <v>6666.6000000000076</v>
      </c>
      <c r="C16" s="2307"/>
      <c r="D16" s="2306">
        <f ca="1">最终结果!R45/10000</f>
        <v>2227.3110600000023</v>
      </c>
      <c r="E16" s="2306">
        <f t="shared" ca="1" si="0"/>
        <v>3341</v>
      </c>
      <c r="F16" s="2306" t="e">
        <f t="shared" ca="1" si="1"/>
        <v>#DIV/0!</v>
      </c>
      <c r="G16" s="1244"/>
      <c r="H16" s="1244"/>
      <c r="I16" s="2307"/>
      <c r="J16" s="2463"/>
      <c r="K16" s="2463"/>
    </row>
    <row r="17" spans="1:11" ht="16.5">
      <c r="A17" s="2305" t="s">
        <v>646</v>
      </c>
      <c r="B17" s="2306">
        <f>最终结果!S46</f>
        <v>85</v>
      </c>
      <c r="C17" s="2307"/>
      <c r="D17" s="2306">
        <f ca="1">最终结果!R46/10000</f>
        <v>21.658000000000001</v>
      </c>
      <c r="E17" s="2306">
        <f t="shared" ca="1" si="0"/>
        <v>2548</v>
      </c>
      <c r="F17" s="2306" t="e">
        <f t="shared" ca="1" si="1"/>
        <v>#DIV/0!</v>
      </c>
      <c r="G17" s="1244"/>
      <c r="H17" s="1244"/>
      <c r="I17" s="2307"/>
      <c r="J17" s="2463"/>
      <c r="K17" s="2463"/>
    </row>
    <row r="18" spans="1:11" ht="16.5">
      <c r="A18" s="2305" t="s">
        <v>645</v>
      </c>
      <c r="B18" s="2306"/>
      <c r="C18" s="2307"/>
      <c r="D18" s="2307"/>
      <c r="E18" s="2306" t="e">
        <f t="shared" si="0"/>
        <v>#DIV/0!</v>
      </c>
      <c r="F18" s="2306" t="e">
        <f t="shared" si="1"/>
        <v>#DIV/0!</v>
      </c>
      <c r="G18" s="2307"/>
      <c r="H18" s="2307"/>
      <c r="I18" s="2307"/>
      <c r="J18" s="2463"/>
      <c r="K18" s="2463"/>
    </row>
    <row r="19" spans="1:11" ht="16.5">
      <c r="A19" s="2305" t="s">
        <v>644</v>
      </c>
      <c r="B19" s="2307"/>
      <c r="C19" s="2307"/>
      <c r="D19" s="2307"/>
      <c r="E19" s="2306" t="e">
        <f t="shared" si="0"/>
        <v>#DIV/0!</v>
      </c>
      <c r="F19" s="2306" t="e">
        <f t="shared" si="1"/>
        <v>#DIV/0!</v>
      </c>
      <c r="G19" s="2307"/>
      <c r="H19" s="2307"/>
      <c r="I19" s="2307"/>
      <c r="J19" s="2463"/>
      <c r="K19" s="2463"/>
    </row>
    <row r="20" spans="1:11" ht="16.5">
      <c r="A20" s="2305" t="s">
        <v>643</v>
      </c>
      <c r="B20" s="2307"/>
      <c r="C20" s="2307"/>
      <c r="D20" s="2307"/>
      <c r="E20" s="2306" t="e">
        <f t="shared" si="0"/>
        <v>#DIV/0!</v>
      </c>
      <c r="F20" s="2306" t="e">
        <f t="shared" si="1"/>
        <v>#DIV/0!</v>
      </c>
      <c r="G20" s="2307"/>
      <c r="H20" s="2307"/>
      <c r="I20" s="2307"/>
      <c r="J20" s="2463"/>
      <c r="K20" s="2463"/>
    </row>
    <row r="21" spans="1:11" ht="16.5">
      <c r="A21" s="2305" t="s">
        <v>642</v>
      </c>
      <c r="B21" s="2307"/>
      <c r="C21" s="2307"/>
      <c r="D21" s="2307"/>
      <c r="E21" s="2306" t="e">
        <f t="shared" si="0"/>
        <v>#DIV/0!</v>
      </c>
      <c r="F21" s="2306" t="e">
        <f t="shared" si="1"/>
        <v>#DIV/0!</v>
      </c>
      <c r="G21" s="2307"/>
      <c r="H21" s="2307"/>
      <c r="I21" s="2307"/>
      <c r="J21" s="2463"/>
      <c r="K21" s="2463"/>
    </row>
    <row r="22" spans="1:11" ht="16.5">
      <c r="A22" s="2305" t="s">
        <v>641</v>
      </c>
      <c r="B22" s="2307"/>
      <c r="C22" s="2307"/>
      <c r="D22" s="2307"/>
      <c r="E22" s="2306" t="e">
        <f t="shared" si="0"/>
        <v>#DIV/0!</v>
      </c>
      <c r="F22" s="2306" t="e">
        <f t="shared" si="1"/>
        <v>#DIV/0!</v>
      </c>
      <c r="G22" s="2307"/>
      <c r="H22" s="2307"/>
      <c r="I22" s="2307"/>
      <c r="J22" s="2463"/>
      <c r="K22" s="2463"/>
    </row>
    <row r="23" spans="1:11" ht="16.5">
      <c r="A23" s="2305" t="s">
        <v>640</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5EF9-4DBD-4611-8A23-5AF58462E6A6}">
  <sheetPr>
    <tabColor rgb="FF7030A0"/>
  </sheetPr>
  <dimension ref="A1:BG224"/>
  <sheetViews>
    <sheetView topLeftCell="A36" workbookViewId="0">
      <selection activeCell="U45" sqref="U45"/>
    </sheetView>
  </sheetViews>
  <sheetFormatPr defaultRowHeight="13.5"/>
  <cols>
    <col min="1" max="1" width="5.75" style="3172" bestFit="1" customWidth="1"/>
    <col min="2" max="2" width="9" style="3172"/>
    <col min="3" max="4" width="0" style="3172" hidden="1" customWidth="1"/>
    <col min="5" max="8" width="9" style="3172"/>
    <col min="9" max="9" width="9" style="3172" hidden="1" customWidth="1"/>
    <col min="10" max="10" width="11.625" style="3172" bestFit="1" customWidth="1"/>
    <col min="11" max="17" width="9" style="3172"/>
    <col min="18" max="18" width="11.625" style="3172" bestFit="1" customWidth="1"/>
    <col min="19" max="21" width="9" style="3172"/>
    <col min="22" max="22" width="11.625" style="3172" bestFit="1" customWidth="1"/>
    <col min="23" max="24" width="9" style="3172"/>
    <col min="25" max="25" width="5.75" style="3172" bestFit="1" customWidth="1"/>
    <col min="26" max="26" width="9" style="3172"/>
    <col min="27" max="28" width="0" style="3172" hidden="1" customWidth="1"/>
    <col min="29" max="33" width="9" style="3172"/>
    <col min="34" max="34" width="11.625" style="3172" bestFit="1" customWidth="1"/>
    <col min="35" max="44" width="9" style="3172"/>
    <col min="45" max="45" width="5.75" style="3172" bestFit="1" customWidth="1"/>
    <col min="46" max="46" width="12.75" style="3172" bestFit="1" customWidth="1"/>
    <col min="47" max="48" width="0" style="3172" hidden="1" customWidth="1"/>
    <col min="49" max="52" width="9" style="3172"/>
    <col min="53" max="53" width="0" style="3172" hidden="1" customWidth="1"/>
    <col min="54" max="54" width="10.5" style="3172" bestFit="1" customWidth="1"/>
    <col min="55" max="16384" width="9" style="3172"/>
  </cols>
  <sheetData>
    <row r="1" spans="1:59"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543" t="s">
        <v>4776</v>
      </c>
      <c r="Y1" s="3171" t="s">
        <v>4260</v>
      </c>
      <c r="Z1" s="3171" t="s">
        <v>4261</v>
      </c>
      <c r="AA1" s="3171" t="s">
        <v>4262</v>
      </c>
      <c r="AB1" s="3171" t="s">
        <v>4263</v>
      </c>
      <c r="AC1" s="3171" t="s">
        <v>4264</v>
      </c>
      <c r="AD1" s="3171" t="s">
        <v>4265</v>
      </c>
      <c r="AE1" s="3171" t="s">
        <v>4266</v>
      </c>
      <c r="AF1" s="3171" t="s">
        <v>671</v>
      </c>
      <c r="AG1" s="3171" t="s">
        <v>4267</v>
      </c>
      <c r="AH1" s="3171" t="s">
        <v>4268</v>
      </c>
      <c r="AI1" s="3171" t="s">
        <v>4269</v>
      </c>
      <c r="AJ1" s="3171" t="s">
        <v>4270</v>
      </c>
      <c r="AK1" s="3171" t="s">
        <v>4271</v>
      </c>
      <c r="AL1" s="3171" t="s">
        <v>4272</v>
      </c>
      <c r="AM1" s="3172" t="s">
        <v>4776</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172" t="s">
        <v>4776</v>
      </c>
    </row>
    <row r="2" spans="1:59" ht="54">
      <c r="A2" s="3173">
        <v>1</v>
      </c>
      <c r="B2" s="3173" t="s">
        <v>4273</v>
      </c>
      <c r="C2" s="3173"/>
      <c r="D2" s="3173"/>
      <c r="E2" s="3173" t="s">
        <v>4274</v>
      </c>
      <c r="F2" s="3173" t="s">
        <v>4275</v>
      </c>
      <c r="G2" s="3173">
        <v>50.34</v>
      </c>
      <c r="H2" s="3173" t="s">
        <v>4276</v>
      </c>
      <c r="I2" s="3173"/>
      <c r="J2" s="3174">
        <v>45276</v>
      </c>
      <c r="K2" s="3173" t="s">
        <v>4277</v>
      </c>
      <c r="L2" s="3173" t="s">
        <v>4278</v>
      </c>
      <c r="M2" s="3173" t="s">
        <v>4279</v>
      </c>
      <c r="N2" s="3173" t="s">
        <v>4280</v>
      </c>
      <c r="O2" s="3544"/>
      <c r="Q2" s="3175" t="s">
        <v>4281</v>
      </c>
      <c r="T2" s="3172">
        <v>1</v>
      </c>
      <c r="U2" s="3172">
        <v>2</v>
      </c>
      <c r="V2" s="3172">
        <v>3</v>
      </c>
      <c r="W2" s="3172">
        <v>4</v>
      </c>
      <c r="Y2" s="3176">
        <v>1</v>
      </c>
      <c r="Z2" s="3176" t="s">
        <v>4282</v>
      </c>
      <c r="AA2" s="3176"/>
      <c r="AB2" s="3176"/>
      <c r="AC2" s="3176" t="s">
        <v>4274</v>
      </c>
      <c r="AD2" s="3176" t="s">
        <v>4283</v>
      </c>
      <c r="AE2" s="3176">
        <v>1280.8699999999999</v>
      </c>
      <c r="AF2" s="3176" t="s">
        <v>3329</v>
      </c>
      <c r="AG2" s="3176" t="s">
        <v>4282</v>
      </c>
      <c r="AH2" s="3177">
        <v>45276</v>
      </c>
      <c r="AI2" s="3176" t="s">
        <v>4279</v>
      </c>
      <c r="AJ2" s="3176" t="s">
        <v>4284</v>
      </c>
      <c r="AK2" s="3176" t="s">
        <v>4279</v>
      </c>
      <c r="AL2" s="3176" t="s">
        <v>4280</v>
      </c>
      <c r="AS2" s="3173">
        <v>1</v>
      </c>
      <c r="AT2" s="3173">
        <v>20240070009</v>
      </c>
      <c r="AU2" s="3173"/>
      <c r="AV2" s="3173"/>
      <c r="AW2" s="3173" t="s">
        <v>4274</v>
      </c>
      <c r="AX2" s="3178">
        <v>45692</v>
      </c>
      <c r="AY2" s="3173">
        <v>39.32</v>
      </c>
      <c r="AZ2" s="3173" t="s">
        <v>4276</v>
      </c>
      <c r="BA2" s="3173"/>
      <c r="BB2" s="3174">
        <v>45364</v>
      </c>
      <c r="BC2" s="3173" t="s">
        <v>4277</v>
      </c>
      <c r="BD2" s="3173" t="s">
        <v>4278</v>
      </c>
      <c r="BE2" s="3173" t="s">
        <v>4279</v>
      </c>
      <c r="BF2" s="3173" t="s">
        <v>4280</v>
      </c>
    </row>
    <row r="3" spans="1:59" ht="54">
      <c r="A3" s="3173">
        <v>2</v>
      </c>
      <c r="B3" s="3173" t="s">
        <v>4273</v>
      </c>
      <c r="C3" s="3173"/>
      <c r="D3" s="3173"/>
      <c r="E3" s="3173" t="s">
        <v>4274</v>
      </c>
      <c r="F3" s="3173" t="s">
        <v>4285</v>
      </c>
      <c r="G3" s="3173">
        <v>50.34</v>
      </c>
      <c r="H3" s="3173" t="s">
        <v>4276</v>
      </c>
      <c r="I3" s="3173"/>
      <c r="J3" s="3174">
        <v>45276</v>
      </c>
      <c r="K3" s="3173" t="s">
        <v>4277</v>
      </c>
      <c r="L3" s="3173" t="s">
        <v>4278</v>
      </c>
      <c r="M3" s="3173" t="s">
        <v>4279</v>
      </c>
      <c r="N3" s="3173" t="s">
        <v>4280</v>
      </c>
      <c r="O3" s="3544"/>
      <c r="Q3" s="3175" t="s">
        <v>4286</v>
      </c>
      <c r="R3" s="3179">
        <f>COUNTIF($H$2:$H$107,Q3)</f>
        <v>50</v>
      </c>
      <c r="S3" s="3179">
        <f>SUMIF($H$2:$H$107,Q3,$G$2:$G$107)</f>
        <v>1806.4400000000005</v>
      </c>
      <c r="T3" s="3179">
        <f>SUMIF($O$2:$O$107,T2,$G$2:$G$107)</f>
        <v>173.35</v>
      </c>
      <c r="U3" s="3179">
        <f t="shared" ref="U3:W3" si="0">SUMIF($O$2:$O$107,U2,$G$2:$G$107)</f>
        <v>778.83</v>
      </c>
      <c r="V3" s="3179">
        <f t="shared" si="0"/>
        <v>602.76</v>
      </c>
      <c r="W3" s="3179">
        <f t="shared" si="0"/>
        <v>251.49999999999994</v>
      </c>
      <c r="X3" s="3172">
        <f>S3/3.5</f>
        <v>516.12571428571448</v>
      </c>
      <c r="Y3" s="3173">
        <v>2</v>
      </c>
      <c r="Z3" s="3173" t="s">
        <v>4282</v>
      </c>
      <c r="AA3" s="3173"/>
      <c r="AB3" s="3173"/>
      <c r="AC3" s="3173" t="s">
        <v>4274</v>
      </c>
      <c r="AD3" s="3173" t="s">
        <v>4287</v>
      </c>
      <c r="AE3" s="3173">
        <v>71.28</v>
      </c>
      <c r="AF3" s="3173" t="s">
        <v>672</v>
      </c>
      <c r="AG3" s="3173" t="s">
        <v>4282</v>
      </c>
      <c r="AH3" s="3174">
        <v>45276</v>
      </c>
      <c r="AI3" s="3173" t="s">
        <v>4277</v>
      </c>
      <c r="AJ3" s="3173" t="s">
        <v>4288</v>
      </c>
      <c r="AK3" s="3173" t="s">
        <v>4279</v>
      </c>
      <c r="AL3" s="3173" t="s">
        <v>4280</v>
      </c>
      <c r="AM3" s="3172">
        <v>1</v>
      </c>
      <c r="AS3" s="3173">
        <v>2</v>
      </c>
      <c r="AT3" s="3173">
        <v>20240070009</v>
      </c>
      <c r="AU3" s="3173"/>
      <c r="AV3" s="3173"/>
      <c r="AW3" s="3173" t="s">
        <v>4274</v>
      </c>
      <c r="AX3" s="3173" t="s">
        <v>4289</v>
      </c>
      <c r="AY3" s="3173">
        <v>39.32</v>
      </c>
      <c r="AZ3" s="3173" t="s">
        <v>4276</v>
      </c>
      <c r="BA3" s="3173"/>
      <c r="BB3" s="3174">
        <v>45364</v>
      </c>
      <c r="BC3" s="3173" t="s">
        <v>4277</v>
      </c>
      <c r="BD3" s="3173" t="s">
        <v>4278</v>
      </c>
      <c r="BE3" s="3173" t="s">
        <v>4279</v>
      </c>
      <c r="BF3" s="3173" t="s">
        <v>4280</v>
      </c>
    </row>
    <row r="4" spans="1:59" ht="54">
      <c r="A4" s="3173">
        <v>3</v>
      </c>
      <c r="B4" s="3173" t="s">
        <v>4273</v>
      </c>
      <c r="C4" s="3173"/>
      <c r="D4" s="3173"/>
      <c r="E4" s="3173" t="s">
        <v>4274</v>
      </c>
      <c r="F4" s="3173" t="s">
        <v>4290</v>
      </c>
      <c r="G4" s="3173">
        <v>50.34</v>
      </c>
      <c r="H4" s="3173" t="s">
        <v>4276</v>
      </c>
      <c r="I4" s="3173"/>
      <c r="J4" s="3174">
        <v>45276</v>
      </c>
      <c r="K4" s="3173" t="s">
        <v>4277</v>
      </c>
      <c r="L4" s="3173" t="s">
        <v>4278</v>
      </c>
      <c r="M4" s="3173" t="s">
        <v>4279</v>
      </c>
      <c r="N4" s="3173" t="s">
        <v>4280</v>
      </c>
      <c r="O4" s="3544"/>
      <c r="Q4" s="3180" t="s">
        <v>4291</v>
      </c>
      <c r="R4" s="3179">
        <f>COUNTIF($H$2:$H$107,Q4)</f>
        <v>56</v>
      </c>
      <c r="S4" s="3179">
        <f>SUMIF($H$2:$H$107,Q4,$G$2:$G$107)</f>
        <v>2814.880000000001</v>
      </c>
      <c r="T4" s="3179"/>
      <c r="U4" s="3179"/>
      <c r="X4" s="3172">
        <f>S4/1.4</f>
        <v>2010.6285714285723</v>
      </c>
      <c r="Y4" s="3173">
        <v>3</v>
      </c>
      <c r="Z4" s="3173" t="s">
        <v>4282</v>
      </c>
      <c r="AA4" s="3173"/>
      <c r="AB4" s="3173"/>
      <c r="AC4" s="3173" t="s">
        <v>4274</v>
      </c>
      <c r="AD4" s="3173" t="s">
        <v>4292</v>
      </c>
      <c r="AE4" s="3173">
        <v>129.47999999999999</v>
      </c>
      <c r="AF4" s="3173" t="s">
        <v>672</v>
      </c>
      <c r="AG4" s="3173" t="s">
        <v>4282</v>
      </c>
      <c r="AH4" s="3174">
        <v>45276</v>
      </c>
      <c r="AI4" s="3173" t="s">
        <v>4277</v>
      </c>
      <c r="AJ4" s="3173" t="s">
        <v>4288</v>
      </c>
      <c r="AK4" s="3173" t="s">
        <v>4279</v>
      </c>
      <c r="AL4" s="3173" t="s">
        <v>4280</v>
      </c>
      <c r="AM4" s="3172">
        <v>2</v>
      </c>
      <c r="AS4" s="3173">
        <v>3</v>
      </c>
      <c r="AT4" s="3173">
        <v>20240070009</v>
      </c>
      <c r="AU4" s="3173"/>
      <c r="AV4" s="3173"/>
      <c r="AW4" s="3173" t="s">
        <v>4274</v>
      </c>
      <c r="AX4" s="3173" t="s">
        <v>4293</v>
      </c>
      <c r="AY4" s="3173">
        <v>39.32</v>
      </c>
      <c r="AZ4" s="3173" t="s">
        <v>4276</v>
      </c>
      <c r="BA4" s="3173"/>
      <c r="BB4" s="3174">
        <v>45364</v>
      </c>
      <c r="BC4" s="3173" t="s">
        <v>4277</v>
      </c>
      <c r="BD4" s="3173" t="s">
        <v>4278</v>
      </c>
      <c r="BE4" s="3173" t="s">
        <v>4279</v>
      </c>
      <c r="BF4" s="3173" t="s">
        <v>4280</v>
      </c>
    </row>
    <row r="5" spans="1:59" ht="54">
      <c r="A5" s="3173">
        <v>4</v>
      </c>
      <c r="B5" s="3173" t="s">
        <v>4273</v>
      </c>
      <c r="C5" s="3173"/>
      <c r="D5" s="3173"/>
      <c r="E5" s="3173" t="s">
        <v>4274</v>
      </c>
      <c r="F5" s="3173" t="s">
        <v>4294</v>
      </c>
      <c r="G5" s="3173">
        <v>50.34</v>
      </c>
      <c r="H5" s="3173" t="s">
        <v>4276</v>
      </c>
      <c r="I5" s="3173"/>
      <c r="J5" s="3174">
        <v>45276</v>
      </c>
      <c r="K5" s="3173" t="s">
        <v>4277</v>
      </c>
      <c r="L5" s="3173" t="s">
        <v>4278</v>
      </c>
      <c r="M5" s="3173" t="s">
        <v>4279</v>
      </c>
      <c r="N5" s="3173" t="s">
        <v>4280</v>
      </c>
      <c r="O5" s="3544"/>
      <c r="Y5" s="3173">
        <v>4</v>
      </c>
      <c r="Z5" s="3173" t="s">
        <v>4282</v>
      </c>
      <c r="AA5" s="3173"/>
      <c r="AB5" s="3173"/>
      <c r="AC5" s="3173" t="s">
        <v>4274</v>
      </c>
      <c r="AD5" s="3173" t="s">
        <v>4295</v>
      </c>
      <c r="AE5" s="3173">
        <v>42.72</v>
      </c>
      <c r="AF5" s="3173" t="s">
        <v>4296</v>
      </c>
      <c r="AG5" s="3173" t="s">
        <v>4282</v>
      </c>
      <c r="AH5" s="3174">
        <v>45276</v>
      </c>
      <c r="AI5" s="3173" t="s">
        <v>4277</v>
      </c>
      <c r="AJ5" s="3173" t="s">
        <v>4297</v>
      </c>
      <c r="AK5" s="3173" t="s">
        <v>4279</v>
      </c>
      <c r="AL5" s="3173" t="s">
        <v>4280</v>
      </c>
      <c r="AS5" s="3173">
        <v>4</v>
      </c>
      <c r="AT5" s="3173">
        <v>20240070009</v>
      </c>
      <c r="AU5" s="3173"/>
      <c r="AV5" s="3173"/>
      <c r="AW5" s="3173" t="s">
        <v>4274</v>
      </c>
      <c r="AX5" s="3173" t="s">
        <v>4298</v>
      </c>
      <c r="AY5" s="3173">
        <v>39.32</v>
      </c>
      <c r="AZ5" s="3173" t="s">
        <v>4276</v>
      </c>
      <c r="BA5" s="3173"/>
      <c r="BB5" s="3174">
        <v>45364</v>
      </c>
      <c r="BC5" s="3173" t="s">
        <v>4277</v>
      </c>
      <c r="BD5" s="3173" t="s">
        <v>4278</v>
      </c>
      <c r="BE5" s="3173" t="s">
        <v>4279</v>
      </c>
      <c r="BF5" s="3173" t="s">
        <v>4280</v>
      </c>
    </row>
    <row r="6" spans="1:59" ht="54">
      <c r="A6" s="3173">
        <v>5</v>
      </c>
      <c r="B6" s="3173" t="s">
        <v>4273</v>
      </c>
      <c r="C6" s="3173"/>
      <c r="D6" s="3173"/>
      <c r="E6" s="3173" t="s">
        <v>4274</v>
      </c>
      <c r="F6" s="3173" t="s">
        <v>4299</v>
      </c>
      <c r="G6" s="3173">
        <v>50.34</v>
      </c>
      <c r="H6" s="3173" t="s">
        <v>4276</v>
      </c>
      <c r="I6" s="3173"/>
      <c r="J6" s="3174">
        <v>45276</v>
      </c>
      <c r="K6" s="3173" t="s">
        <v>4277</v>
      </c>
      <c r="L6" s="3173" t="s">
        <v>4278</v>
      </c>
      <c r="M6" s="3173" t="s">
        <v>4279</v>
      </c>
      <c r="N6" s="3173" t="s">
        <v>4280</v>
      </c>
      <c r="O6" s="3544"/>
      <c r="Q6" s="3175" t="s">
        <v>4300</v>
      </c>
      <c r="Y6" s="3173">
        <v>5</v>
      </c>
      <c r="Z6" s="3173" t="s">
        <v>4282</v>
      </c>
      <c r="AA6" s="3173"/>
      <c r="AB6" s="3173"/>
      <c r="AC6" s="3173" t="s">
        <v>4274</v>
      </c>
      <c r="AD6" s="3173" t="s">
        <v>4301</v>
      </c>
      <c r="AE6" s="3173">
        <v>66.12</v>
      </c>
      <c r="AF6" s="3173" t="s">
        <v>4296</v>
      </c>
      <c r="AG6" s="3173" t="s">
        <v>4282</v>
      </c>
      <c r="AH6" s="3174">
        <v>45276</v>
      </c>
      <c r="AI6" s="3173" t="s">
        <v>4277</v>
      </c>
      <c r="AJ6" s="3173" t="s">
        <v>4297</v>
      </c>
      <c r="AK6" s="3173" t="s">
        <v>4279</v>
      </c>
      <c r="AL6" s="3173" t="s">
        <v>4280</v>
      </c>
      <c r="AS6" s="3173">
        <v>5</v>
      </c>
      <c r="AT6" s="3173">
        <v>20240070009</v>
      </c>
      <c r="AU6" s="3173"/>
      <c r="AV6" s="3173"/>
      <c r="AW6" s="3173" t="s">
        <v>4274</v>
      </c>
      <c r="AX6" s="3173" t="s">
        <v>4302</v>
      </c>
      <c r="AY6" s="3173">
        <v>39.32</v>
      </c>
      <c r="AZ6" s="3173" t="s">
        <v>4276</v>
      </c>
      <c r="BA6" s="3173"/>
      <c r="BB6" s="3174">
        <v>45364</v>
      </c>
      <c r="BC6" s="3173" t="s">
        <v>4277</v>
      </c>
      <c r="BD6" s="3173" t="s">
        <v>4278</v>
      </c>
      <c r="BE6" s="3173" t="s">
        <v>4279</v>
      </c>
      <c r="BF6" s="3173" t="s">
        <v>4280</v>
      </c>
    </row>
    <row r="7" spans="1:59" ht="54">
      <c r="A7" s="3173">
        <v>6</v>
      </c>
      <c r="B7" s="3173" t="s">
        <v>4273</v>
      </c>
      <c r="C7" s="3173"/>
      <c r="D7" s="3173"/>
      <c r="E7" s="3173" t="s">
        <v>4274</v>
      </c>
      <c r="F7" s="3173" t="s">
        <v>4303</v>
      </c>
      <c r="G7" s="3173">
        <v>50.34</v>
      </c>
      <c r="H7" s="3173" t="s">
        <v>4276</v>
      </c>
      <c r="I7" s="3173"/>
      <c r="J7" s="3174">
        <v>45276</v>
      </c>
      <c r="K7" s="3173" t="s">
        <v>4277</v>
      </c>
      <c r="L7" s="3173" t="s">
        <v>4278</v>
      </c>
      <c r="M7" s="3173" t="s">
        <v>4279</v>
      </c>
      <c r="N7" s="3173" t="s">
        <v>4280</v>
      </c>
      <c r="O7" s="3544"/>
      <c r="Q7" s="3175" t="s">
        <v>4286</v>
      </c>
      <c r="R7" s="3179">
        <f>COUNTIF($AF$2:$AF$74,Q7)</f>
        <v>2</v>
      </c>
      <c r="S7" s="3179">
        <f>SUMIF($AF$2:$AF$74,Q7,$AE$2:$AE$74)</f>
        <v>200.76</v>
      </c>
      <c r="T7" s="3179">
        <f>AE3</f>
        <v>71.28</v>
      </c>
      <c r="U7" s="3179">
        <f>AE4</f>
        <v>129.47999999999999</v>
      </c>
      <c r="Y7" s="3173">
        <v>6</v>
      </c>
      <c r="Z7" s="3173" t="s">
        <v>4282</v>
      </c>
      <c r="AA7" s="3173"/>
      <c r="AB7" s="3173"/>
      <c r="AC7" s="3173" t="s">
        <v>4274</v>
      </c>
      <c r="AD7" s="3173" t="s">
        <v>4305</v>
      </c>
      <c r="AE7" s="3173">
        <v>42.72</v>
      </c>
      <c r="AF7" s="3173" t="s">
        <v>4296</v>
      </c>
      <c r="AG7" s="3173" t="s">
        <v>4282</v>
      </c>
      <c r="AH7" s="3174">
        <v>45276</v>
      </c>
      <c r="AI7" s="3173" t="s">
        <v>4277</v>
      </c>
      <c r="AJ7" s="3173" t="s">
        <v>4297</v>
      </c>
      <c r="AK7" s="3173" t="s">
        <v>4279</v>
      </c>
      <c r="AL7" s="3173" t="s">
        <v>4280</v>
      </c>
      <c r="AS7" s="3173">
        <v>6</v>
      </c>
      <c r="AT7" s="3173">
        <v>20240070009</v>
      </c>
      <c r="AU7" s="3173"/>
      <c r="AV7" s="3173"/>
      <c r="AW7" s="3173" t="s">
        <v>4274</v>
      </c>
      <c r="AX7" s="3173" t="s">
        <v>4306</v>
      </c>
      <c r="AY7" s="3173">
        <v>39.32</v>
      </c>
      <c r="AZ7" s="3173" t="s">
        <v>4276</v>
      </c>
      <c r="BA7" s="3173"/>
      <c r="BB7" s="3174">
        <v>45364</v>
      </c>
      <c r="BC7" s="3173" t="s">
        <v>4277</v>
      </c>
      <c r="BD7" s="3173" t="s">
        <v>4278</v>
      </c>
      <c r="BE7" s="3173" t="s">
        <v>4279</v>
      </c>
      <c r="BF7" s="3173" t="s">
        <v>4280</v>
      </c>
    </row>
    <row r="8" spans="1:59" ht="54">
      <c r="A8" s="3173">
        <v>7</v>
      </c>
      <c r="B8" s="3173" t="s">
        <v>4273</v>
      </c>
      <c r="C8" s="3173"/>
      <c r="D8" s="3173"/>
      <c r="E8" s="3173" t="s">
        <v>4274</v>
      </c>
      <c r="F8" s="3173" t="s">
        <v>4307</v>
      </c>
      <c r="G8" s="3173">
        <v>50.34</v>
      </c>
      <c r="H8" s="3173" t="s">
        <v>4276</v>
      </c>
      <c r="I8" s="3173"/>
      <c r="J8" s="3174">
        <v>45276</v>
      </c>
      <c r="K8" s="3173" t="s">
        <v>4277</v>
      </c>
      <c r="L8" s="3173" t="s">
        <v>4278</v>
      </c>
      <c r="M8" s="3173" t="s">
        <v>4279</v>
      </c>
      <c r="N8" s="3173" t="s">
        <v>4280</v>
      </c>
      <c r="O8" s="3544"/>
      <c r="Q8" s="3180" t="s">
        <v>4304</v>
      </c>
      <c r="R8" s="3179">
        <f t="shared" ref="R8:R9" si="1">COUNTIF($AF$2:$AF$74,Q8)</f>
        <v>70</v>
      </c>
      <c r="S8" s="3179">
        <f t="shared" ref="S8:S9" si="2">SUMIF($AF$2:$AF$74,Q8,$AE$2:$AE$74)</f>
        <v>3082.8099999999981</v>
      </c>
      <c r="T8" s="3179"/>
      <c r="U8" s="3179"/>
      <c r="Y8" s="3173">
        <v>7</v>
      </c>
      <c r="Z8" s="3173" t="s">
        <v>4282</v>
      </c>
      <c r="AA8" s="3173"/>
      <c r="AB8" s="3173"/>
      <c r="AC8" s="3173" t="s">
        <v>4274</v>
      </c>
      <c r="AD8" s="3173" t="s">
        <v>4309</v>
      </c>
      <c r="AE8" s="3173">
        <v>42.72</v>
      </c>
      <c r="AF8" s="3173" t="s">
        <v>4296</v>
      </c>
      <c r="AG8" s="3173" t="s">
        <v>4282</v>
      </c>
      <c r="AH8" s="3174">
        <v>45276</v>
      </c>
      <c r="AI8" s="3173" t="s">
        <v>4277</v>
      </c>
      <c r="AJ8" s="3173" t="s">
        <v>4297</v>
      </c>
      <c r="AK8" s="3173" t="s">
        <v>4279</v>
      </c>
      <c r="AL8" s="3173" t="s">
        <v>4280</v>
      </c>
      <c r="AS8" s="3173">
        <v>7</v>
      </c>
      <c r="AT8" s="3173">
        <v>20240070009</v>
      </c>
      <c r="AU8" s="3173"/>
      <c r="AV8" s="3173"/>
      <c r="AW8" s="3173" t="s">
        <v>4274</v>
      </c>
      <c r="AX8" s="3173" t="s">
        <v>4310</v>
      </c>
      <c r="AY8" s="3173">
        <v>39.32</v>
      </c>
      <c r="AZ8" s="3173" t="s">
        <v>4276</v>
      </c>
      <c r="BA8" s="3173"/>
      <c r="BB8" s="3174">
        <v>45364</v>
      </c>
      <c r="BC8" s="3173" t="s">
        <v>4277</v>
      </c>
      <c r="BD8" s="3173" t="s">
        <v>4278</v>
      </c>
      <c r="BE8" s="3173" t="s">
        <v>4279</v>
      </c>
      <c r="BF8" s="3173" t="s">
        <v>4280</v>
      </c>
    </row>
    <row r="9" spans="1:59" ht="54">
      <c r="A9" s="3173">
        <v>8</v>
      </c>
      <c r="B9" s="3173" t="s">
        <v>4273</v>
      </c>
      <c r="C9" s="3173"/>
      <c r="D9" s="3173"/>
      <c r="E9" s="3173" t="s">
        <v>4274</v>
      </c>
      <c r="F9" s="3173" t="s">
        <v>4311</v>
      </c>
      <c r="G9" s="3173">
        <v>50.34</v>
      </c>
      <c r="H9" s="3173" t="s">
        <v>4276</v>
      </c>
      <c r="I9" s="3173"/>
      <c r="J9" s="3174">
        <v>45276</v>
      </c>
      <c r="K9" s="3173" t="s">
        <v>4277</v>
      </c>
      <c r="L9" s="3173" t="s">
        <v>4278</v>
      </c>
      <c r="M9" s="3173" t="s">
        <v>4279</v>
      </c>
      <c r="N9" s="3173" t="s">
        <v>4280</v>
      </c>
      <c r="O9" s="3544"/>
      <c r="Q9" s="3181" t="s">
        <v>4308</v>
      </c>
      <c r="R9" s="3182">
        <f t="shared" si="1"/>
        <v>1</v>
      </c>
      <c r="S9" s="3182">
        <f t="shared" si="2"/>
        <v>1280.8699999999999</v>
      </c>
      <c r="T9" s="3182"/>
      <c r="U9" s="3182"/>
      <c r="Y9" s="3173">
        <v>8</v>
      </c>
      <c r="Z9" s="3173" t="s">
        <v>4282</v>
      </c>
      <c r="AA9" s="3173"/>
      <c r="AB9" s="3173"/>
      <c r="AC9" s="3173" t="s">
        <v>4274</v>
      </c>
      <c r="AD9" s="3173" t="s">
        <v>4312</v>
      </c>
      <c r="AE9" s="3173">
        <v>42.72</v>
      </c>
      <c r="AF9" s="3173" t="s">
        <v>4296</v>
      </c>
      <c r="AG9" s="3173" t="s">
        <v>4282</v>
      </c>
      <c r="AH9" s="3174">
        <v>45276</v>
      </c>
      <c r="AI9" s="3173" t="s">
        <v>4277</v>
      </c>
      <c r="AJ9" s="3173" t="s">
        <v>4297</v>
      </c>
      <c r="AK9" s="3173" t="s">
        <v>4279</v>
      </c>
      <c r="AL9" s="3173" t="s">
        <v>4280</v>
      </c>
      <c r="AS9" s="3173">
        <v>8</v>
      </c>
      <c r="AT9" s="3173">
        <v>20240070009</v>
      </c>
      <c r="AU9" s="3173"/>
      <c r="AV9" s="3173"/>
      <c r="AW9" s="3173" t="s">
        <v>4274</v>
      </c>
      <c r="AX9" s="3173" t="s">
        <v>4313</v>
      </c>
      <c r="AY9" s="3173">
        <v>39.32</v>
      </c>
      <c r="AZ9" s="3173" t="s">
        <v>4276</v>
      </c>
      <c r="BA9" s="3173"/>
      <c r="BB9" s="3174">
        <v>45364</v>
      </c>
      <c r="BC9" s="3173" t="s">
        <v>4277</v>
      </c>
      <c r="BD9" s="3173" t="s">
        <v>4278</v>
      </c>
      <c r="BE9" s="3173" t="s">
        <v>4279</v>
      </c>
      <c r="BF9" s="3173" t="s">
        <v>4280</v>
      </c>
    </row>
    <row r="10" spans="1:59" ht="54">
      <c r="A10" s="3173">
        <v>9</v>
      </c>
      <c r="B10" s="3173" t="s">
        <v>4273</v>
      </c>
      <c r="C10" s="3173"/>
      <c r="D10" s="3173"/>
      <c r="E10" s="3173" t="s">
        <v>4274</v>
      </c>
      <c r="F10" s="3173" t="s">
        <v>4314</v>
      </c>
      <c r="G10" s="3173">
        <v>50.34</v>
      </c>
      <c r="H10" s="3173" t="s">
        <v>4276</v>
      </c>
      <c r="I10" s="3173"/>
      <c r="J10" s="3174">
        <v>45276</v>
      </c>
      <c r="K10" s="3173" t="s">
        <v>4277</v>
      </c>
      <c r="L10" s="3173" t="s">
        <v>4278</v>
      </c>
      <c r="M10" s="3173" t="s">
        <v>4279</v>
      </c>
      <c r="N10" s="3173" t="s">
        <v>4280</v>
      </c>
      <c r="O10" s="3544"/>
      <c r="Y10" s="3173">
        <v>9</v>
      </c>
      <c r="Z10" s="3173" t="s">
        <v>4282</v>
      </c>
      <c r="AA10" s="3173"/>
      <c r="AB10" s="3173"/>
      <c r="AC10" s="3173" t="s">
        <v>4274</v>
      </c>
      <c r="AD10" s="3173" t="s">
        <v>4315</v>
      </c>
      <c r="AE10" s="3173">
        <v>42.72</v>
      </c>
      <c r="AF10" s="3173" t="s">
        <v>4296</v>
      </c>
      <c r="AG10" s="3173" t="s">
        <v>4282</v>
      </c>
      <c r="AH10" s="3174">
        <v>45276</v>
      </c>
      <c r="AI10" s="3173" t="s">
        <v>4279</v>
      </c>
      <c r="AJ10" s="3173" t="s">
        <v>4297</v>
      </c>
      <c r="AK10" s="3173" t="s">
        <v>4279</v>
      </c>
      <c r="AL10" s="3173" t="s">
        <v>4280</v>
      </c>
      <c r="AS10" s="3173">
        <v>9</v>
      </c>
      <c r="AT10" s="3173">
        <v>20240070009</v>
      </c>
      <c r="AU10" s="3173"/>
      <c r="AV10" s="3173"/>
      <c r="AW10" s="3173" t="s">
        <v>4274</v>
      </c>
      <c r="AX10" s="3173" t="s">
        <v>4316</v>
      </c>
      <c r="AY10" s="3173">
        <v>39.32</v>
      </c>
      <c r="AZ10" s="3173" t="s">
        <v>4276</v>
      </c>
      <c r="BA10" s="3173"/>
      <c r="BB10" s="3174">
        <v>45364</v>
      </c>
      <c r="BC10" s="3173" t="s">
        <v>4277</v>
      </c>
      <c r="BD10" s="3173" t="s">
        <v>4278</v>
      </c>
      <c r="BE10" s="3173" t="s">
        <v>4279</v>
      </c>
      <c r="BF10" s="3173" t="s">
        <v>4280</v>
      </c>
    </row>
    <row r="11" spans="1:59" ht="54">
      <c r="A11" s="3173">
        <v>10</v>
      </c>
      <c r="B11" s="3173" t="s">
        <v>4273</v>
      </c>
      <c r="C11" s="3173"/>
      <c r="D11" s="3173"/>
      <c r="E11" s="3173" t="s">
        <v>4274</v>
      </c>
      <c r="F11" s="3173" t="s">
        <v>4317</v>
      </c>
      <c r="G11" s="3173">
        <v>50.34</v>
      </c>
      <c r="H11" s="3173" t="s">
        <v>4276</v>
      </c>
      <c r="I11" s="3173"/>
      <c r="J11" s="3174">
        <v>45276</v>
      </c>
      <c r="K11" s="3173" t="s">
        <v>4277</v>
      </c>
      <c r="L11" s="3173" t="s">
        <v>4278</v>
      </c>
      <c r="M11" s="3173" t="s">
        <v>4279</v>
      </c>
      <c r="N11" s="3173" t="s">
        <v>4280</v>
      </c>
      <c r="O11" s="3544"/>
      <c r="Q11" s="3175" t="s">
        <v>4318</v>
      </c>
      <c r="Y11" s="3173">
        <v>10</v>
      </c>
      <c r="Z11" s="3173" t="s">
        <v>4282</v>
      </c>
      <c r="AA11" s="3173"/>
      <c r="AB11" s="3173"/>
      <c r="AC11" s="3173" t="s">
        <v>4274</v>
      </c>
      <c r="AD11" s="3173" t="s">
        <v>4320</v>
      </c>
      <c r="AE11" s="3173">
        <v>42.72</v>
      </c>
      <c r="AF11" s="3173" t="s">
        <v>4296</v>
      </c>
      <c r="AG11" s="3173" t="s">
        <v>4282</v>
      </c>
      <c r="AH11" s="3174">
        <v>45276</v>
      </c>
      <c r="AI11" s="3173" t="s">
        <v>4279</v>
      </c>
      <c r="AJ11" s="3173" t="s">
        <v>4297</v>
      </c>
      <c r="AK11" s="3173" t="s">
        <v>4279</v>
      </c>
      <c r="AL11" s="3173" t="s">
        <v>4280</v>
      </c>
      <c r="AS11" s="3173">
        <v>10</v>
      </c>
      <c r="AT11" s="3173">
        <v>20240070009</v>
      </c>
      <c r="AU11" s="3173"/>
      <c r="AV11" s="3173"/>
      <c r="AW11" s="3173" t="s">
        <v>4274</v>
      </c>
      <c r="AX11" s="3173" t="s">
        <v>4321</v>
      </c>
      <c r="AY11" s="3173">
        <v>39.32</v>
      </c>
      <c r="AZ11" s="3173" t="s">
        <v>4276</v>
      </c>
      <c r="BA11" s="3173"/>
      <c r="BB11" s="3174">
        <v>45364</v>
      </c>
      <c r="BC11" s="3173" t="s">
        <v>4277</v>
      </c>
      <c r="BD11" s="3173" t="s">
        <v>4278</v>
      </c>
      <c r="BE11" s="3173" t="s">
        <v>4279</v>
      </c>
      <c r="BF11" s="3173" t="s">
        <v>4280</v>
      </c>
    </row>
    <row r="12" spans="1:59" ht="54">
      <c r="A12" s="3173">
        <v>11</v>
      </c>
      <c r="B12" s="3173" t="s">
        <v>4273</v>
      </c>
      <c r="C12" s="3173"/>
      <c r="D12" s="3173"/>
      <c r="E12" s="3173" t="s">
        <v>4274</v>
      </c>
      <c r="F12" s="3173" t="s">
        <v>4322</v>
      </c>
      <c r="G12" s="3173">
        <v>50.34</v>
      </c>
      <c r="H12" s="3173" t="s">
        <v>4276</v>
      </c>
      <c r="I12" s="3173"/>
      <c r="J12" s="3174">
        <v>45276</v>
      </c>
      <c r="K12" s="3173" t="s">
        <v>4277</v>
      </c>
      <c r="L12" s="3173" t="s">
        <v>4278</v>
      </c>
      <c r="M12" s="3173" t="s">
        <v>4279</v>
      </c>
      <c r="N12" s="3173" t="s">
        <v>4280</v>
      </c>
      <c r="O12" s="3544"/>
      <c r="Q12" s="3175" t="s">
        <v>4319</v>
      </c>
      <c r="R12" s="3179">
        <f>COUNTIF($AZ$2:$AZ$224,Q12)</f>
        <v>1</v>
      </c>
      <c r="S12" s="3179">
        <f>SUMIF($AZ$2:$AZ$224,Q12,$AY$2:$AY$224)</f>
        <v>85</v>
      </c>
      <c r="T12" s="3179"/>
      <c r="U12" s="3179"/>
      <c r="Y12" s="3173">
        <v>11</v>
      </c>
      <c r="Z12" s="3173" t="s">
        <v>4282</v>
      </c>
      <c r="AA12" s="3173"/>
      <c r="AB12" s="3173"/>
      <c r="AC12" s="3173" t="s">
        <v>4274</v>
      </c>
      <c r="AD12" s="3173" t="s">
        <v>4324</v>
      </c>
      <c r="AE12" s="3173">
        <v>42.72</v>
      </c>
      <c r="AF12" s="3173" t="s">
        <v>4296</v>
      </c>
      <c r="AG12" s="3173" t="s">
        <v>4282</v>
      </c>
      <c r="AH12" s="3174">
        <v>45276</v>
      </c>
      <c r="AI12" s="3173" t="s">
        <v>4277</v>
      </c>
      <c r="AJ12" s="3173" t="s">
        <v>4288</v>
      </c>
      <c r="AK12" s="3173" t="s">
        <v>4279</v>
      </c>
      <c r="AL12" s="3173" t="s">
        <v>4280</v>
      </c>
      <c r="AS12" s="3173">
        <v>11</v>
      </c>
      <c r="AT12" s="3173">
        <v>20240070009</v>
      </c>
      <c r="AU12" s="3173"/>
      <c r="AV12" s="3173"/>
      <c r="AW12" s="3173" t="s">
        <v>4274</v>
      </c>
      <c r="AX12" s="3173" t="s">
        <v>4325</v>
      </c>
      <c r="AY12" s="3173">
        <v>39.32</v>
      </c>
      <c r="AZ12" s="3173" t="s">
        <v>4276</v>
      </c>
      <c r="BA12" s="3173"/>
      <c r="BB12" s="3174">
        <v>45364</v>
      </c>
      <c r="BC12" s="3173" t="s">
        <v>4277</v>
      </c>
      <c r="BD12" s="3173" t="s">
        <v>4278</v>
      </c>
      <c r="BE12" s="3173" t="s">
        <v>4279</v>
      </c>
      <c r="BF12" s="3173" t="s">
        <v>4280</v>
      </c>
    </row>
    <row r="13" spans="1:59" ht="54">
      <c r="A13" s="3173">
        <v>12</v>
      </c>
      <c r="B13" s="3173" t="s">
        <v>4273</v>
      </c>
      <c r="C13" s="3173"/>
      <c r="D13" s="3173"/>
      <c r="E13" s="3173" t="s">
        <v>4274</v>
      </c>
      <c r="F13" s="3173" t="s">
        <v>4326</v>
      </c>
      <c r="G13" s="3173">
        <v>50.34</v>
      </c>
      <c r="H13" s="3173" t="s">
        <v>4276</v>
      </c>
      <c r="I13" s="3173"/>
      <c r="J13" s="3174">
        <v>45276</v>
      </c>
      <c r="K13" s="3173" t="s">
        <v>4277</v>
      </c>
      <c r="L13" s="3173" t="s">
        <v>4278</v>
      </c>
      <c r="M13" s="3173" t="s">
        <v>4279</v>
      </c>
      <c r="N13" s="3173" t="s">
        <v>4280</v>
      </c>
      <c r="O13" s="3544"/>
      <c r="Q13" s="3181" t="s">
        <v>4323</v>
      </c>
      <c r="R13" s="3182">
        <f t="shared" ref="R13:R14" si="3">COUNTIF($AZ$2:$AZ$224,Q13)</f>
        <v>24</v>
      </c>
      <c r="S13" s="3182">
        <f t="shared" ref="S13:S14" si="4">SUMIF($AZ$2:$AZ$224,Q13,$AY$2:$AY$224)</f>
        <v>3327.95</v>
      </c>
      <c r="T13" s="3182"/>
      <c r="U13" s="3182"/>
      <c r="Y13" s="3173">
        <v>12</v>
      </c>
      <c r="Z13" s="3173" t="s">
        <v>4282</v>
      </c>
      <c r="AA13" s="3173"/>
      <c r="AB13" s="3173"/>
      <c r="AC13" s="3173" t="s">
        <v>4274</v>
      </c>
      <c r="AD13" s="3173" t="s">
        <v>4327</v>
      </c>
      <c r="AE13" s="3173">
        <v>42.72</v>
      </c>
      <c r="AF13" s="3173" t="s">
        <v>4296</v>
      </c>
      <c r="AG13" s="3173" t="s">
        <v>4282</v>
      </c>
      <c r="AH13" s="3174">
        <v>45276</v>
      </c>
      <c r="AI13" s="3173" t="s">
        <v>4279</v>
      </c>
      <c r="AJ13" s="3173" t="s">
        <v>4297</v>
      </c>
      <c r="AK13" s="3173" t="s">
        <v>4279</v>
      </c>
      <c r="AL13" s="3173" t="s">
        <v>4280</v>
      </c>
      <c r="AS13" s="3173">
        <v>12</v>
      </c>
      <c r="AT13" s="3173">
        <v>20240070009</v>
      </c>
      <c r="AU13" s="3173"/>
      <c r="AV13" s="3173"/>
      <c r="AW13" s="3173" t="s">
        <v>4274</v>
      </c>
      <c r="AX13" s="3173" t="s">
        <v>4328</v>
      </c>
      <c r="AY13" s="3173">
        <v>39.32</v>
      </c>
      <c r="AZ13" s="3173" t="s">
        <v>4276</v>
      </c>
      <c r="BA13" s="3173"/>
      <c r="BB13" s="3174">
        <v>45364</v>
      </c>
      <c r="BC13" s="3173" t="s">
        <v>4277</v>
      </c>
      <c r="BD13" s="3173" t="s">
        <v>4278</v>
      </c>
      <c r="BE13" s="3173" t="s">
        <v>4279</v>
      </c>
      <c r="BF13" s="3173" t="s">
        <v>4280</v>
      </c>
    </row>
    <row r="14" spans="1:59" ht="54">
      <c r="A14" s="3173">
        <v>13</v>
      </c>
      <c r="B14" s="3173" t="s">
        <v>4273</v>
      </c>
      <c r="C14" s="3173"/>
      <c r="D14" s="3173"/>
      <c r="E14" s="3173" t="s">
        <v>4274</v>
      </c>
      <c r="F14" s="3173" t="s">
        <v>4329</v>
      </c>
      <c r="G14" s="3173">
        <v>50.34</v>
      </c>
      <c r="H14" s="3173" t="s">
        <v>4276</v>
      </c>
      <c r="I14" s="3173"/>
      <c r="J14" s="3174">
        <v>45276</v>
      </c>
      <c r="K14" s="3173" t="s">
        <v>4277</v>
      </c>
      <c r="L14" s="3173" t="s">
        <v>4278</v>
      </c>
      <c r="M14" s="3173" t="s">
        <v>4279</v>
      </c>
      <c r="N14" s="3173" t="s">
        <v>4280</v>
      </c>
      <c r="O14" s="3544"/>
      <c r="Q14" s="3180" t="s">
        <v>4291</v>
      </c>
      <c r="R14" s="3179">
        <f t="shared" si="3"/>
        <v>98</v>
      </c>
      <c r="S14" s="3179">
        <f t="shared" si="4"/>
        <v>3851.7200000000062</v>
      </c>
      <c r="T14" s="3179"/>
      <c r="U14" s="3179"/>
      <c r="Y14" s="3173">
        <v>13</v>
      </c>
      <c r="Z14" s="3173" t="s">
        <v>4282</v>
      </c>
      <c r="AA14" s="3173"/>
      <c r="AB14" s="3173"/>
      <c r="AC14" s="3173" t="s">
        <v>4274</v>
      </c>
      <c r="AD14" s="3173" t="s">
        <v>4330</v>
      </c>
      <c r="AE14" s="3173">
        <v>42.72</v>
      </c>
      <c r="AF14" s="3173" t="s">
        <v>4296</v>
      </c>
      <c r="AG14" s="3173" t="s">
        <v>4282</v>
      </c>
      <c r="AH14" s="3174">
        <v>45276</v>
      </c>
      <c r="AI14" s="3173" t="s">
        <v>4279</v>
      </c>
      <c r="AJ14" s="3173" t="s">
        <v>4297</v>
      </c>
      <c r="AK14" s="3173" t="s">
        <v>4279</v>
      </c>
      <c r="AL14" s="3173" t="s">
        <v>4280</v>
      </c>
      <c r="AS14" s="3173">
        <v>13</v>
      </c>
      <c r="AT14" s="3173">
        <v>20240070009</v>
      </c>
      <c r="AU14" s="3173"/>
      <c r="AV14" s="3173"/>
      <c r="AW14" s="3173" t="s">
        <v>4274</v>
      </c>
      <c r="AX14" s="3173" t="s">
        <v>4331</v>
      </c>
      <c r="AY14" s="3173">
        <v>39.32</v>
      </c>
      <c r="AZ14" s="3173" t="s">
        <v>4276</v>
      </c>
      <c r="BA14" s="3173"/>
      <c r="BB14" s="3174">
        <v>45364</v>
      </c>
      <c r="BC14" s="3173" t="s">
        <v>4277</v>
      </c>
      <c r="BD14" s="3173" t="s">
        <v>4278</v>
      </c>
      <c r="BE14" s="3173" t="s">
        <v>4279</v>
      </c>
      <c r="BF14" s="3173" t="s">
        <v>4280</v>
      </c>
    </row>
    <row r="15" spans="1:59" ht="54">
      <c r="A15" s="3173">
        <v>14</v>
      </c>
      <c r="B15" s="3173" t="s">
        <v>4273</v>
      </c>
      <c r="C15" s="3173"/>
      <c r="D15" s="3173"/>
      <c r="E15" s="3173" t="s">
        <v>4274</v>
      </c>
      <c r="F15" s="3173" t="s">
        <v>4332</v>
      </c>
      <c r="G15" s="3173">
        <v>50.34</v>
      </c>
      <c r="H15" s="3173" t="s">
        <v>4276</v>
      </c>
      <c r="I15" s="3173"/>
      <c r="J15" s="3174">
        <v>45276</v>
      </c>
      <c r="K15" s="3173" t="s">
        <v>4277</v>
      </c>
      <c r="L15" s="3173" t="s">
        <v>4278</v>
      </c>
      <c r="M15" s="3173" t="s">
        <v>4279</v>
      </c>
      <c r="N15" s="3173" t="s">
        <v>4280</v>
      </c>
      <c r="O15" s="3544"/>
      <c r="R15" s="3172">
        <f>S4+S14</f>
        <v>6666.6000000000076</v>
      </c>
      <c r="S15" s="3172">
        <v>3000</v>
      </c>
      <c r="T15" s="3172">
        <f>R15*S15</f>
        <v>19999800.000000022</v>
      </c>
      <c r="Y15" s="3173">
        <v>14</v>
      </c>
      <c r="Z15" s="3173" t="s">
        <v>4282</v>
      </c>
      <c r="AA15" s="3173"/>
      <c r="AB15" s="3173"/>
      <c r="AC15" s="3173" t="s">
        <v>4274</v>
      </c>
      <c r="AD15" s="3173" t="s">
        <v>4333</v>
      </c>
      <c r="AE15" s="3173">
        <v>42.72</v>
      </c>
      <c r="AF15" s="3173" t="s">
        <v>4296</v>
      </c>
      <c r="AG15" s="3173" t="s">
        <v>4282</v>
      </c>
      <c r="AH15" s="3174">
        <v>45276</v>
      </c>
      <c r="AI15" s="3173" t="s">
        <v>4279</v>
      </c>
      <c r="AJ15" s="3173" t="s">
        <v>4297</v>
      </c>
      <c r="AK15" s="3173" t="s">
        <v>4279</v>
      </c>
      <c r="AL15" s="3173" t="s">
        <v>4280</v>
      </c>
      <c r="AS15" s="3173">
        <v>14</v>
      </c>
      <c r="AT15" s="3173">
        <v>20240070009</v>
      </c>
      <c r="AU15" s="3173"/>
      <c r="AV15" s="3173"/>
      <c r="AW15" s="3173" t="s">
        <v>4274</v>
      </c>
      <c r="AX15" s="3173" t="s">
        <v>4334</v>
      </c>
      <c r="AY15" s="3173">
        <v>39.32</v>
      </c>
      <c r="AZ15" s="3173" t="s">
        <v>4276</v>
      </c>
      <c r="BA15" s="3173"/>
      <c r="BB15" s="3174">
        <v>45364</v>
      </c>
      <c r="BC15" s="3173" t="s">
        <v>4277</v>
      </c>
      <c r="BD15" s="3173" t="s">
        <v>4278</v>
      </c>
      <c r="BE15" s="3173" t="s">
        <v>4279</v>
      </c>
      <c r="BF15" s="3173" t="s">
        <v>4280</v>
      </c>
    </row>
    <row r="16" spans="1:59" ht="54">
      <c r="A16" s="3173">
        <v>15</v>
      </c>
      <c r="B16" s="3173" t="s">
        <v>4273</v>
      </c>
      <c r="C16" s="3173"/>
      <c r="D16" s="3173"/>
      <c r="E16" s="3173" t="s">
        <v>4274</v>
      </c>
      <c r="F16" s="3173" t="s">
        <v>4335</v>
      </c>
      <c r="G16" s="3173">
        <v>50.34</v>
      </c>
      <c r="H16" s="3173" t="s">
        <v>4276</v>
      </c>
      <c r="I16" s="3173"/>
      <c r="J16" s="3174">
        <v>45276</v>
      </c>
      <c r="K16" s="3173" t="s">
        <v>4277</v>
      </c>
      <c r="L16" s="3173" t="s">
        <v>4278</v>
      </c>
      <c r="M16" s="3173" t="s">
        <v>4279</v>
      </c>
      <c r="N16" s="3173" t="s">
        <v>4280</v>
      </c>
      <c r="O16" s="3544"/>
      <c r="R16" s="3172">
        <f>S3+S7</f>
        <v>2007.2000000000005</v>
      </c>
      <c r="S16" s="3172">
        <v>9000</v>
      </c>
      <c r="T16" s="3172">
        <f>R16*S16</f>
        <v>18064800.000000004</v>
      </c>
      <c r="Y16" s="3173">
        <v>15</v>
      </c>
      <c r="Z16" s="3173" t="s">
        <v>4282</v>
      </c>
      <c r="AA16" s="3173"/>
      <c r="AB16" s="3173"/>
      <c r="AC16" s="3173" t="s">
        <v>4274</v>
      </c>
      <c r="AD16" s="3173" t="s">
        <v>4336</v>
      </c>
      <c r="AE16" s="3173">
        <v>42.72</v>
      </c>
      <c r="AF16" s="3173" t="s">
        <v>4296</v>
      </c>
      <c r="AG16" s="3173" t="s">
        <v>4282</v>
      </c>
      <c r="AH16" s="3174">
        <v>45276</v>
      </c>
      <c r="AI16" s="3173" t="s">
        <v>4279</v>
      </c>
      <c r="AJ16" s="3173" t="s">
        <v>4297</v>
      </c>
      <c r="AK16" s="3173" t="s">
        <v>4279</v>
      </c>
      <c r="AL16" s="3173" t="s">
        <v>4280</v>
      </c>
      <c r="AS16" s="3173">
        <v>15</v>
      </c>
      <c r="AT16" s="3173">
        <v>20240070009</v>
      </c>
      <c r="AU16" s="3173"/>
      <c r="AV16" s="3173"/>
      <c r="AW16" s="3173" t="s">
        <v>4274</v>
      </c>
      <c r="AX16" s="3173" t="s">
        <v>4337</v>
      </c>
      <c r="AY16" s="3173">
        <v>39.32</v>
      </c>
      <c r="AZ16" s="3173" t="s">
        <v>4276</v>
      </c>
      <c r="BA16" s="3173"/>
      <c r="BB16" s="3174">
        <v>45364</v>
      </c>
      <c r="BC16" s="3173" t="s">
        <v>4277</v>
      </c>
      <c r="BD16" s="3173" t="s">
        <v>4278</v>
      </c>
      <c r="BE16" s="3173" t="s">
        <v>4279</v>
      </c>
      <c r="BF16" s="3173" t="s">
        <v>4280</v>
      </c>
    </row>
    <row r="17" spans="1:58" ht="54">
      <c r="A17" s="3173">
        <v>16</v>
      </c>
      <c r="B17" s="3173" t="s">
        <v>4273</v>
      </c>
      <c r="C17" s="3173"/>
      <c r="D17" s="3173"/>
      <c r="E17" s="3173" t="s">
        <v>4274</v>
      </c>
      <c r="F17" s="3173" t="s">
        <v>4338</v>
      </c>
      <c r="G17" s="3173">
        <v>50.34</v>
      </c>
      <c r="H17" s="3173" t="s">
        <v>4276</v>
      </c>
      <c r="I17" s="3173"/>
      <c r="J17" s="3174">
        <v>45276</v>
      </c>
      <c r="K17" s="3173" t="s">
        <v>4277</v>
      </c>
      <c r="L17" s="3173" t="s">
        <v>4278</v>
      </c>
      <c r="M17" s="3173" t="s">
        <v>4279</v>
      </c>
      <c r="N17" s="3173" t="s">
        <v>4280</v>
      </c>
      <c r="O17" s="3544"/>
      <c r="R17" s="3172">
        <f>S8</f>
        <v>3082.8099999999981</v>
      </c>
      <c r="S17" s="3172">
        <v>12000</v>
      </c>
      <c r="T17" s="3172">
        <f>R17*S17</f>
        <v>36993719.999999978</v>
      </c>
      <c r="Y17" s="3173">
        <v>16</v>
      </c>
      <c r="Z17" s="3173" t="s">
        <v>4282</v>
      </c>
      <c r="AA17" s="3173"/>
      <c r="AB17" s="3173"/>
      <c r="AC17" s="3173" t="s">
        <v>4274</v>
      </c>
      <c r="AD17" s="3173" t="s">
        <v>4339</v>
      </c>
      <c r="AE17" s="3173">
        <v>42.72</v>
      </c>
      <c r="AF17" s="3173" t="s">
        <v>4296</v>
      </c>
      <c r="AG17" s="3173" t="s">
        <v>4282</v>
      </c>
      <c r="AH17" s="3174">
        <v>45276</v>
      </c>
      <c r="AI17" s="3173" t="s">
        <v>4279</v>
      </c>
      <c r="AJ17" s="3173" t="s">
        <v>4297</v>
      </c>
      <c r="AK17" s="3173" t="s">
        <v>4279</v>
      </c>
      <c r="AL17" s="3173" t="s">
        <v>4280</v>
      </c>
      <c r="AS17" s="3173">
        <v>16</v>
      </c>
      <c r="AT17" s="3173">
        <v>20240070009</v>
      </c>
      <c r="AU17" s="3173"/>
      <c r="AV17" s="3173"/>
      <c r="AW17" s="3173" t="s">
        <v>4274</v>
      </c>
      <c r="AX17" s="3173" t="s">
        <v>4340</v>
      </c>
      <c r="AY17" s="3173">
        <v>39.32</v>
      </c>
      <c r="AZ17" s="3173" t="s">
        <v>4276</v>
      </c>
      <c r="BA17" s="3173"/>
      <c r="BB17" s="3174">
        <v>45364</v>
      </c>
      <c r="BC17" s="3173" t="s">
        <v>4277</v>
      </c>
      <c r="BD17" s="3173" t="s">
        <v>4278</v>
      </c>
      <c r="BE17" s="3173" t="s">
        <v>4279</v>
      </c>
      <c r="BF17" s="3173" t="s">
        <v>4280</v>
      </c>
    </row>
    <row r="18" spans="1:58" ht="54">
      <c r="A18" s="3173">
        <v>17</v>
      </c>
      <c r="B18" s="3173" t="s">
        <v>4273</v>
      </c>
      <c r="C18" s="3173"/>
      <c r="D18" s="3173"/>
      <c r="E18" s="3173" t="s">
        <v>4274</v>
      </c>
      <c r="F18" s="3173" t="s">
        <v>4341</v>
      </c>
      <c r="G18" s="3173">
        <v>50.34</v>
      </c>
      <c r="H18" s="3173" t="s">
        <v>4276</v>
      </c>
      <c r="I18" s="3173"/>
      <c r="J18" s="3174">
        <v>45276</v>
      </c>
      <c r="K18" s="3173" t="s">
        <v>4277</v>
      </c>
      <c r="L18" s="3173" t="s">
        <v>4278</v>
      </c>
      <c r="M18" s="3173" t="s">
        <v>4279</v>
      </c>
      <c r="N18" s="3173" t="s">
        <v>4280</v>
      </c>
      <c r="O18" s="3544"/>
      <c r="T18" s="3172">
        <f>SUM(T15:T17)</f>
        <v>75058320</v>
      </c>
      <c r="Y18" s="3173">
        <v>17</v>
      </c>
      <c r="Z18" s="3173" t="s">
        <v>4282</v>
      </c>
      <c r="AA18" s="3173"/>
      <c r="AB18" s="3173"/>
      <c r="AC18" s="3173" t="s">
        <v>4274</v>
      </c>
      <c r="AD18" s="3173" t="s">
        <v>4342</v>
      </c>
      <c r="AE18" s="3173">
        <v>44.67</v>
      </c>
      <c r="AF18" s="3173" t="s">
        <v>4296</v>
      </c>
      <c r="AG18" s="3173" t="s">
        <v>4282</v>
      </c>
      <c r="AH18" s="3174">
        <v>45276</v>
      </c>
      <c r="AI18" s="3173" t="s">
        <v>4279</v>
      </c>
      <c r="AJ18" s="3173" t="s">
        <v>4297</v>
      </c>
      <c r="AK18" s="3173" t="s">
        <v>4279</v>
      </c>
      <c r="AL18" s="3173" t="s">
        <v>4280</v>
      </c>
      <c r="AS18" s="3173">
        <v>17</v>
      </c>
      <c r="AT18" s="3173">
        <v>20240070009</v>
      </c>
      <c r="AU18" s="3173"/>
      <c r="AV18" s="3173"/>
      <c r="AW18" s="3173" t="s">
        <v>4274</v>
      </c>
      <c r="AX18" s="3173" t="s">
        <v>4343</v>
      </c>
      <c r="AY18" s="3173">
        <v>39.32</v>
      </c>
      <c r="AZ18" s="3173" t="s">
        <v>4276</v>
      </c>
      <c r="BA18" s="3173"/>
      <c r="BB18" s="3174">
        <v>45364</v>
      </c>
      <c r="BC18" s="3173" t="s">
        <v>4277</v>
      </c>
      <c r="BD18" s="3173" t="s">
        <v>4278</v>
      </c>
      <c r="BE18" s="3173" t="s">
        <v>4279</v>
      </c>
      <c r="BF18" s="3173" t="s">
        <v>4280</v>
      </c>
    </row>
    <row r="19" spans="1:58" ht="54">
      <c r="A19" s="3173">
        <v>18</v>
      </c>
      <c r="B19" s="3173" t="s">
        <v>4273</v>
      </c>
      <c r="C19" s="3173"/>
      <c r="D19" s="3173"/>
      <c r="E19" s="3173" t="s">
        <v>4274</v>
      </c>
      <c r="F19" s="3173" t="s">
        <v>4344</v>
      </c>
      <c r="G19" s="3173">
        <v>50.34</v>
      </c>
      <c r="H19" s="3173" t="s">
        <v>4276</v>
      </c>
      <c r="I19" s="3173"/>
      <c r="J19" s="3174">
        <v>45276</v>
      </c>
      <c r="K19" s="3173" t="s">
        <v>4277</v>
      </c>
      <c r="L19" s="3173" t="s">
        <v>4278</v>
      </c>
      <c r="M19" s="3173" t="s">
        <v>4279</v>
      </c>
      <c r="N19" s="3173" t="s">
        <v>4280</v>
      </c>
      <c r="O19" s="3544"/>
      <c r="V19" s="3172">
        <f>T18*0.56</f>
        <v>42032659.200000003</v>
      </c>
      <c r="Y19" s="3173">
        <v>18</v>
      </c>
      <c r="Z19" s="3173" t="s">
        <v>4282</v>
      </c>
      <c r="AA19" s="3173"/>
      <c r="AB19" s="3173"/>
      <c r="AC19" s="3173" t="s">
        <v>4274</v>
      </c>
      <c r="AD19" s="3173" t="s">
        <v>4345</v>
      </c>
      <c r="AE19" s="3173">
        <v>44.57</v>
      </c>
      <c r="AF19" s="3173" t="s">
        <v>4296</v>
      </c>
      <c r="AG19" s="3173" t="s">
        <v>4282</v>
      </c>
      <c r="AH19" s="3174">
        <v>45276</v>
      </c>
      <c r="AI19" s="3173" t="s">
        <v>4279</v>
      </c>
      <c r="AJ19" s="3173" t="s">
        <v>4297</v>
      </c>
      <c r="AK19" s="3173" t="s">
        <v>4279</v>
      </c>
      <c r="AL19" s="3173" t="s">
        <v>4280</v>
      </c>
      <c r="AS19" s="3173">
        <v>18</v>
      </c>
      <c r="AT19" s="3173">
        <v>20240070009</v>
      </c>
      <c r="AU19" s="3173"/>
      <c r="AV19" s="3173"/>
      <c r="AW19" s="3173" t="s">
        <v>4274</v>
      </c>
      <c r="AX19" s="3173" t="s">
        <v>4346</v>
      </c>
      <c r="AY19" s="3173">
        <v>39.32</v>
      </c>
      <c r="AZ19" s="3173" t="s">
        <v>4276</v>
      </c>
      <c r="BA19" s="3173"/>
      <c r="BB19" s="3174">
        <v>45364</v>
      </c>
      <c r="BC19" s="3173" t="s">
        <v>4277</v>
      </c>
      <c r="BD19" s="3173" t="s">
        <v>4278</v>
      </c>
      <c r="BE19" s="3173" t="s">
        <v>4279</v>
      </c>
      <c r="BF19" s="3173" t="s">
        <v>4280</v>
      </c>
    </row>
    <row r="20" spans="1:58" ht="54">
      <c r="A20" s="3173">
        <v>19</v>
      </c>
      <c r="B20" s="3173" t="s">
        <v>4273</v>
      </c>
      <c r="C20" s="3173"/>
      <c r="D20" s="3173"/>
      <c r="E20" s="3173" t="s">
        <v>4274</v>
      </c>
      <c r="F20" s="3173" t="s">
        <v>4347</v>
      </c>
      <c r="G20" s="3173">
        <v>50.34</v>
      </c>
      <c r="H20" s="3173" t="s">
        <v>4276</v>
      </c>
      <c r="I20" s="3173"/>
      <c r="J20" s="3174">
        <v>45276</v>
      </c>
      <c r="K20" s="3173" t="s">
        <v>4277</v>
      </c>
      <c r="L20" s="3173" t="s">
        <v>4278</v>
      </c>
      <c r="M20" s="3173" t="s">
        <v>4279</v>
      </c>
      <c r="N20" s="3173" t="s">
        <v>4280</v>
      </c>
      <c r="O20" s="3544"/>
      <c r="Y20" s="3173">
        <v>19</v>
      </c>
      <c r="Z20" s="3173" t="s">
        <v>4282</v>
      </c>
      <c r="AA20" s="3173"/>
      <c r="AB20" s="3173"/>
      <c r="AC20" s="3173" t="s">
        <v>4274</v>
      </c>
      <c r="AD20" s="3173" t="s">
        <v>4348</v>
      </c>
      <c r="AE20" s="3173">
        <v>42.72</v>
      </c>
      <c r="AF20" s="3173" t="s">
        <v>4296</v>
      </c>
      <c r="AG20" s="3173" t="s">
        <v>4282</v>
      </c>
      <c r="AH20" s="3174">
        <v>45276</v>
      </c>
      <c r="AI20" s="3173" t="s">
        <v>4279</v>
      </c>
      <c r="AJ20" s="3173" t="s">
        <v>4297</v>
      </c>
      <c r="AK20" s="3173" t="s">
        <v>4279</v>
      </c>
      <c r="AL20" s="3173" t="s">
        <v>4280</v>
      </c>
      <c r="AS20" s="3173">
        <v>19</v>
      </c>
      <c r="AT20" s="3173">
        <v>20240070009</v>
      </c>
      <c r="AU20" s="3173"/>
      <c r="AV20" s="3173"/>
      <c r="AW20" s="3173" t="s">
        <v>4274</v>
      </c>
      <c r="AX20" s="3173" t="s">
        <v>4349</v>
      </c>
      <c r="AY20" s="3173">
        <v>39.32</v>
      </c>
      <c r="AZ20" s="3173" t="s">
        <v>4276</v>
      </c>
      <c r="BA20" s="3173"/>
      <c r="BB20" s="3174">
        <v>45364</v>
      </c>
      <c r="BC20" s="3173" t="s">
        <v>4277</v>
      </c>
      <c r="BD20" s="3173" t="s">
        <v>4278</v>
      </c>
      <c r="BE20" s="3173" t="s">
        <v>4279</v>
      </c>
      <c r="BF20" s="3173" t="s">
        <v>4280</v>
      </c>
    </row>
    <row r="21" spans="1:58" ht="54">
      <c r="A21" s="3173">
        <v>20</v>
      </c>
      <c r="B21" s="3173" t="s">
        <v>4273</v>
      </c>
      <c r="C21" s="3173"/>
      <c r="D21" s="3173"/>
      <c r="E21" s="3173" t="s">
        <v>4274</v>
      </c>
      <c r="F21" s="3173" t="s">
        <v>4350</v>
      </c>
      <c r="G21" s="3173">
        <v>50.34</v>
      </c>
      <c r="H21" s="3173" t="s">
        <v>4276</v>
      </c>
      <c r="I21" s="3173"/>
      <c r="J21" s="3174">
        <v>45276</v>
      </c>
      <c r="K21" s="3173" t="s">
        <v>4277</v>
      </c>
      <c r="L21" s="3173" t="s">
        <v>4278</v>
      </c>
      <c r="M21" s="3173" t="s">
        <v>4279</v>
      </c>
      <c r="N21" s="3173" t="s">
        <v>4280</v>
      </c>
      <c r="O21" s="3544"/>
      <c r="Y21" s="3173">
        <v>20</v>
      </c>
      <c r="Z21" s="3173" t="s">
        <v>4282</v>
      </c>
      <c r="AA21" s="3173"/>
      <c r="AB21" s="3173"/>
      <c r="AC21" s="3173" t="s">
        <v>4274</v>
      </c>
      <c r="AD21" s="3173" t="s">
        <v>4351</v>
      </c>
      <c r="AE21" s="3173">
        <v>42.72</v>
      </c>
      <c r="AF21" s="3173" t="s">
        <v>4296</v>
      </c>
      <c r="AG21" s="3173" t="s">
        <v>4282</v>
      </c>
      <c r="AH21" s="3174">
        <v>45276</v>
      </c>
      <c r="AI21" s="3173" t="s">
        <v>4279</v>
      </c>
      <c r="AJ21" s="3173" t="s">
        <v>4297</v>
      </c>
      <c r="AK21" s="3173" t="s">
        <v>4279</v>
      </c>
      <c r="AL21" s="3173" t="s">
        <v>4280</v>
      </c>
      <c r="AS21" s="3173">
        <v>20</v>
      </c>
      <c r="AT21" s="3173">
        <v>20240070009</v>
      </c>
      <c r="AU21" s="3173"/>
      <c r="AV21" s="3173"/>
      <c r="AW21" s="3173" t="s">
        <v>4274</v>
      </c>
      <c r="AX21" s="3173" t="s">
        <v>4352</v>
      </c>
      <c r="AY21" s="3173">
        <v>39.32</v>
      </c>
      <c r="AZ21" s="3173" t="s">
        <v>4276</v>
      </c>
      <c r="BA21" s="3173"/>
      <c r="BB21" s="3174">
        <v>45364</v>
      </c>
      <c r="BC21" s="3173" t="s">
        <v>4277</v>
      </c>
      <c r="BD21" s="3173" t="s">
        <v>4278</v>
      </c>
      <c r="BE21" s="3173" t="s">
        <v>4279</v>
      </c>
      <c r="BF21" s="3173" t="s">
        <v>4280</v>
      </c>
    </row>
    <row r="22" spans="1:58" ht="54">
      <c r="A22" s="3173">
        <v>21</v>
      </c>
      <c r="B22" s="3173" t="s">
        <v>4273</v>
      </c>
      <c r="C22" s="3173"/>
      <c r="D22" s="3173"/>
      <c r="E22" s="3173" t="s">
        <v>4274</v>
      </c>
      <c r="F22" s="3173" t="s">
        <v>4353</v>
      </c>
      <c r="G22" s="3173">
        <v>49.3</v>
      </c>
      <c r="H22" s="3173" t="s">
        <v>4276</v>
      </c>
      <c r="I22" s="3173"/>
      <c r="J22" s="3174">
        <v>45276</v>
      </c>
      <c r="K22" s="3173" t="s">
        <v>4277</v>
      </c>
      <c r="L22" s="3173" t="s">
        <v>4278</v>
      </c>
      <c r="M22" s="3173" t="s">
        <v>4279</v>
      </c>
      <c r="N22" s="3173" t="s">
        <v>4280</v>
      </c>
      <c r="O22" s="3544"/>
      <c r="T22" s="3172">
        <v>0.5</v>
      </c>
      <c r="U22" s="3172">
        <v>0.5</v>
      </c>
      <c r="V22" s="3172">
        <v>0.5</v>
      </c>
      <c r="Y22" s="3173">
        <v>21</v>
      </c>
      <c r="Z22" s="3173" t="s">
        <v>4282</v>
      </c>
      <c r="AA22" s="3173"/>
      <c r="AB22" s="3173"/>
      <c r="AC22" s="3173" t="s">
        <v>4274</v>
      </c>
      <c r="AD22" s="3173" t="s">
        <v>4354</v>
      </c>
      <c r="AE22" s="3173">
        <v>42.72</v>
      </c>
      <c r="AF22" s="3173" t="s">
        <v>4296</v>
      </c>
      <c r="AG22" s="3173" t="s">
        <v>4282</v>
      </c>
      <c r="AH22" s="3174">
        <v>45276</v>
      </c>
      <c r="AI22" s="3173" t="s">
        <v>4279</v>
      </c>
      <c r="AJ22" s="3173" t="s">
        <v>4297</v>
      </c>
      <c r="AK22" s="3173" t="s">
        <v>4279</v>
      </c>
      <c r="AL22" s="3173" t="s">
        <v>4280</v>
      </c>
      <c r="AS22" s="3173">
        <v>21</v>
      </c>
      <c r="AT22" s="3173">
        <v>20240070009</v>
      </c>
      <c r="AU22" s="3173"/>
      <c r="AV22" s="3173"/>
      <c r="AW22" s="3173" t="s">
        <v>4274</v>
      </c>
      <c r="AX22" s="3173" t="s">
        <v>4355</v>
      </c>
      <c r="AY22" s="3173">
        <v>39.32</v>
      </c>
      <c r="AZ22" s="3173" t="s">
        <v>4276</v>
      </c>
      <c r="BA22" s="3173"/>
      <c r="BB22" s="3174">
        <v>45364</v>
      </c>
      <c r="BC22" s="3173" t="s">
        <v>4277</v>
      </c>
      <c r="BD22" s="3173" t="s">
        <v>4278</v>
      </c>
      <c r="BE22" s="3173" t="s">
        <v>4279</v>
      </c>
      <c r="BF22" s="3173" t="s">
        <v>4280</v>
      </c>
    </row>
    <row r="23" spans="1:58" ht="54">
      <c r="A23" s="3173">
        <v>22</v>
      </c>
      <c r="B23" s="3173" t="s">
        <v>4273</v>
      </c>
      <c r="C23" s="3173"/>
      <c r="D23" s="3173"/>
      <c r="E23" s="3173" t="s">
        <v>4274</v>
      </c>
      <c r="F23" s="3173" t="s">
        <v>4356</v>
      </c>
      <c r="G23" s="3173">
        <v>49.3</v>
      </c>
      <c r="H23" s="3173" t="s">
        <v>4276</v>
      </c>
      <c r="I23" s="3173"/>
      <c r="J23" s="3174">
        <v>45276</v>
      </c>
      <c r="K23" s="3173" t="s">
        <v>4277</v>
      </c>
      <c r="L23" s="3173" t="s">
        <v>4278</v>
      </c>
      <c r="M23" s="3173" t="s">
        <v>4279</v>
      </c>
      <c r="N23" s="3173" t="s">
        <v>4280</v>
      </c>
      <c r="O23" s="3544"/>
      <c r="P23" s="3175" t="s">
        <v>4281</v>
      </c>
      <c r="S23" s="3172">
        <v>1</v>
      </c>
      <c r="T23" s="3172">
        <v>2</v>
      </c>
      <c r="U23" s="3172">
        <v>3</v>
      </c>
      <c r="V23" s="3172">
        <v>4</v>
      </c>
      <c r="Y23" s="3173">
        <v>22</v>
      </c>
      <c r="Z23" s="3173" t="s">
        <v>4282</v>
      </c>
      <c r="AA23" s="3173"/>
      <c r="AB23" s="3173"/>
      <c r="AC23" s="3173" t="s">
        <v>4274</v>
      </c>
      <c r="AD23" s="3173" t="s">
        <v>4357</v>
      </c>
      <c r="AE23" s="3173">
        <v>42.72</v>
      </c>
      <c r="AF23" s="3173" t="s">
        <v>4296</v>
      </c>
      <c r="AG23" s="3173" t="s">
        <v>4282</v>
      </c>
      <c r="AH23" s="3174">
        <v>45276</v>
      </c>
      <c r="AI23" s="3173" t="s">
        <v>4279</v>
      </c>
      <c r="AJ23" s="3173" t="s">
        <v>4297</v>
      </c>
      <c r="AK23" s="3173" t="s">
        <v>4279</v>
      </c>
      <c r="AL23" s="3173" t="s">
        <v>4280</v>
      </c>
      <c r="AS23" s="3173">
        <v>22</v>
      </c>
      <c r="AT23" s="3173">
        <v>20240070009</v>
      </c>
      <c r="AU23" s="3173"/>
      <c r="AV23" s="3173"/>
      <c r="AW23" s="3173" t="s">
        <v>4274</v>
      </c>
      <c r="AX23" s="3173" t="s">
        <v>4358</v>
      </c>
      <c r="AY23" s="3173">
        <v>39.32</v>
      </c>
      <c r="AZ23" s="3173" t="s">
        <v>4276</v>
      </c>
      <c r="BA23" s="3173"/>
      <c r="BB23" s="3174">
        <v>45364</v>
      </c>
      <c r="BC23" s="3173" t="s">
        <v>4277</v>
      </c>
      <c r="BD23" s="3173" t="s">
        <v>4278</v>
      </c>
      <c r="BE23" s="3173" t="s">
        <v>4279</v>
      </c>
      <c r="BF23" s="3173" t="s">
        <v>4280</v>
      </c>
    </row>
    <row r="24" spans="1:58" ht="54">
      <c r="A24" s="3173">
        <v>23</v>
      </c>
      <c r="B24" s="3173" t="s">
        <v>4273</v>
      </c>
      <c r="C24" s="3173"/>
      <c r="D24" s="3173"/>
      <c r="E24" s="3173" t="s">
        <v>4274</v>
      </c>
      <c r="F24" s="3173" t="s">
        <v>4359</v>
      </c>
      <c r="G24" s="3173">
        <v>50.34</v>
      </c>
      <c r="H24" s="3173" t="s">
        <v>4276</v>
      </c>
      <c r="I24" s="3173"/>
      <c r="J24" s="3174">
        <v>45276</v>
      </c>
      <c r="K24" s="3173" t="s">
        <v>4277</v>
      </c>
      <c r="L24" s="3173" t="s">
        <v>4278</v>
      </c>
      <c r="M24" s="3173" t="s">
        <v>4279</v>
      </c>
      <c r="N24" s="3173" t="s">
        <v>4280</v>
      </c>
      <c r="O24" s="3544"/>
      <c r="P24" s="3175" t="s">
        <v>4286</v>
      </c>
      <c r="Q24" s="3179">
        <f>COUNTIF($H$2:$H$107,P24)</f>
        <v>50</v>
      </c>
      <c r="R24" s="3179">
        <f>SUMIF($H$2:$H$107,P24,$G$2:$G$107)</f>
        <v>1806.4400000000005</v>
      </c>
      <c r="S24" s="3179">
        <f>SUMIF($O$2:$O$107,S23,$G$2:$G$107)</f>
        <v>173.35</v>
      </c>
      <c r="T24" s="3179">
        <f t="shared" ref="T24" si="5">SUMIF($O$2:$O$107,T23,$G$2:$G$107)</f>
        <v>778.83</v>
      </c>
      <c r="U24" s="3179">
        <f t="shared" ref="U24" si="6">SUMIF($O$2:$O$107,U23,$G$2:$G$107)</f>
        <v>602.76</v>
      </c>
      <c r="V24" s="3179">
        <f t="shared" ref="V24" si="7">SUMIF($O$2:$O$107,V23,$G$2:$G$107)</f>
        <v>251.49999999999994</v>
      </c>
      <c r="Y24" s="3173">
        <v>23</v>
      </c>
      <c r="Z24" s="3173" t="s">
        <v>4282</v>
      </c>
      <c r="AA24" s="3173"/>
      <c r="AB24" s="3173"/>
      <c r="AC24" s="3173" t="s">
        <v>4274</v>
      </c>
      <c r="AD24" s="3173" t="s">
        <v>4360</v>
      </c>
      <c r="AE24" s="3173">
        <v>42.72</v>
      </c>
      <c r="AF24" s="3173" t="s">
        <v>4296</v>
      </c>
      <c r="AG24" s="3173" t="s">
        <v>4282</v>
      </c>
      <c r="AH24" s="3174">
        <v>45276</v>
      </c>
      <c r="AI24" s="3173" t="s">
        <v>4279</v>
      </c>
      <c r="AJ24" s="3173" t="s">
        <v>4297</v>
      </c>
      <c r="AK24" s="3173" t="s">
        <v>4279</v>
      </c>
      <c r="AL24" s="3173" t="s">
        <v>4280</v>
      </c>
      <c r="AS24" s="3173">
        <v>23</v>
      </c>
      <c r="AT24" s="3173">
        <v>20240070009</v>
      </c>
      <c r="AU24" s="3173"/>
      <c r="AV24" s="3173"/>
      <c r="AW24" s="3173" t="s">
        <v>4274</v>
      </c>
      <c r="AX24" s="3173" t="s">
        <v>4361</v>
      </c>
      <c r="AY24" s="3173">
        <v>39.32</v>
      </c>
      <c r="AZ24" s="3173" t="s">
        <v>4276</v>
      </c>
      <c r="BA24" s="3173"/>
      <c r="BB24" s="3174">
        <v>45364</v>
      </c>
      <c r="BC24" s="3173" t="s">
        <v>4277</v>
      </c>
      <c r="BD24" s="3173" t="s">
        <v>4278</v>
      </c>
      <c r="BE24" s="3173" t="s">
        <v>4279</v>
      </c>
      <c r="BF24" s="3173" t="s">
        <v>4280</v>
      </c>
    </row>
    <row r="25" spans="1:58" ht="54">
      <c r="A25" s="3173">
        <v>24</v>
      </c>
      <c r="B25" s="3173" t="s">
        <v>4273</v>
      </c>
      <c r="C25" s="3173"/>
      <c r="D25" s="3173"/>
      <c r="E25" s="3173" t="s">
        <v>4274</v>
      </c>
      <c r="F25" s="3173" t="s">
        <v>4362</v>
      </c>
      <c r="G25" s="3173">
        <v>50.34</v>
      </c>
      <c r="H25" s="3173" t="s">
        <v>4276</v>
      </c>
      <c r="I25" s="3173"/>
      <c r="J25" s="3174">
        <v>45276</v>
      </c>
      <c r="K25" s="3173" t="s">
        <v>4277</v>
      </c>
      <c r="L25" s="3173" t="s">
        <v>4278</v>
      </c>
      <c r="M25" s="3173" t="s">
        <v>4279</v>
      </c>
      <c r="N25" s="3173" t="s">
        <v>4280</v>
      </c>
      <c r="O25" s="3544"/>
      <c r="R25" s="3575">
        <f ca="1">R26/R24</f>
        <v>10636.313384336039</v>
      </c>
      <c r="S25" s="3172">
        <f ca="1">'结果表-1层商业'!G20</f>
        <v>19410</v>
      </c>
      <c r="T25" s="3172">
        <f ca="1">$S$25*T22</f>
        <v>9705</v>
      </c>
      <c r="U25" s="3172">
        <f t="shared" ref="U25:V25" ca="1" si="8">$S$25*U22</f>
        <v>9705</v>
      </c>
      <c r="V25" s="3172">
        <f t="shared" ca="1" si="8"/>
        <v>9705</v>
      </c>
      <c r="Y25" s="3173">
        <v>24</v>
      </c>
      <c r="Z25" s="3173" t="s">
        <v>4282</v>
      </c>
      <c r="AA25" s="3173"/>
      <c r="AB25" s="3173"/>
      <c r="AC25" s="3173" t="s">
        <v>4274</v>
      </c>
      <c r="AD25" s="3173" t="s">
        <v>4363</v>
      </c>
      <c r="AE25" s="3173">
        <v>42.72</v>
      </c>
      <c r="AF25" s="3173" t="s">
        <v>4296</v>
      </c>
      <c r="AG25" s="3173" t="s">
        <v>4282</v>
      </c>
      <c r="AH25" s="3174">
        <v>45276</v>
      </c>
      <c r="AI25" s="3173" t="s">
        <v>4279</v>
      </c>
      <c r="AJ25" s="3173" t="s">
        <v>4297</v>
      </c>
      <c r="AK25" s="3173" t="s">
        <v>4279</v>
      </c>
      <c r="AL25" s="3173" t="s">
        <v>4280</v>
      </c>
      <c r="AS25" s="3173">
        <v>24</v>
      </c>
      <c r="AT25" s="3173">
        <v>20240070009</v>
      </c>
      <c r="AU25" s="3173"/>
      <c r="AV25" s="3173"/>
      <c r="AW25" s="3173" t="s">
        <v>4274</v>
      </c>
      <c r="AX25" s="3173" t="s">
        <v>4364</v>
      </c>
      <c r="AY25" s="3173">
        <v>39.32</v>
      </c>
      <c r="AZ25" s="3173" t="s">
        <v>4276</v>
      </c>
      <c r="BA25" s="3173"/>
      <c r="BB25" s="3174">
        <v>45364</v>
      </c>
      <c r="BC25" s="3173" t="s">
        <v>4277</v>
      </c>
      <c r="BD25" s="3173" t="s">
        <v>4278</v>
      </c>
      <c r="BE25" s="3173" t="s">
        <v>4279</v>
      </c>
      <c r="BF25" s="3173" t="s">
        <v>4280</v>
      </c>
    </row>
    <row r="26" spans="1:58" ht="54">
      <c r="A26" s="3173">
        <v>25</v>
      </c>
      <c r="B26" s="3173" t="s">
        <v>4273</v>
      </c>
      <c r="C26" s="3173"/>
      <c r="D26" s="3173"/>
      <c r="E26" s="3173" t="s">
        <v>4274</v>
      </c>
      <c r="F26" s="3173" t="s">
        <v>4365</v>
      </c>
      <c r="G26" s="3173">
        <v>50.34</v>
      </c>
      <c r="H26" s="3173" t="s">
        <v>4276</v>
      </c>
      <c r="I26" s="3173"/>
      <c r="J26" s="3174">
        <v>45276</v>
      </c>
      <c r="K26" s="3173" t="s">
        <v>4277</v>
      </c>
      <c r="L26" s="3173" t="s">
        <v>4278</v>
      </c>
      <c r="M26" s="3173" t="s">
        <v>4279</v>
      </c>
      <c r="N26" s="3173" t="s">
        <v>4280</v>
      </c>
      <c r="O26" s="3544"/>
      <c r="R26" s="3573">
        <f ca="1">SUM(S26:V26)</f>
        <v>19213861.949999999</v>
      </c>
      <c r="S26" s="3172">
        <f ca="1">S24*S25</f>
        <v>3364723.5</v>
      </c>
      <c r="T26" s="3172">
        <f t="shared" ref="T26:V26" ca="1" si="9">T24*T25</f>
        <v>7558545.1500000004</v>
      </c>
      <c r="U26" s="3172">
        <f t="shared" ca="1" si="9"/>
        <v>5849785.7999999998</v>
      </c>
      <c r="V26" s="3172">
        <f t="shared" ca="1" si="9"/>
        <v>2440807.4999999995</v>
      </c>
      <c r="Y26" s="3173">
        <v>25</v>
      </c>
      <c r="Z26" s="3173" t="s">
        <v>4282</v>
      </c>
      <c r="AA26" s="3173"/>
      <c r="AB26" s="3173"/>
      <c r="AC26" s="3173" t="s">
        <v>4274</v>
      </c>
      <c r="AD26" s="3173" t="s">
        <v>4366</v>
      </c>
      <c r="AE26" s="3173">
        <v>42.72</v>
      </c>
      <c r="AF26" s="3173" t="s">
        <v>4296</v>
      </c>
      <c r="AG26" s="3173" t="s">
        <v>4282</v>
      </c>
      <c r="AH26" s="3174">
        <v>45276</v>
      </c>
      <c r="AI26" s="3173" t="s">
        <v>4279</v>
      </c>
      <c r="AJ26" s="3173" t="s">
        <v>4297</v>
      </c>
      <c r="AK26" s="3173" t="s">
        <v>4279</v>
      </c>
      <c r="AL26" s="3173" t="s">
        <v>4280</v>
      </c>
      <c r="AS26" s="3173">
        <v>25</v>
      </c>
      <c r="AT26" s="3173">
        <v>20240070009</v>
      </c>
      <c r="AU26" s="3173"/>
      <c r="AV26" s="3173"/>
      <c r="AW26" s="3173" t="s">
        <v>4274</v>
      </c>
      <c r="AX26" s="3173" t="s">
        <v>4367</v>
      </c>
      <c r="AY26" s="3173">
        <v>39.32</v>
      </c>
      <c r="AZ26" s="3173" t="s">
        <v>4276</v>
      </c>
      <c r="BA26" s="3173"/>
      <c r="BB26" s="3174">
        <v>45364</v>
      </c>
      <c r="BC26" s="3173" t="s">
        <v>4277</v>
      </c>
      <c r="BD26" s="3173" t="s">
        <v>4278</v>
      </c>
      <c r="BE26" s="3173" t="s">
        <v>4279</v>
      </c>
      <c r="BF26" s="3173" t="s">
        <v>4280</v>
      </c>
    </row>
    <row r="27" spans="1:58" ht="54">
      <c r="A27" s="3173">
        <v>26</v>
      </c>
      <c r="B27" s="3173" t="s">
        <v>4273</v>
      </c>
      <c r="C27" s="3173"/>
      <c r="D27" s="3173"/>
      <c r="E27" s="3173" t="s">
        <v>4274</v>
      </c>
      <c r="F27" s="3173" t="s">
        <v>4368</v>
      </c>
      <c r="G27" s="3173">
        <v>50.34</v>
      </c>
      <c r="H27" s="3173" t="s">
        <v>4276</v>
      </c>
      <c r="I27" s="3173"/>
      <c r="J27" s="3174">
        <v>45276</v>
      </c>
      <c r="K27" s="3173" t="s">
        <v>4277</v>
      </c>
      <c r="L27" s="3173" t="s">
        <v>4278</v>
      </c>
      <c r="M27" s="3173" t="s">
        <v>4279</v>
      </c>
      <c r="N27" s="3173" t="s">
        <v>4280</v>
      </c>
      <c r="O27" s="3544"/>
      <c r="P27" s="3180" t="s">
        <v>4291</v>
      </c>
      <c r="Q27" s="3179">
        <f>COUNTIF($H$2:$H$107,P27)</f>
        <v>56</v>
      </c>
      <c r="R27" s="3179">
        <f>SUMIF($H$2:$H$107,P27,$G$2:$G$107)</f>
        <v>2814.880000000001</v>
      </c>
      <c r="S27" s="3172">
        <f ca="1">'结果表-车位'!G20</f>
        <v>3341</v>
      </c>
      <c r="Y27" s="3173">
        <v>26</v>
      </c>
      <c r="Z27" s="3173" t="s">
        <v>4282</v>
      </c>
      <c r="AA27" s="3173"/>
      <c r="AB27" s="3173"/>
      <c r="AC27" s="3173" t="s">
        <v>4274</v>
      </c>
      <c r="AD27" s="3173" t="s">
        <v>4369</v>
      </c>
      <c r="AE27" s="3173">
        <v>42.72</v>
      </c>
      <c r="AF27" s="3173" t="s">
        <v>4296</v>
      </c>
      <c r="AG27" s="3173" t="s">
        <v>4282</v>
      </c>
      <c r="AH27" s="3174">
        <v>45276</v>
      </c>
      <c r="AI27" s="3173" t="s">
        <v>4279</v>
      </c>
      <c r="AJ27" s="3173" t="s">
        <v>4297</v>
      </c>
      <c r="AK27" s="3173" t="s">
        <v>4279</v>
      </c>
      <c r="AL27" s="3173" t="s">
        <v>4280</v>
      </c>
      <c r="AS27" s="3173">
        <v>26</v>
      </c>
      <c r="AT27" s="3173">
        <v>20240070009</v>
      </c>
      <c r="AU27" s="3173"/>
      <c r="AV27" s="3173"/>
      <c r="AW27" s="3173" t="s">
        <v>4274</v>
      </c>
      <c r="AX27" s="3173" t="s">
        <v>4370</v>
      </c>
      <c r="AY27" s="3173">
        <v>39.32</v>
      </c>
      <c r="AZ27" s="3173" t="s">
        <v>4276</v>
      </c>
      <c r="BA27" s="3173"/>
      <c r="BB27" s="3174">
        <v>45364</v>
      </c>
      <c r="BC27" s="3173" t="s">
        <v>4277</v>
      </c>
      <c r="BD27" s="3173" t="s">
        <v>4278</v>
      </c>
      <c r="BE27" s="3173" t="s">
        <v>4279</v>
      </c>
      <c r="BF27" s="3173" t="s">
        <v>4280</v>
      </c>
    </row>
    <row r="28" spans="1:58" ht="54">
      <c r="A28" s="3173">
        <v>27</v>
      </c>
      <c r="B28" s="3173" t="s">
        <v>4273</v>
      </c>
      <c r="C28" s="3173"/>
      <c r="D28" s="3173"/>
      <c r="E28" s="3173" t="s">
        <v>4274</v>
      </c>
      <c r="F28" s="3173" t="s">
        <v>4371</v>
      </c>
      <c r="G28" s="3173">
        <v>50.34</v>
      </c>
      <c r="H28" s="3173" t="s">
        <v>4276</v>
      </c>
      <c r="I28" s="3173"/>
      <c r="J28" s="3174">
        <v>45276</v>
      </c>
      <c r="K28" s="3173" t="s">
        <v>4277</v>
      </c>
      <c r="L28" s="3173" t="s">
        <v>4278</v>
      </c>
      <c r="M28" s="3173" t="s">
        <v>4279</v>
      </c>
      <c r="N28" s="3173" t="s">
        <v>4280</v>
      </c>
      <c r="O28" s="3544"/>
      <c r="R28" s="3573">
        <f ca="1">S27*R27</f>
        <v>9404514.0800000038</v>
      </c>
      <c r="Y28" s="3173">
        <v>27</v>
      </c>
      <c r="Z28" s="3173" t="s">
        <v>4282</v>
      </c>
      <c r="AA28" s="3173"/>
      <c r="AB28" s="3173"/>
      <c r="AC28" s="3173" t="s">
        <v>4274</v>
      </c>
      <c r="AD28" s="3173" t="s">
        <v>4372</v>
      </c>
      <c r="AE28" s="3173">
        <v>44.57</v>
      </c>
      <c r="AF28" s="3173" t="s">
        <v>4296</v>
      </c>
      <c r="AG28" s="3173" t="s">
        <v>4282</v>
      </c>
      <c r="AH28" s="3174">
        <v>45276</v>
      </c>
      <c r="AI28" s="3173" t="s">
        <v>4279</v>
      </c>
      <c r="AJ28" s="3173" t="s">
        <v>4297</v>
      </c>
      <c r="AK28" s="3173" t="s">
        <v>4279</v>
      </c>
      <c r="AL28" s="3173" t="s">
        <v>4280</v>
      </c>
      <c r="AS28" s="3173">
        <v>27</v>
      </c>
      <c r="AT28" s="3173">
        <v>20240070009</v>
      </c>
      <c r="AU28" s="3173"/>
      <c r="AV28" s="3173"/>
      <c r="AW28" s="3173" t="s">
        <v>4274</v>
      </c>
      <c r="AX28" s="3173" t="s">
        <v>4373</v>
      </c>
      <c r="AY28" s="3173">
        <v>39.32</v>
      </c>
      <c r="AZ28" s="3173" t="s">
        <v>4276</v>
      </c>
      <c r="BA28" s="3173"/>
      <c r="BB28" s="3174">
        <v>45364</v>
      </c>
      <c r="BC28" s="3173" t="s">
        <v>4277</v>
      </c>
      <c r="BD28" s="3173" t="s">
        <v>4278</v>
      </c>
      <c r="BE28" s="3173" t="s">
        <v>4279</v>
      </c>
      <c r="BF28" s="3173" t="s">
        <v>4280</v>
      </c>
    </row>
    <row r="29" spans="1:58" ht="54">
      <c r="A29" s="3173">
        <v>28</v>
      </c>
      <c r="B29" s="3173" t="s">
        <v>4273</v>
      </c>
      <c r="C29" s="3173"/>
      <c r="D29" s="3173"/>
      <c r="E29" s="3173" t="s">
        <v>4274</v>
      </c>
      <c r="F29" s="3173" t="s">
        <v>4374</v>
      </c>
      <c r="G29" s="3173">
        <v>50.34</v>
      </c>
      <c r="H29" s="3173" t="s">
        <v>4276</v>
      </c>
      <c r="I29" s="3173"/>
      <c r="J29" s="3174">
        <v>45276</v>
      </c>
      <c r="K29" s="3173" t="s">
        <v>4277</v>
      </c>
      <c r="L29" s="3173" t="s">
        <v>4278</v>
      </c>
      <c r="M29" s="3173" t="s">
        <v>4279</v>
      </c>
      <c r="N29" s="3173" t="s">
        <v>4280</v>
      </c>
      <c r="O29" s="3544"/>
      <c r="Y29" s="3173">
        <v>28</v>
      </c>
      <c r="Z29" s="3173" t="s">
        <v>4282</v>
      </c>
      <c r="AA29" s="3173"/>
      <c r="AB29" s="3173"/>
      <c r="AC29" s="3173" t="s">
        <v>4274</v>
      </c>
      <c r="AD29" s="3173" t="s">
        <v>4375</v>
      </c>
      <c r="AE29" s="3173">
        <v>44.67</v>
      </c>
      <c r="AF29" s="3173" t="s">
        <v>4296</v>
      </c>
      <c r="AG29" s="3173" t="s">
        <v>4282</v>
      </c>
      <c r="AH29" s="3174">
        <v>45276</v>
      </c>
      <c r="AI29" s="3173" t="s">
        <v>4279</v>
      </c>
      <c r="AJ29" s="3173" t="s">
        <v>4297</v>
      </c>
      <c r="AK29" s="3173" t="s">
        <v>4279</v>
      </c>
      <c r="AL29" s="3173" t="s">
        <v>4280</v>
      </c>
      <c r="AS29" s="3173">
        <v>28</v>
      </c>
      <c r="AT29" s="3173">
        <v>20240070009</v>
      </c>
      <c r="AU29" s="3173"/>
      <c r="AV29" s="3173"/>
      <c r="AW29" s="3173" t="s">
        <v>4274</v>
      </c>
      <c r="AX29" s="3173" t="s">
        <v>4376</v>
      </c>
      <c r="AY29" s="3173">
        <v>39.32</v>
      </c>
      <c r="AZ29" s="3173" t="s">
        <v>4276</v>
      </c>
      <c r="BA29" s="3173"/>
      <c r="BB29" s="3174">
        <v>45364</v>
      </c>
      <c r="BC29" s="3173" t="s">
        <v>4277</v>
      </c>
      <c r="BD29" s="3173" t="s">
        <v>4278</v>
      </c>
      <c r="BE29" s="3173" t="s">
        <v>4279</v>
      </c>
      <c r="BF29" s="3173" t="s">
        <v>4280</v>
      </c>
    </row>
    <row r="30" spans="1:58" ht="54">
      <c r="A30" s="3173">
        <v>29</v>
      </c>
      <c r="B30" s="3173" t="s">
        <v>4273</v>
      </c>
      <c r="C30" s="3173"/>
      <c r="D30" s="3173"/>
      <c r="E30" s="3173" t="s">
        <v>4274</v>
      </c>
      <c r="F30" s="3173" t="s">
        <v>4377</v>
      </c>
      <c r="G30" s="3173">
        <v>50.34</v>
      </c>
      <c r="H30" s="3173" t="s">
        <v>4276</v>
      </c>
      <c r="I30" s="3173"/>
      <c r="J30" s="3174">
        <v>45276</v>
      </c>
      <c r="K30" s="3173" t="s">
        <v>4277</v>
      </c>
      <c r="L30" s="3173" t="s">
        <v>4278</v>
      </c>
      <c r="M30" s="3173" t="s">
        <v>4279</v>
      </c>
      <c r="N30" s="3173" t="s">
        <v>4280</v>
      </c>
      <c r="O30" s="3544"/>
      <c r="P30" s="3172" t="s">
        <v>4778</v>
      </c>
      <c r="S30" s="3172">
        <v>1</v>
      </c>
      <c r="T30" s="3172">
        <v>2</v>
      </c>
      <c r="Y30" s="3173">
        <v>29</v>
      </c>
      <c r="Z30" s="3173" t="s">
        <v>4282</v>
      </c>
      <c r="AA30" s="3173"/>
      <c r="AB30" s="3173"/>
      <c r="AC30" s="3173" t="s">
        <v>4274</v>
      </c>
      <c r="AD30" s="3173" t="s">
        <v>4378</v>
      </c>
      <c r="AE30" s="3173">
        <v>42.72</v>
      </c>
      <c r="AF30" s="3173" t="s">
        <v>4296</v>
      </c>
      <c r="AG30" s="3173" t="s">
        <v>4282</v>
      </c>
      <c r="AH30" s="3174">
        <v>45276</v>
      </c>
      <c r="AI30" s="3173" t="s">
        <v>4279</v>
      </c>
      <c r="AJ30" s="3173" t="s">
        <v>4297</v>
      </c>
      <c r="AK30" s="3173" t="s">
        <v>4279</v>
      </c>
      <c r="AL30" s="3173" t="s">
        <v>4280</v>
      </c>
      <c r="AS30" s="3173">
        <v>29</v>
      </c>
      <c r="AT30" s="3173">
        <v>20240070009</v>
      </c>
      <c r="AU30" s="3173"/>
      <c r="AV30" s="3173"/>
      <c r="AW30" s="3173" t="s">
        <v>4274</v>
      </c>
      <c r="AX30" s="3173" t="s">
        <v>4379</v>
      </c>
      <c r="AY30" s="3173">
        <v>39.32</v>
      </c>
      <c r="AZ30" s="3173" t="s">
        <v>4276</v>
      </c>
      <c r="BA30" s="3173"/>
      <c r="BB30" s="3174">
        <v>45364</v>
      </c>
      <c r="BC30" s="3173" t="s">
        <v>4277</v>
      </c>
      <c r="BD30" s="3173" t="s">
        <v>4278</v>
      </c>
      <c r="BE30" s="3173" t="s">
        <v>4279</v>
      </c>
      <c r="BF30" s="3173" t="s">
        <v>4280</v>
      </c>
    </row>
    <row r="31" spans="1:58" ht="54">
      <c r="A31" s="3173">
        <v>30</v>
      </c>
      <c r="B31" s="3173" t="s">
        <v>4273</v>
      </c>
      <c r="C31" s="3173"/>
      <c r="D31" s="3173"/>
      <c r="E31" s="3173" t="s">
        <v>4274</v>
      </c>
      <c r="F31" s="3173" t="s">
        <v>4380</v>
      </c>
      <c r="G31" s="3173">
        <v>50.34</v>
      </c>
      <c r="H31" s="3173" t="s">
        <v>4276</v>
      </c>
      <c r="I31" s="3173"/>
      <c r="J31" s="3174">
        <v>45276</v>
      </c>
      <c r="K31" s="3173" t="s">
        <v>4277</v>
      </c>
      <c r="L31" s="3173" t="s">
        <v>4278</v>
      </c>
      <c r="M31" s="3173" t="s">
        <v>4279</v>
      </c>
      <c r="N31" s="3173" t="s">
        <v>4280</v>
      </c>
      <c r="O31" s="3544"/>
      <c r="P31" s="3172" t="s">
        <v>672</v>
      </c>
      <c r="Q31" s="3172">
        <v>2</v>
      </c>
      <c r="R31" s="3172">
        <v>200.76</v>
      </c>
      <c r="S31" s="3172">
        <v>71.28</v>
      </c>
      <c r="T31" s="3172">
        <v>129.47999999999999</v>
      </c>
      <c r="Y31" s="3173">
        <v>30</v>
      </c>
      <c r="Z31" s="3173" t="s">
        <v>4282</v>
      </c>
      <c r="AA31" s="3173"/>
      <c r="AB31" s="3173"/>
      <c r="AC31" s="3173" t="s">
        <v>4274</v>
      </c>
      <c r="AD31" s="3173" t="s">
        <v>4381</v>
      </c>
      <c r="AE31" s="3173">
        <v>42.72</v>
      </c>
      <c r="AF31" s="3173" t="s">
        <v>4296</v>
      </c>
      <c r="AG31" s="3173" t="s">
        <v>4282</v>
      </c>
      <c r="AH31" s="3174">
        <v>45276</v>
      </c>
      <c r="AI31" s="3173" t="s">
        <v>4279</v>
      </c>
      <c r="AJ31" s="3173" t="s">
        <v>4297</v>
      </c>
      <c r="AK31" s="3173" t="s">
        <v>4279</v>
      </c>
      <c r="AL31" s="3173" t="s">
        <v>4280</v>
      </c>
      <c r="AS31" s="3173">
        <v>30</v>
      </c>
      <c r="AT31" s="3173">
        <v>20240070009</v>
      </c>
      <c r="AU31" s="3173"/>
      <c r="AV31" s="3173"/>
      <c r="AW31" s="3173" t="s">
        <v>4274</v>
      </c>
      <c r="AX31" s="3173" t="s">
        <v>4382</v>
      </c>
      <c r="AY31" s="3173">
        <v>39.32</v>
      </c>
      <c r="AZ31" s="3173" t="s">
        <v>4276</v>
      </c>
      <c r="BA31" s="3173"/>
      <c r="BB31" s="3174">
        <v>45364</v>
      </c>
      <c r="BC31" s="3173" t="s">
        <v>4277</v>
      </c>
      <c r="BD31" s="3173" t="s">
        <v>4278</v>
      </c>
      <c r="BE31" s="3173" t="s">
        <v>4279</v>
      </c>
      <c r="BF31" s="3173" t="s">
        <v>4280</v>
      </c>
    </row>
    <row r="32" spans="1:58" ht="54">
      <c r="A32" s="3173">
        <v>31</v>
      </c>
      <c r="B32" s="3173" t="s">
        <v>4273</v>
      </c>
      <c r="C32" s="3173"/>
      <c r="D32" s="3173"/>
      <c r="E32" s="3173" t="s">
        <v>4274</v>
      </c>
      <c r="F32" s="3173" t="s">
        <v>4383</v>
      </c>
      <c r="G32" s="3173">
        <v>50.34</v>
      </c>
      <c r="H32" s="3173" t="s">
        <v>4276</v>
      </c>
      <c r="I32" s="3173"/>
      <c r="J32" s="3174">
        <v>45276</v>
      </c>
      <c r="K32" s="3173" t="s">
        <v>4277</v>
      </c>
      <c r="L32" s="3173" t="s">
        <v>4278</v>
      </c>
      <c r="M32" s="3173" t="s">
        <v>4279</v>
      </c>
      <c r="N32" s="3173" t="s">
        <v>4280</v>
      </c>
      <c r="O32" s="3544"/>
      <c r="R32" s="3575">
        <f ca="1">R33/R31</f>
        <v>13150.768081291095</v>
      </c>
      <c r="S32" s="3172">
        <f ca="1">S25</f>
        <v>19410</v>
      </c>
      <c r="T32" s="3172">
        <f ca="1">T25</f>
        <v>9705</v>
      </c>
      <c r="Y32" s="3173">
        <v>31</v>
      </c>
      <c r="Z32" s="3173" t="s">
        <v>4282</v>
      </c>
      <c r="AA32" s="3173"/>
      <c r="AB32" s="3173"/>
      <c r="AC32" s="3173" t="s">
        <v>4274</v>
      </c>
      <c r="AD32" s="3173" t="s">
        <v>4384</v>
      </c>
      <c r="AE32" s="3173">
        <v>42.72</v>
      </c>
      <c r="AF32" s="3173" t="s">
        <v>4296</v>
      </c>
      <c r="AG32" s="3173" t="s">
        <v>4282</v>
      </c>
      <c r="AH32" s="3174">
        <v>45276</v>
      </c>
      <c r="AI32" s="3173" t="s">
        <v>4279</v>
      </c>
      <c r="AJ32" s="3173" t="s">
        <v>4297</v>
      </c>
      <c r="AK32" s="3173" t="s">
        <v>4279</v>
      </c>
      <c r="AL32" s="3173" t="s">
        <v>4280</v>
      </c>
      <c r="AS32" s="3173">
        <v>31</v>
      </c>
      <c r="AT32" s="3173">
        <v>20240070009</v>
      </c>
      <c r="AU32" s="3173"/>
      <c r="AV32" s="3173"/>
      <c r="AW32" s="3173" t="s">
        <v>4274</v>
      </c>
      <c r="AX32" s="3173" t="s">
        <v>4385</v>
      </c>
      <c r="AY32" s="3173">
        <v>39.32</v>
      </c>
      <c r="AZ32" s="3173" t="s">
        <v>4276</v>
      </c>
      <c r="BA32" s="3173"/>
      <c r="BB32" s="3174">
        <v>45364</v>
      </c>
      <c r="BC32" s="3173" t="s">
        <v>4277</v>
      </c>
      <c r="BD32" s="3173" t="s">
        <v>4278</v>
      </c>
      <c r="BE32" s="3173" t="s">
        <v>4279</v>
      </c>
      <c r="BF32" s="3173" t="s">
        <v>4280</v>
      </c>
    </row>
    <row r="33" spans="1:58" ht="54">
      <c r="A33" s="3173">
        <v>32</v>
      </c>
      <c r="B33" s="3173" t="s">
        <v>4273</v>
      </c>
      <c r="C33" s="3173"/>
      <c r="D33" s="3173"/>
      <c r="E33" s="3173" t="s">
        <v>4274</v>
      </c>
      <c r="F33" s="3173" t="s">
        <v>4386</v>
      </c>
      <c r="G33" s="3173">
        <v>50.34</v>
      </c>
      <c r="H33" s="3173" t="s">
        <v>4276</v>
      </c>
      <c r="I33" s="3173"/>
      <c r="J33" s="3174">
        <v>45276</v>
      </c>
      <c r="K33" s="3173" t="s">
        <v>4277</v>
      </c>
      <c r="L33" s="3173" t="s">
        <v>4278</v>
      </c>
      <c r="M33" s="3173" t="s">
        <v>4279</v>
      </c>
      <c r="N33" s="3173" t="s">
        <v>4280</v>
      </c>
      <c r="O33" s="3544"/>
      <c r="R33" s="3573">
        <f ca="1">SUM(S33:T33)</f>
        <v>2640148.2000000002</v>
      </c>
      <c r="S33" s="3172">
        <f ca="1">S31*S32</f>
        <v>1383544.8</v>
      </c>
      <c r="T33" s="3172">
        <f t="shared" ref="S33:T33" ca="1" si="10">T31*T32</f>
        <v>1256603.3999999999</v>
      </c>
      <c r="Y33" s="3173">
        <v>32</v>
      </c>
      <c r="Z33" s="3173" t="s">
        <v>4282</v>
      </c>
      <c r="AA33" s="3173"/>
      <c r="AB33" s="3173"/>
      <c r="AC33" s="3173" t="s">
        <v>4274</v>
      </c>
      <c r="AD33" s="3173" t="s">
        <v>4387</v>
      </c>
      <c r="AE33" s="3173">
        <v>42.72</v>
      </c>
      <c r="AF33" s="3173" t="s">
        <v>4296</v>
      </c>
      <c r="AG33" s="3173" t="s">
        <v>4282</v>
      </c>
      <c r="AH33" s="3174">
        <v>45276</v>
      </c>
      <c r="AI33" s="3173" t="s">
        <v>4279</v>
      </c>
      <c r="AJ33" s="3173" t="s">
        <v>4297</v>
      </c>
      <c r="AK33" s="3173" t="s">
        <v>4279</v>
      </c>
      <c r="AL33" s="3173" t="s">
        <v>4280</v>
      </c>
      <c r="AS33" s="3173">
        <v>32</v>
      </c>
      <c r="AT33" s="3173">
        <v>20240070009</v>
      </c>
      <c r="AU33" s="3173"/>
      <c r="AV33" s="3173"/>
      <c r="AW33" s="3173" t="s">
        <v>4274</v>
      </c>
      <c r="AX33" s="3173" t="s">
        <v>4388</v>
      </c>
      <c r="AY33" s="3173">
        <v>39.32</v>
      </c>
      <c r="AZ33" s="3173" t="s">
        <v>4276</v>
      </c>
      <c r="BA33" s="3173"/>
      <c r="BB33" s="3174">
        <v>45364</v>
      </c>
      <c r="BC33" s="3173" t="s">
        <v>4277</v>
      </c>
      <c r="BD33" s="3173" t="s">
        <v>4278</v>
      </c>
      <c r="BE33" s="3173" t="s">
        <v>4279</v>
      </c>
      <c r="BF33" s="3173" t="s">
        <v>4280</v>
      </c>
    </row>
    <row r="34" spans="1:58" ht="54">
      <c r="A34" s="3173">
        <v>33</v>
      </c>
      <c r="B34" s="3173" t="s">
        <v>4273</v>
      </c>
      <c r="C34" s="3173"/>
      <c r="D34" s="3173"/>
      <c r="E34" s="3173" t="s">
        <v>4274</v>
      </c>
      <c r="F34" s="3173" t="s">
        <v>4389</v>
      </c>
      <c r="G34" s="3173">
        <v>50.34</v>
      </c>
      <c r="H34" s="3173" t="s">
        <v>4276</v>
      </c>
      <c r="I34" s="3173"/>
      <c r="J34" s="3174">
        <v>45276</v>
      </c>
      <c r="K34" s="3173" t="s">
        <v>4277</v>
      </c>
      <c r="L34" s="3173" t="s">
        <v>4278</v>
      </c>
      <c r="M34" s="3173" t="s">
        <v>4279</v>
      </c>
      <c r="N34" s="3173" t="s">
        <v>4280</v>
      </c>
      <c r="O34" s="3544"/>
      <c r="P34" s="3172" t="s">
        <v>4296</v>
      </c>
      <c r="Q34" s="3172">
        <v>70</v>
      </c>
      <c r="R34" s="3172">
        <v>3082.8099999999981</v>
      </c>
      <c r="S34" s="3172">
        <f ca="1">'结果表-办公'!G20</f>
        <v>7117</v>
      </c>
      <c r="Y34" s="3173">
        <v>33</v>
      </c>
      <c r="Z34" s="3173" t="s">
        <v>4282</v>
      </c>
      <c r="AA34" s="3173"/>
      <c r="AB34" s="3173"/>
      <c r="AC34" s="3173" t="s">
        <v>4274</v>
      </c>
      <c r="AD34" s="3173" t="s">
        <v>4390</v>
      </c>
      <c r="AE34" s="3173">
        <v>42.72</v>
      </c>
      <c r="AF34" s="3173" t="s">
        <v>4296</v>
      </c>
      <c r="AG34" s="3173" t="s">
        <v>4282</v>
      </c>
      <c r="AH34" s="3174">
        <v>45276</v>
      </c>
      <c r="AI34" s="3173" t="s">
        <v>4279</v>
      </c>
      <c r="AJ34" s="3173" t="s">
        <v>4297</v>
      </c>
      <c r="AK34" s="3173" t="s">
        <v>4279</v>
      </c>
      <c r="AL34" s="3173" t="s">
        <v>4280</v>
      </c>
      <c r="AS34" s="3173">
        <v>33</v>
      </c>
      <c r="AT34" s="3173">
        <v>20240070009</v>
      </c>
      <c r="AU34" s="3173"/>
      <c r="AV34" s="3173"/>
      <c r="AW34" s="3173" t="s">
        <v>4274</v>
      </c>
      <c r="AX34" s="3173" t="s">
        <v>4391</v>
      </c>
      <c r="AY34" s="3173">
        <v>39.32</v>
      </c>
      <c r="AZ34" s="3173" t="s">
        <v>4276</v>
      </c>
      <c r="BA34" s="3173"/>
      <c r="BB34" s="3174">
        <v>45364</v>
      </c>
      <c r="BC34" s="3173" t="s">
        <v>4277</v>
      </c>
      <c r="BD34" s="3173" t="s">
        <v>4284</v>
      </c>
      <c r="BE34" s="3173" t="s">
        <v>4279</v>
      </c>
      <c r="BF34" s="3173" t="s">
        <v>4280</v>
      </c>
    </row>
    <row r="35" spans="1:58" ht="54">
      <c r="A35" s="3173">
        <v>34</v>
      </c>
      <c r="B35" s="3173" t="s">
        <v>4273</v>
      </c>
      <c r="C35" s="3173"/>
      <c r="D35" s="3173"/>
      <c r="E35" s="3173" t="s">
        <v>4274</v>
      </c>
      <c r="F35" s="3173" t="s">
        <v>4392</v>
      </c>
      <c r="G35" s="3173">
        <v>50.34</v>
      </c>
      <c r="H35" s="3173" t="s">
        <v>4276</v>
      </c>
      <c r="I35" s="3173"/>
      <c r="J35" s="3174">
        <v>45276</v>
      </c>
      <c r="K35" s="3173" t="s">
        <v>4277</v>
      </c>
      <c r="L35" s="3173" t="s">
        <v>4278</v>
      </c>
      <c r="M35" s="3173" t="s">
        <v>4279</v>
      </c>
      <c r="N35" s="3173" t="s">
        <v>4280</v>
      </c>
      <c r="O35" s="3544"/>
      <c r="R35" s="3573">
        <f ca="1">S34*R34</f>
        <v>21940358.769999988</v>
      </c>
      <c r="Y35" s="3173">
        <v>34</v>
      </c>
      <c r="Z35" s="3173" t="s">
        <v>4282</v>
      </c>
      <c r="AA35" s="3173"/>
      <c r="AB35" s="3173"/>
      <c r="AC35" s="3173" t="s">
        <v>4274</v>
      </c>
      <c r="AD35" s="3173" t="s">
        <v>4393</v>
      </c>
      <c r="AE35" s="3173">
        <v>42.72</v>
      </c>
      <c r="AF35" s="3173" t="s">
        <v>4296</v>
      </c>
      <c r="AG35" s="3173" t="s">
        <v>4282</v>
      </c>
      <c r="AH35" s="3174">
        <v>45276</v>
      </c>
      <c r="AI35" s="3173" t="s">
        <v>4279</v>
      </c>
      <c r="AJ35" s="3173" t="s">
        <v>4297</v>
      </c>
      <c r="AK35" s="3173" t="s">
        <v>4279</v>
      </c>
      <c r="AL35" s="3173" t="s">
        <v>4280</v>
      </c>
      <c r="AS35" s="3173">
        <v>34</v>
      </c>
      <c r="AT35" s="3173">
        <v>20240070009</v>
      </c>
      <c r="AU35" s="3173"/>
      <c r="AV35" s="3173"/>
      <c r="AW35" s="3173" t="s">
        <v>4274</v>
      </c>
      <c r="AX35" s="3173" t="s">
        <v>4394</v>
      </c>
      <c r="AY35" s="3173">
        <v>39.32</v>
      </c>
      <c r="AZ35" s="3173" t="s">
        <v>4276</v>
      </c>
      <c r="BA35" s="3173"/>
      <c r="BB35" s="3174">
        <v>45364</v>
      </c>
      <c r="BC35" s="3173" t="s">
        <v>4277</v>
      </c>
      <c r="BD35" s="3173" t="s">
        <v>4297</v>
      </c>
      <c r="BE35" s="3173" t="s">
        <v>4279</v>
      </c>
      <c r="BF35" s="3173" t="s">
        <v>4280</v>
      </c>
    </row>
    <row r="36" spans="1:58" ht="54">
      <c r="A36" s="3173">
        <v>35</v>
      </c>
      <c r="B36" s="3173" t="s">
        <v>4273</v>
      </c>
      <c r="C36" s="3173"/>
      <c r="D36" s="3173"/>
      <c r="E36" s="3173" t="s">
        <v>4274</v>
      </c>
      <c r="F36" s="3173" t="s">
        <v>4395</v>
      </c>
      <c r="G36" s="3173">
        <v>50.34</v>
      </c>
      <c r="H36" s="3173" t="s">
        <v>4276</v>
      </c>
      <c r="I36" s="3173"/>
      <c r="J36" s="3174">
        <v>45276</v>
      </c>
      <c r="K36" s="3173" t="s">
        <v>4277</v>
      </c>
      <c r="L36" s="3173" t="s">
        <v>4278</v>
      </c>
      <c r="M36" s="3173" t="s">
        <v>4279</v>
      </c>
      <c r="N36" s="3173" t="s">
        <v>4280</v>
      </c>
      <c r="O36" s="3544"/>
      <c r="Y36" s="3173">
        <v>35</v>
      </c>
      <c r="Z36" s="3173" t="s">
        <v>4282</v>
      </c>
      <c r="AA36" s="3173"/>
      <c r="AB36" s="3173"/>
      <c r="AC36" s="3173" t="s">
        <v>4274</v>
      </c>
      <c r="AD36" s="3173" t="s">
        <v>4396</v>
      </c>
      <c r="AE36" s="3173">
        <v>42.72</v>
      </c>
      <c r="AF36" s="3173" t="s">
        <v>4296</v>
      </c>
      <c r="AG36" s="3173" t="s">
        <v>4282</v>
      </c>
      <c r="AH36" s="3174">
        <v>45276</v>
      </c>
      <c r="AI36" s="3173" t="s">
        <v>4279</v>
      </c>
      <c r="AJ36" s="3173" t="s">
        <v>4297</v>
      </c>
      <c r="AK36" s="3173" t="s">
        <v>4279</v>
      </c>
      <c r="AL36" s="3173" t="s">
        <v>4280</v>
      </c>
      <c r="AS36" s="3173">
        <v>35</v>
      </c>
      <c r="AT36" s="3173">
        <v>20240070009</v>
      </c>
      <c r="AU36" s="3173"/>
      <c r="AV36" s="3173"/>
      <c r="AW36" s="3173" t="s">
        <v>4274</v>
      </c>
      <c r="AX36" s="3173" t="s">
        <v>4397</v>
      </c>
      <c r="AY36" s="3173">
        <v>39.32</v>
      </c>
      <c r="AZ36" s="3173" t="s">
        <v>4276</v>
      </c>
      <c r="BA36" s="3173"/>
      <c r="BB36" s="3174">
        <v>45364</v>
      </c>
      <c r="BC36" s="3173" t="s">
        <v>4277</v>
      </c>
      <c r="BD36" s="3173" t="s">
        <v>4284</v>
      </c>
      <c r="BE36" s="3173" t="s">
        <v>4279</v>
      </c>
      <c r="BF36" s="3173" t="s">
        <v>4280</v>
      </c>
    </row>
    <row r="37" spans="1:58" ht="54">
      <c r="A37" s="3173">
        <v>36</v>
      </c>
      <c r="B37" s="3173" t="s">
        <v>4273</v>
      </c>
      <c r="C37" s="3173"/>
      <c r="D37" s="3173"/>
      <c r="E37" s="3173" t="s">
        <v>4274</v>
      </c>
      <c r="F37" s="3173" t="s">
        <v>4398</v>
      </c>
      <c r="G37" s="3173">
        <v>50.34</v>
      </c>
      <c r="H37" s="3173" t="s">
        <v>4276</v>
      </c>
      <c r="I37" s="3173"/>
      <c r="J37" s="3174">
        <v>45276</v>
      </c>
      <c r="K37" s="3173" t="s">
        <v>4277</v>
      </c>
      <c r="L37" s="3173" t="s">
        <v>4278</v>
      </c>
      <c r="M37" s="3173" t="s">
        <v>4279</v>
      </c>
      <c r="N37" s="3173" t="s">
        <v>4280</v>
      </c>
      <c r="O37" s="3544"/>
      <c r="P37" s="3175" t="s">
        <v>4318</v>
      </c>
      <c r="Y37" s="3173">
        <v>36</v>
      </c>
      <c r="Z37" s="3173" t="s">
        <v>4282</v>
      </c>
      <c r="AA37" s="3173"/>
      <c r="AB37" s="3173"/>
      <c r="AC37" s="3173" t="s">
        <v>4274</v>
      </c>
      <c r="AD37" s="3173" t="s">
        <v>4399</v>
      </c>
      <c r="AE37" s="3173">
        <v>44.57</v>
      </c>
      <c r="AF37" s="3173" t="s">
        <v>4296</v>
      </c>
      <c r="AG37" s="3173" t="s">
        <v>4282</v>
      </c>
      <c r="AH37" s="3174">
        <v>45276</v>
      </c>
      <c r="AI37" s="3173" t="s">
        <v>4277</v>
      </c>
      <c r="AJ37" s="3173" t="s">
        <v>4297</v>
      </c>
      <c r="AK37" s="3173" t="s">
        <v>4279</v>
      </c>
      <c r="AL37" s="3173" t="s">
        <v>4280</v>
      </c>
      <c r="AS37" s="3173">
        <v>36</v>
      </c>
      <c r="AT37" s="3173">
        <v>20240070009</v>
      </c>
      <c r="AU37" s="3173"/>
      <c r="AV37" s="3173"/>
      <c r="AW37" s="3173" t="s">
        <v>4274</v>
      </c>
      <c r="AX37" s="3173" t="s">
        <v>4400</v>
      </c>
      <c r="AY37" s="3173">
        <v>39.32</v>
      </c>
      <c r="AZ37" s="3173" t="s">
        <v>4276</v>
      </c>
      <c r="BA37" s="3173"/>
      <c r="BB37" s="3174">
        <v>45364</v>
      </c>
      <c r="BC37" s="3173" t="s">
        <v>4277</v>
      </c>
      <c r="BD37" s="3173" t="s">
        <v>4284</v>
      </c>
      <c r="BE37" s="3173" t="s">
        <v>4279</v>
      </c>
      <c r="BF37" s="3173" t="s">
        <v>4280</v>
      </c>
    </row>
    <row r="38" spans="1:58" ht="54">
      <c r="A38" s="3173">
        <v>37</v>
      </c>
      <c r="B38" s="3173" t="s">
        <v>4273</v>
      </c>
      <c r="C38" s="3173"/>
      <c r="D38" s="3173"/>
      <c r="E38" s="3173" t="s">
        <v>4274</v>
      </c>
      <c r="F38" s="3173" t="s">
        <v>4401</v>
      </c>
      <c r="G38" s="3173">
        <v>50.34</v>
      </c>
      <c r="H38" s="3173" t="s">
        <v>4276</v>
      </c>
      <c r="I38" s="3173"/>
      <c r="J38" s="3174">
        <v>45276</v>
      </c>
      <c r="K38" s="3173" t="s">
        <v>4277</v>
      </c>
      <c r="L38" s="3173" t="s">
        <v>4278</v>
      </c>
      <c r="M38" s="3173" t="s">
        <v>4279</v>
      </c>
      <c r="N38" s="3173" t="s">
        <v>4280</v>
      </c>
      <c r="O38" s="3544"/>
      <c r="P38" s="3175" t="s">
        <v>4319</v>
      </c>
      <c r="Q38" s="3179">
        <f>COUNTIF($AZ$2:$AZ$224,P38)</f>
        <v>1</v>
      </c>
      <c r="R38" s="3179">
        <f>SUMIF($AZ$2:$AZ$224,P38,$AY$2:$AY$224)</f>
        <v>85</v>
      </c>
      <c r="S38" s="3179">
        <f ca="1">'结果表-仓储'!G20</f>
        <v>2548</v>
      </c>
      <c r="T38" s="3179"/>
      <c r="Y38" s="3173">
        <v>37</v>
      </c>
      <c r="Z38" s="3173" t="s">
        <v>4282</v>
      </c>
      <c r="AA38" s="3173"/>
      <c r="AB38" s="3173"/>
      <c r="AC38" s="3173" t="s">
        <v>4274</v>
      </c>
      <c r="AD38" s="3173" t="s">
        <v>4402</v>
      </c>
      <c r="AE38" s="3173">
        <v>44.67</v>
      </c>
      <c r="AF38" s="3173" t="s">
        <v>4296</v>
      </c>
      <c r="AG38" s="3173" t="s">
        <v>4282</v>
      </c>
      <c r="AH38" s="3174">
        <v>45276</v>
      </c>
      <c r="AI38" s="3173" t="s">
        <v>4277</v>
      </c>
      <c r="AJ38" s="3173" t="s">
        <v>4297</v>
      </c>
      <c r="AK38" s="3173" t="s">
        <v>4279</v>
      </c>
      <c r="AL38" s="3173" t="s">
        <v>4280</v>
      </c>
      <c r="AS38" s="3173">
        <v>37</v>
      </c>
      <c r="AT38" s="3173">
        <v>20240070009</v>
      </c>
      <c r="AU38" s="3173"/>
      <c r="AV38" s="3173"/>
      <c r="AW38" s="3173" t="s">
        <v>4274</v>
      </c>
      <c r="AX38" s="3173" t="s">
        <v>4403</v>
      </c>
      <c r="AY38" s="3173">
        <v>39.32</v>
      </c>
      <c r="AZ38" s="3173" t="s">
        <v>4276</v>
      </c>
      <c r="BA38" s="3173"/>
      <c r="BB38" s="3174">
        <v>45364</v>
      </c>
      <c r="BC38" s="3173" t="s">
        <v>4277</v>
      </c>
      <c r="BD38" s="3173" t="s">
        <v>4284</v>
      </c>
      <c r="BE38" s="3173" t="s">
        <v>4279</v>
      </c>
      <c r="BF38" s="3173" t="s">
        <v>4280</v>
      </c>
    </row>
    <row r="39" spans="1:58" ht="54">
      <c r="A39" s="3173">
        <v>38</v>
      </c>
      <c r="B39" s="3173" t="s">
        <v>4273</v>
      </c>
      <c r="C39" s="3173"/>
      <c r="D39" s="3173"/>
      <c r="E39" s="3173" t="s">
        <v>4274</v>
      </c>
      <c r="F39" s="3173" t="s">
        <v>4404</v>
      </c>
      <c r="G39" s="3173">
        <v>50.34</v>
      </c>
      <c r="H39" s="3173" t="s">
        <v>4276</v>
      </c>
      <c r="I39" s="3173"/>
      <c r="J39" s="3174">
        <v>45276</v>
      </c>
      <c r="K39" s="3173" t="s">
        <v>4277</v>
      </c>
      <c r="L39" s="3173" t="s">
        <v>4278</v>
      </c>
      <c r="M39" s="3173" t="s">
        <v>4279</v>
      </c>
      <c r="N39" s="3173" t="s">
        <v>4280</v>
      </c>
      <c r="O39" s="3544"/>
      <c r="P39" s="3181"/>
      <c r="Q39" s="3182"/>
      <c r="R39" s="3574">
        <f ca="1">S38*R38</f>
        <v>216580</v>
      </c>
      <c r="S39" s="3182"/>
      <c r="T39" s="3182"/>
      <c r="Y39" s="3173">
        <v>38</v>
      </c>
      <c r="Z39" s="3173" t="s">
        <v>4282</v>
      </c>
      <c r="AA39" s="3173"/>
      <c r="AB39" s="3173"/>
      <c r="AC39" s="3173" t="s">
        <v>4274</v>
      </c>
      <c r="AD39" s="3173" t="s">
        <v>4405</v>
      </c>
      <c r="AE39" s="3173">
        <v>42.72</v>
      </c>
      <c r="AF39" s="3173" t="s">
        <v>4296</v>
      </c>
      <c r="AG39" s="3173" t="s">
        <v>4282</v>
      </c>
      <c r="AH39" s="3174">
        <v>45276</v>
      </c>
      <c r="AI39" s="3173" t="s">
        <v>4279</v>
      </c>
      <c r="AJ39" s="3173" t="s">
        <v>4297</v>
      </c>
      <c r="AK39" s="3173" t="s">
        <v>4279</v>
      </c>
      <c r="AL39" s="3173" t="s">
        <v>4280</v>
      </c>
      <c r="AS39" s="3173">
        <v>38</v>
      </c>
      <c r="AT39" s="3173">
        <v>20240070009</v>
      </c>
      <c r="AU39" s="3173"/>
      <c r="AV39" s="3173"/>
      <c r="AW39" s="3173" t="s">
        <v>4274</v>
      </c>
      <c r="AX39" s="3173" t="s">
        <v>4406</v>
      </c>
      <c r="AY39" s="3173">
        <v>39.32</v>
      </c>
      <c r="AZ39" s="3173" t="s">
        <v>4276</v>
      </c>
      <c r="BA39" s="3173"/>
      <c r="BB39" s="3174">
        <v>45364</v>
      </c>
      <c r="BC39" s="3173" t="s">
        <v>4277</v>
      </c>
      <c r="BD39" s="3173" t="s">
        <v>4284</v>
      </c>
      <c r="BE39" s="3173" t="s">
        <v>4279</v>
      </c>
      <c r="BF39" s="3173" t="s">
        <v>4280</v>
      </c>
    </row>
    <row r="40" spans="1:58" ht="54">
      <c r="A40" s="3173">
        <v>39</v>
      </c>
      <c r="B40" s="3173" t="s">
        <v>4273</v>
      </c>
      <c r="C40" s="3173"/>
      <c r="D40" s="3173"/>
      <c r="E40" s="3173" t="s">
        <v>4274</v>
      </c>
      <c r="F40" s="3173" t="s">
        <v>4407</v>
      </c>
      <c r="G40" s="3173">
        <v>50.34</v>
      </c>
      <c r="H40" s="3173" t="s">
        <v>4276</v>
      </c>
      <c r="I40" s="3173"/>
      <c r="J40" s="3174">
        <v>45276</v>
      </c>
      <c r="K40" s="3173" t="s">
        <v>4277</v>
      </c>
      <c r="L40" s="3173" t="s">
        <v>4278</v>
      </c>
      <c r="M40" s="3173" t="s">
        <v>4279</v>
      </c>
      <c r="N40" s="3173" t="s">
        <v>4280</v>
      </c>
      <c r="O40" s="3544"/>
      <c r="P40" s="3180" t="s">
        <v>4291</v>
      </c>
      <c r="Q40" s="3179">
        <f t="shared" ref="Q39:Q40" si="11">COUNTIF($AZ$2:$AZ$224,P40)</f>
        <v>98</v>
      </c>
      <c r="R40" s="3179">
        <f t="shared" ref="R39:R40" si="12">SUMIF($AZ$2:$AZ$224,P40,$AY$2:$AY$224)</f>
        <v>3851.7200000000062</v>
      </c>
      <c r="S40" s="3179">
        <f ca="1">S27</f>
        <v>3341</v>
      </c>
      <c r="T40" s="3179"/>
      <c r="Y40" s="3173">
        <v>39</v>
      </c>
      <c r="Z40" s="3173" t="s">
        <v>4282</v>
      </c>
      <c r="AA40" s="3173"/>
      <c r="AB40" s="3173"/>
      <c r="AC40" s="3173" t="s">
        <v>4274</v>
      </c>
      <c r="AD40" s="3173" t="s">
        <v>4408</v>
      </c>
      <c r="AE40" s="3173">
        <v>42.72</v>
      </c>
      <c r="AF40" s="3173" t="s">
        <v>4296</v>
      </c>
      <c r="AG40" s="3173" t="s">
        <v>4282</v>
      </c>
      <c r="AH40" s="3174">
        <v>45276</v>
      </c>
      <c r="AI40" s="3173" t="s">
        <v>4277</v>
      </c>
      <c r="AJ40" s="3173" t="s">
        <v>4288</v>
      </c>
      <c r="AK40" s="3173" t="s">
        <v>4279</v>
      </c>
      <c r="AL40" s="3173" t="s">
        <v>4280</v>
      </c>
      <c r="AS40" s="3173">
        <v>39</v>
      </c>
      <c r="AT40" s="3173">
        <v>20240070009</v>
      </c>
      <c r="AU40" s="3173"/>
      <c r="AV40" s="3173"/>
      <c r="AW40" s="3173" t="s">
        <v>4274</v>
      </c>
      <c r="AX40" s="3173" t="s">
        <v>4409</v>
      </c>
      <c r="AY40" s="3173">
        <v>39.32</v>
      </c>
      <c r="AZ40" s="3173" t="s">
        <v>4276</v>
      </c>
      <c r="BA40" s="3173"/>
      <c r="BB40" s="3174">
        <v>45364</v>
      </c>
      <c r="BC40" s="3173" t="s">
        <v>4277</v>
      </c>
      <c r="BD40" s="3173" t="s">
        <v>4284</v>
      </c>
      <c r="BE40" s="3173" t="s">
        <v>4279</v>
      </c>
      <c r="BF40" s="3173" t="s">
        <v>4280</v>
      </c>
    </row>
    <row r="41" spans="1:58" ht="54">
      <c r="A41" s="3173">
        <v>40</v>
      </c>
      <c r="B41" s="3173" t="s">
        <v>4273</v>
      </c>
      <c r="C41" s="3173"/>
      <c r="D41" s="3173"/>
      <c r="E41" s="3173" t="s">
        <v>4274</v>
      </c>
      <c r="F41" s="3173" t="s">
        <v>4410</v>
      </c>
      <c r="G41" s="3173">
        <v>50.34</v>
      </c>
      <c r="H41" s="3173" t="s">
        <v>4276</v>
      </c>
      <c r="I41" s="3173"/>
      <c r="J41" s="3174">
        <v>45276</v>
      </c>
      <c r="K41" s="3173" t="s">
        <v>4277</v>
      </c>
      <c r="L41" s="3173" t="s">
        <v>4278</v>
      </c>
      <c r="M41" s="3173" t="s">
        <v>4279</v>
      </c>
      <c r="N41" s="3173" t="s">
        <v>4280</v>
      </c>
      <c r="O41" s="3544"/>
      <c r="R41" s="3573">
        <f ca="1">S40*R40</f>
        <v>12868596.52000002</v>
      </c>
      <c r="Y41" s="3173">
        <v>40</v>
      </c>
      <c r="Z41" s="3173" t="s">
        <v>4282</v>
      </c>
      <c r="AA41" s="3173"/>
      <c r="AB41" s="3173"/>
      <c r="AC41" s="3173" t="s">
        <v>4274</v>
      </c>
      <c r="AD41" s="3173" t="s">
        <v>4411</v>
      </c>
      <c r="AE41" s="3173">
        <v>44.67</v>
      </c>
      <c r="AF41" s="3173" t="s">
        <v>4296</v>
      </c>
      <c r="AG41" s="3173" t="s">
        <v>4282</v>
      </c>
      <c r="AH41" s="3174">
        <v>45276</v>
      </c>
      <c r="AI41" s="3173" t="s">
        <v>4277</v>
      </c>
      <c r="AJ41" s="3173" t="s">
        <v>4288</v>
      </c>
      <c r="AK41" s="3173" t="s">
        <v>4279</v>
      </c>
      <c r="AL41" s="3173" t="s">
        <v>4280</v>
      </c>
      <c r="AS41" s="3173">
        <v>40</v>
      </c>
      <c r="AT41" s="3173">
        <v>20240070009</v>
      </c>
      <c r="AU41" s="3173"/>
      <c r="AV41" s="3173"/>
      <c r="AW41" s="3173" t="s">
        <v>4274</v>
      </c>
      <c r="AX41" s="3173" t="s">
        <v>4412</v>
      </c>
      <c r="AY41" s="3173">
        <v>39.32</v>
      </c>
      <c r="AZ41" s="3173" t="s">
        <v>4276</v>
      </c>
      <c r="BA41" s="3173"/>
      <c r="BB41" s="3174">
        <v>45364</v>
      </c>
      <c r="BC41" s="3173" t="s">
        <v>4277</v>
      </c>
      <c r="BD41" s="3173" t="s">
        <v>4284</v>
      </c>
      <c r="BE41" s="3173" t="s">
        <v>4279</v>
      </c>
      <c r="BF41" s="3173" t="s">
        <v>4280</v>
      </c>
    </row>
    <row r="42" spans="1:58" ht="54">
      <c r="A42" s="3173">
        <v>41</v>
      </c>
      <c r="B42" s="3173" t="s">
        <v>4273</v>
      </c>
      <c r="C42" s="3173"/>
      <c r="D42" s="3173"/>
      <c r="E42" s="3173" t="s">
        <v>4274</v>
      </c>
      <c r="F42" s="3173" t="s">
        <v>4413</v>
      </c>
      <c r="G42" s="3173">
        <v>50.34</v>
      </c>
      <c r="H42" s="3173" t="s">
        <v>4276</v>
      </c>
      <c r="I42" s="3173"/>
      <c r="J42" s="3174">
        <v>45276</v>
      </c>
      <c r="K42" s="3173" t="s">
        <v>4277</v>
      </c>
      <c r="L42" s="3173" t="s">
        <v>4278</v>
      </c>
      <c r="M42" s="3173" t="s">
        <v>4279</v>
      </c>
      <c r="N42" s="3173" t="s">
        <v>4280</v>
      </c>
      <c r="O42" s="3544"/>
      <c r="R42" s="3172" t="s">
        <v>4924</v>
      </c>
      <c r="S42" s="3172" t="s">
        <v>4925</v>
      </c>
      <c r="T42" s="3172" t="s">
        <v>4926</v>
      </c>
      <c r="Y42" s="3173">
        <v>41</v>
      </c>
      <c r="Z42" s="3173" t="s">
        <v>4282</v>
      </c>
      <c r="AA42" s="3173"/>
      <c r="AB42" s="3173"/>
      <c r="AC42" s="3173" t="s">
        <v>4274</v>
      </c>
      <c r="AD42" s="3173" t="s">
        <v>4414</v>
      </c>
      <c r="AE42" s="3173">
        <v>44.57</v>
      </c>
      <c r="AF42" s="3173" t="s">
        <v>4296</v>
      </c>
      <c r="AG42" s="3173" t="s">
        <v>4282</v>
      </c>
      <c r="AH42" s="3174">
        <v>45276</v>
      </c>
      <c r="AI42" s="3173" t="s">
        <v>4277</v>
      </c>
      <c r="AJ42" s="3173" t="s">
        <v>4288</v>
      </c>
      <c r="AK42" s="3173" t="s">
        <v>4279</v>
      </c>
      <c r="AL42" s="3173" t="s">
        <v>4280</v>
      </c>
      <c r="AS42" s="3173">
        <v>41</v>
      </c>
      <c r="AT42" s="3173">
        <v>20240070009</v>
      </c>
      <c r="AU42" s="3173"/>
      <c r="AV42" s="3173"/>
      <c r="AW42" s="3173" t="s">
        <v>4274</v>
      </c>
      <c r="AX42" s="3173" t="s">
        <v>4415</v>
      </c>
      <c r="AY42" s="3173">
        <v>39.32</v>
      </c>
      <c r="AZ42" s="3173" t="s">
        <v>4276</v>
      </c>
      <c r="BA42" s="3173"/>
      <c r="BB42" s="3174">
        <v>45364</v>
      </c>
      <c r="BC42" s="3173" t="s">
        <v>4277</v>
      </c>
      <c r="BD42" s="3173" t="s">
        <v>4284</v>
      </c>
      <c r="BE42" s="3173" t="s">
        <v>4279</v>
      </c>
      <c r="BF42" s="3173" t="s">
        <v>4280</v>
      </c>
    </row>
    <row r="43" spans="1:58" ht="54">
      <c r="A43" s="3173">
        <v>42</v>
      </c>
      <c r="B43" s="3173" t="s">
        <v>4273</v>
      </c>
      <c r="C43" s="3173"/>
      <c r="D43" s="3173"/>
      <c r="E43" s="3173" t="s">
        <v>4274</v>
      </c>
      <c r="F43" s="3173" t="s">
        <v>4416</v>
      </c>
      <c r="G43" s="3173">
        <v>50.34</v>
      </c>
      <c r="H43" s="3173" t="s">
        <v>4276</v>
      </c>
      <c r="I43" s="3173"/>
      <c r="J43" s="3174">
        <v>45276</v>
      </c>
      <c r="K43" s="3173" t="s">
        <v>4277</v>
      </c>
      <c r="L43" s="3173" t="s">
        <v>4278</v>
      </c>
      <c r="M43" s="3173" t="s">
        <v>4279</v>
      </c>
      <c r="N43" s="3173" t="s">
        <v>4280</v>
      </c>
      <c r="O43" s="3544"/>
      <c r="Q43" s="3172" t="s">
        <v>4920</v>
      </c>
      <c r="R43" s="3576">
        <f ca="1">R26+R33</f>
        <v>21854010.149999999</v>
      </c>
      <c r="S43" s="3577">
        <f>R24+R31</f>
        <v>2007.2000000000005</v>
      </c>
      <c r="T43" s="3577">
        <f ca="1">R43/S43</f>
        <v>10887.808962734154</v>
      </c>
      <c r="Y43" s="3173">
        <v>42</v>
      </c>
      <c r="Z43" s="3173" t="s">
        <v>4282</v>
      </c>
      <c r="AA43" s="3173"/>
      <c r="AB43" s="3173"/>
      <c r="AC43" s="3173" t="s">
        <v>4274</v>
      </c>
      <c r="AD43" s="3173" t="s">
        <v>4417</v>
      </c>
      <c r="AE43" s="3173">
        <v>42.72</v>
      </c>
      <c r="AF43" s="3173" t="s">
        <v>4296</v>
      </c>
      <c r="AG43" s="3173" t="s">
        <v>4282</v>
      </c>
      <c r="AH43" s="3174">
        <v>45276</v>
      </c>
      <c r="AI43" s="3173" t="s">
        <v>4279</v>
      </c>
      <c r="AJ43" s="3173" t="s">
        <v>4297</v>
      </c>
      <c r="AK43" s="3173" t="s">
        <v>4279</v>
      </c>
      <c r="AL43" s="3173" t="s">
        <v>4280</v>
      </c>
      <c r="AS43" s="3173">
        <v>42</v>
      </c>
      <c r="AT43" s="3173">
        <v>20240070009</v>
      </c>
      <c r="AU43" s="3173"/>
      <c r="AV43" s="3173"/>
      <c r="AW43" s="3173" t="s">
        <v>4274</v>
      </c>
      <c r="AX43" s="3173" t="s">
        <v>4418</v>
      </c>
      <c r="AY43" s="3173">
        <v>39.32</v>
      </c>
      <c r="AZ43" s="3173" t="s">
        <v>4276</v>
      </c>
      <c r="BA43" s="3173"/>
      <c r="BB43" s="3174">
        <v>45364</v>
      </c>
      <c r="BC43" s="3173" t="s">
        <v>4277</v>
      </c>
      <c r="BD43" s="3173" t="s">
        <v>4284</v>
      </c>
      <c r="BE43" s="3173" t="s">
        <v>4279</v>
      </c>
      <c r="BF43" s="3173" t="s">
        <v>4280</v>
      </c>
    </row>
    <row r="44" spans="1:58" ht="54">
      <c r="A44" s="3173">
        <v>43</v>
      </c>
      <c r="B44" s="3173" t="s">
        <v>4273</v>
      </c>
      <c r="C44" s="3173"/>
      <c r="D44" s="3173"/>
      <c r="E44" s="3173" t="s">
        <v>4274</v>
      </c>
      <c r="F44" s="3173" t="s">
        <v>4419</v>
      </c>
      <c r="G44" s="3173">
        <v>50.34</v>
      </c>
      <c r="H44" s="3173" t="s">
        <v>4276</v>
      </c>
      <c r="I44" s="3173"/>
      <c r="J44" s="3174">
        <v>45276</v>
      </c>
      <c r="K44" s="3173" t="s">
        <v>4277</v>
      </c>
      <c r="L44" s="3173" t="s">
        <v>4278</v>
      </c>
      <c r="M44" s="3173" t="s">
        <v>4279</v>
      </c>
      <c r="N44" s="3173" t="s">
        <v>4280</v>
      </c>
      <c r="O44" s="3544"/>
      <c r="Q44" s="3172" t="s">
        <v>4921</v>
      </c>
      <c r="R44" s="3578">
        <f ca="1">R35</f>
        <v>21940358.769999988</v>
      </c>
      <c r="S44" s="3577">
        <f>R34</f>
        <v>3082.8099999999981</v>
      </c>
      <c r="T44" s="3577">
        <f t="shared" ref="T44:T46" ca="1" si="13">R44/S44</f>
        <v>7117.0000000000009</v>
      </c>
      <c r="Y44" s="3173">
        <v>43</v>
      </c>
      <c r="Z44" s="3173" t="s">
        <v>4282</v>
      </c>
      <c r="AA44" s="3173"/>
      <c r="AB44" s="3173"/>
      <c r="AC44" s="3173" t="s">
        <v>4274</v>
      </c>
      <c r="AD44" s="3173" t="s">
        <v>4420</v>
      </c>
      <c r="AE44" s="3173">
        <v>42.72</v>
      </c>
      <c r="AF44" s="3173" t="s">
        <v>4296</v>
      </c>
      <c r="AG44" s="3173" t="s">
        <v>4282</v>
      </c>
      <c r="AH44" s="3174">
        <v>45276</v>
      </c>
      <c r="AI44" s="3173" t="s">
        <v>4279</v>
      </c>
      <c r="AJ44" s="3173" t="s">
        <v>4297</v>
      </c>
      <c r="AK44" s="3173" t="s">
        <v>4279</v>
      </c>
      <c r="AL44" s="3173" t="s">
        <v>4280</v>
      </c>
      <c r="AS44" s="3173">
        <v>43</v>
      </c>
      <c r="AT44" s="3173">
        <v>20240070009</v>
      </c>
      <c r="AU44" s="3173"/>
      <c r="AV44" s="3173"/>
      <c r="AW44" s="3173" t="s">
        <v>4274</v>
      </c>
      <c r="AX44" s="3173" t="s">
        <v>4421</v>
      </c>
      <c r="AY44" s="3173">
        <v>39.32</v>
      </c>
      <c r="AZ44" s="3173" t="s">
        <v>4276</v>
      </c>
      <c r="BA44" s="3173"/>
      <c r="BB44" s="3174">
        <v>45364</v>
      </c>
      <c r="BC44" s="3173" t="s">
        <v>4277</v>
      </c>
      <c r="BD44" s="3173" t="s">
        <v>4284</v>
      </c>
      <c r="BE44" s="3173" t="s">
        <v>4279</v>
      </c>
      <c r="BF44" s="3173" t="s">
        <v>4280</v>
      </c>
    </row>
    <row r="45" spans="1:58" ht="54">
      <c r="A45" s="3173">
        <v>44</v>
      </c>
      <c r="B45" s="3173" t="s">
        <v>4273</v>
      </c>
      <c r="C45" s="3173"/>
      <c r="D45" s="3173"/>
      <c r="E45" s="3173" t="s">
        <v>4274</v>
      </c>
      <c r="F45" s="3173" t="s">
        <v>4422</v>
      </c>
      <c r="G45" s="3173">
        <v>50.34</v>
      </c>
      <c r="H45" s="3173" t="s">
        <v>4276</v>
      </c>
      <c r="I45" s="3173"/>
      <c r="J45" s="3174">
        <v>45276</v>
      </c>
      <c r="K45" s="3173" t="s">
        <v>4277</v>
      </c>
      <c r="L45" s="3173" t="s">
        <v>4278</v>
      </c>
      <c r="M45" s="3173" t="s">
        <v>4279</v>
      </c>
      <c r="N45" s="3173" t="s">
        <v>4280</v>
      </c>
      <c r="O45" s="3544"/>
      <c r="Q45" s="3172" t="s">
        <v>4922</v>
      </c>
      <c r="R45" s="3579">
        <f ca="1">R28+R41</f>
        <v>22273110.600000024</v>
      </c>
      <c r="S45" s="3577">
        <f>R27+R40</f>
        <v>6666.6000000000076</v>
      </c>
      <c r="T45" s="3577">
        <f t="shared" ca="1" si="13"/>
        <v>3340.9999999999995</v>
      </c>
      <c r="Y45" s="3173">
        <v>44</v>
      </c>
      <c r="Z45" s="3173" t="s">
        <v>4282</v>
      </c>
      <c r="AA45" s="3173"/>
      <c r="AB45" s="3173"/>
      <c r="AC45" s="3173" t="s">
        <v>4274</v>
      </c>
      <c r="AD45" s="3173" t="s">
        <v>4423</v>
      </c>
      <c r="AE45" s="3173">
        <v>42.72</v>
      </c>
      <c r="AF45" s="3173" t="s">
        <v>4296</v>
      </c>
      <c r="AG45" s="3173" t="s">
        <v>4282</v>
      </c>
      <c r="AH45" s="3174">
        <v>45276</v>
      </c>
      <c r="AI45" s="3173" t="s">
        <v>4279</v>
      </c>
      <c r="AJ45" s="3173" t="s">
        <v>4297</v>
      </c>
      <c r="AK45" s="3173" t="s">
        <v>4279</v>
      </c>
      <c r="AL45" s="3173" t="s">
        <v>4280</v>
      </c>
      <c r="AS45" s="3173">
        <v>44</v>
      </c>
      <c r="AT45" s="3173">
        <v>20240070009</v>
      </c>
      <c r="AU45" s="3173"/>
      <c r="AV45" s="3173"/>
      <c r="AW45" s="3173" t="s">
        <v>4274</v>
      </c>
      <c r="AX45" s="3173" t="s">
        <v>4424</v>
      </c>
      <c r="AY45" s="3173">
        <v>39.32</v>
      </c>
      <c r="AZ45" s="3173" t="s">
        <v>4276</v>
      </c>
      <c r="BA45" s="3173"/>
      <c r="BB45" s="3174">
        <v>45364</v>
      </c>
      <c r="BC45" s="3173" t="s">
        <v>4277</v>
      </c>
      <c r="BD45" s="3173" t="s">
        <v>4284</v>
      </c>
      <c r="BE45" s="3173" t="s">
        <v>4279</v>
      </c>
      <c r="BF45" s="3173" t="s">
        <v>4280</v>
      </c>
    </row>
    <row r="46" spans="1:58" ht="54">
      <c r="A46" s="3173">
        <v>45</v>
      </c>
      <c r="B46" s="3173" t="s">
        <v>4273</v>
      </c>
      <c r="C46" s="3173"/>
      <c r="D46" s="3173"/>
      <c r="E46" s="3173" t="s">
        <v>4274</v>
      </c>
      <c r="F46" s="3173" t="s">
        <v>4425</v>
      </c>
      <c r="G46" s="3173">
        <v>50.34</v>
      </c>
      <c r="H46" s="3173" t="s">
        <v>4276</v>
      </c>
      <c r="I46" s="3173"/>
      <c r="J46" s="3174">
        <v>45276</v>
      </c>
      <c r="K46" s="3173" t="s">
        <v>4277</v>
      </c>
      <c r="L46" s="3173" t="s">
        <v>4278</v>
      </c>
      <c r="M46" s="3173" t="s">
        <v>4279</v>
      </c>
      <c r="N46" s="3173" t="s">
        <v>4280</v>
      </c>
      <c r="O46" s="3544"/>
      <c r="Q46" s="3172" t="s">
        <v>4923</v>
      </c>
      <c r="R46" s="3580">
        <f ca="1">R39</f>
        <v>216580</v>
      </c>
      <c r="S46" s="3577">
        <f>R38</f>
        <v>85</v>
      </c>
      <c r="T46" s="3577">
        <f t="shared" ca="1" si="13"/>
        <v>2548</v>
      </c>
      <c r="Y46" s="3173">
        <v>45</v>
      </c>
      <c r="Z46" s="3173" t="s">
        <v>4282</v>
      </c>
      <c r="AA46" s="3173"/>
      <c r="AB46" s="3173"/>
      <c r="AC46" s="3173" t="s">
        <v>4274</v>
      </c>
      <c r="AD46" s="3173" t="s">
        <v>4426</v>
      </c>
      <c r="AE46" s="3173">
        <v>42.72</v>
      </c>
      <c r="AF46" s="3173" t="s">
        <v>4296</v>
      </c>
      <c r="AG46" s="3173" t="s">
        <v>4282</v>
      </c>
      <c r="AH46" s="3174">
        <v>45276</v>
      </c>
      <c r="AI46" s="3173" t="s">
        <v>4277</v>
      </c>
      <c r="AJ46" s="3173" t="s">
        <v>4297</v>
      </c>
      <c r="AK46" s="3173" t="s">
        <v>4279</v>
      </c>
      <c r="AL46" s="3173" t="s">
        <v>4280</v>
      </c>
      <c r="AS46" s="3173">
        <v>45</v>
      </c>
      <c r="AT46" s="3173">
        <v>20240070009</v>
      </c>
      <c r="AU46" s="3173"/>
      <c r="AV46" s="3173"/>
      <c r="AW46" s="3173" t="s">
        <v>4274</v>
      </c>
      <c r="AX46" s="3173" t="s">
        <v>4427</v>
      </c>
      <c r="AY46" s="3173">
        <v>39.32</v>
      </c>
      <c r="AZ46" s="3173" t="s">
        <v>4276</v>
      </c>
      <c r="BA46" s="3173"/>
      <c r="BB46" s="3174">
        <v>45364</v>
      </c>
      <c r="BC46" s="3173" t="s">
        <v>4277</v>
      </c>
      <c r="BD46" s="3173" t="s">
        <v>4284</v>
      </c>
      <c r="BE46" s="3173" t="s">
        <v>4279</v>
      </c>
      <c r="BF46" s="3173" t="s">
        <v>4280</v>
      </c>
    </row>
    <row r="47" spans="1:58" ht="54">
      <c r="A47" s="3173">
        <v>46</v>
      </c>
      <c r="B47" s="3173" t="s">
        <v>4273</v>
      </c>
      <c r="C47" s="3173"/>
      <c r="D47" s="3173"/>
      <c r="E47" s="3173" t="s">
        <v>4274</v>
      </c>
      <c r="F47" s="3173" t="s">
        <v>4428</v>
      </c>
      <c r="G47" s="3173">
        <v>50.34</v>
      </c>
      <c r="H47" s="3173" t="s">
        <v>4276</v>
      </c>
      <c r="I47" s="3173"/>
      <c r="J47" s="3174">
        <v>45276</v>
      </c>
      <c r="K47" s="3173" t="s">
        <v>4277</v>
      </c>
      <c r="L47" s="3173" t="s">
        <v>4278</v>
      </c>
      <c r="M47" s="3173" t="s">
        <v>4279</v>
      </c>
      <c r="N47" s="3173" t="s">
        <v>4280</v>
      </c>
      <c r="O47" s="3544"/>
      <c r="R47" s="3172">
        <f ca="1">SUM(R43:R46)</f>
        <v>66284059.520000011</v>
      </c>
      <c r="S47" s="3172">
        <f>SUM(S43:S46)</f>
        <v>11841.610000000006</v>
      </c>
      <c r="Y47" s="3173">
        <v>46</v>
      </c>
      <c r="Z47" s="3173" t="s">
        <v>4282</v>
      </c>
      <c r="AA47" s="3173"/>
      <c r="AB47" s="3173"/>
      <c r="AC47" s="3173" t="s">
        <v>4274</v>
      </c>
      <c r="AD47" s="3173" t="s">
        <v>4429</v>
      </c>
      <c r="AE47" s="3173">
        <v>44.57</v>
      </c>
      <c r="AF47" s="3173" t="s">
        <v>4296</v>
      </c>
      <c r="AG47" s="3173" t="s">
        <v>4282</v>
      </c>
      <c r="AH47" s="3174">
        <v>45276</v>
      </c>
      <c r="AI47" s="3173" t="s">
        <v>4279</v>
      </c>
      <c r="AJ47" s="3173" t="s">
        <v>4297</v>
      </c>
      <c r="AK47" s="3173" t="s">
        <v>4279</v>
      </c>
      <c r="AL47" s="3173" t="s">
        <v>4280</v>
      </c>
      <c r="AS47" s="3173">
        <v>46</v>
      </c>
      <c r="AT47" s="3173">
        <v>20240070009</v>
      </c>
      <c r="AU47" s="3173"/>
      <c r="AV47" s="3173"/>
      <c r="AW47" s="3173" t="s">
        <v>4274</v>
      </c>
      <c r="AX47" s="3173" t="s">
        <v>4430</v>
      </c>
      <c r="AY47" s="3173">
        <v>39.32</v>
      </c>
      <c r="AZ47" s="3173" t="s">
        <v>4276</v>
      </c>
      <c r="BA47" s="3173"/>
      <c r="BB47" s="3174">
        <v>45364</v>
      </c>
      <c r="BC47" s="3173" t="s">
        <v>4277</v>
      </c>
      <c r="BD47" s="3173" t="s">
        <v>4284</v>
      </c>
      <c r="BE47" s="3173" t="s">
        <v>4279</v>
      </c>
      <c r="BF47" s="3173" t="s">
        <v>4280</v>
      </c>
    </row>
    <row r="48" spans="1:58" ht="54">
      <c r="A48" s="3173">
        <v>47</v>
      </c>
      <c r="B48" s="3173" t="s">
        <v>4273</v>
      </c>
      <c r="C48" s="3173"/>
      <c r="D48" s="3173"/>
      <c r="E48" s="3173" t="s">
        <v>4274</v>
      </c>
      <c r="F48" s="3173" t="s">
        <v>4431</v>
      </c>
      <c r="G48" s="3173">
        <v>49.3</v>
      </c>
      <c r="H48" s="3173" t="s">
        <v>4276</v>
      </c>
      <c r="I48" s="3173"/>
      <c r="J48" s="3174">
        <v>45276</v>
      </c>
      <c r="K48" s="3173" t="s">
        <v>4277</v>
      </c>
      <c r="L48" s="3173" t="s">
        <v>4278</v>
      </c>
      <c r="M48" s="3173" t="s">
        <v>4279</v>
      </c>
      <c r="N48" s="3173" t="s">
        <v>4280</v>
      </c>
      <c r="O48" s="3544"/>
      <c r="Y48" s="3173">
        <v>47</v>
      </c>
      <c r="Z48" s="3173" t="s">
        <v>4282</v>
      </c>
      <c r="AA48" s="3173"/>
      <c r="AB48" s="3173"/>
      <c r="AC48" s="3173" t="s">
        <v>4274</v>
      </c>
      <c r="AD48" s="3173" t="s">
        <v>4432</v>
      </c>
      <c r="AE48" s="3173">
        <v>44.67</v>
      </c>
      <c r="AF48" s="3173" t="s">
        <v>4296</v>
      </c>
      <c r="AG48" s="3173" t="s">
        <v>4282</v>
      </c>
      <c r="AH48" s="3174">
        <v>45276</v>
      </c>
      <c r="AI48" s="3173" t="s">
        <v>4279</v>
      </c>
      <c r="AJ48" s="3173" t="s">
        <v>4297</v>
      </c>
      <c r="AK48" s="3173" t="s">
        <v>4279</v>
      </c>
      <c r="AL48" s="3173" t="s">
        <v>4280</v>
      </c>
      <c r="AS48" s="3173">
        <v>47</v>
      </c>
      <c r="AT48" s="3173">
        <v>20240070009</v>
      </c>
      <c r="AU48" s="3173"/>
      <c r="AV48" s="3173"/>
      <c r="AW48" s="3173" t="s">
        <v>4274</v>
      </c>
      <c r="AX48" s="3173" t="s">
        <v>4433</v>
      </c>
      <c r="AY48" s="3173">
        <v>39.32</v>
      </c>
      <c r="AZ48" s="3173" t="s">
        <v>4276</v>
      </c>
      <c r="BA48" s="3173"/>
      <c r="BB48" s="3174">
        <v>45364</v>
      </c>
      <c r="BC48" s="3173" t="s">
        <v>4277</v>
      </c>
      <c r="BD48" s="3173" t="s">
        <v>4284</v>
      </c>
      <c r="BE48" s="3173" t="s">
        <v>4279</v>
      </c>
      <c r="BF48" s="3173" t="s">
        <v>4280</v>
      </c>
    </row>
    <row r="49" spans="1:58" ht="54">
      <c r="A49" s="3173">
        <v>48</v>
      </c>
      <c r="B49" s="3173" t="s">
        <v>4273</v>
      </c>
      <c r="C49" s="3173"/>
      <c r="D49" s="3173"/>
      <c r="E49" s="3173" t="s">
        <v>4274</v>
      </c>
      <c r="F49" s="3173" t="s">
        <v>4434</v>
      </c>
      <c r="G49" s="3173">
        <v>50.34</v>
      </c>
      <c r="H49" s="3173" t="s">
        <v>4276</v>
      </c>
      <c r="I49" s="3173"/>
      <c r="J49" s="3174">
        <v>45276</v>
      </c>
      <c r="K49" s="3173" t="s">
        <v>4277</v>
      </c>
      <c r="L49" s="3173" t="s">
        <v>4278</v>
      </c>
      <c r="M49" s="3173" t="s">
        <v>4279</v>
      </c>
      <c r="N49" s="3173" t="s">
        <v>4280</v>
      </c>
      <c r="O49" s="3544"/>
      <c r="Y49" s="3173">
        <v>48</v>
      </c>
      <c r="Z49" s="3173" t="s">
        <v>4282</v>
      </c>
      <c r="AA49" s="3173"/>
      <c r="AB49" s="3173"/>
      <c r="AC49" s="3173" t="s">
        <v>4274</v>
      </c>
      <c r="AD49" s="3173" t="s">
        <v>4435</v>
      </c>
      <c r="AE49" s="3173">
        <v>42.72</v>
      </c>
      <c r="AF49" s="3173" t="s">
        <v>4296</v>
      </c>
      <c r="AG49" s="3173" t="s">
        <v>4282</v>
      </c>
      <c r="AH49" s="3174">
        <v>45276</v>
      </c>
      <c r="AI49" s="3173" t="s">
        <v>4277</v>
      </c>
      <c r="AJ49" s="3173" t="s">
        <v>4288</v>
      </c>
      <c r="AK49" s="3173" t="s">
        <v>4279</v>
      </c>
      <c r="AL49" s="3173" t="s">
        <v>4280</v>
      </c>
      <c r="AS49" s="3173">
        <v>48</v>
      </c>
      <c r="AT49" s="3173">
        <v>20240070009</v>
      </c>
      <c r="AU49" s="3173"/>
      <c r="AV49" s="3173"/>
      <c r="AW49" s="3173" t="s">
        <v>4274</v>
      </c>
      <c r="AX49" s="3173" t="s">
        <v>4436</v>
      </c>
      <c r="AY49" s="3173">
        <v>39.32</v>
      </c>
      <c r="AZ49" s="3173" t="s">
        <v>4276</v>
      </c>
      <c r="BA49" s="3173"/>
      <c r="BB49" s="3174">
        <v>45364</v>
      </c>
      <c r="BC49" s="3173" t="s">
        <v>4277</v>
      </c>
      <c r="BD49" s="3173" t="s">
        <v>4284</v>
      </c>
      <c r="BE49" s="3173" t="s">
        <v>4279</v>
      </c>
      <c r="BF49" s="3173" t="s">
        <v>4280</v>
      </c>
    </row>
    <row r="50" spans="1:58" ht="54">
      <c r="A50" s="3173">
        <v>49</v>
      </c>
      <c r="B50" s="3173" t="s">
        <v>4273</v>
      </c>
      <c r="C50" s="3173"/>
      <c r="D50" s="3173"/>
      <c r="E50" s="3173" t="s">
        <v>4274</v>
      </c>
      <c r="F50" s="3173" t="s">
        <v>4437</v>
      </c>
      <c r="G50" s="3173">
        <v>49.3</v>
      </c>
      <c r="H50" s="3173" t="s">
        <v>4276</v>
      </c>
      <c r="I50" s="3173"/>
      <c r="J50" s="3174">
        <v>45276</v>
      </c>
      <c r="K50" s="3173" t="s">
        <v>4277</v>
      </c>
      <c r="L50" s="3173" t="s">
        <v>4278</v>
      </c>
      <c r="M50" s="3173" t="s">
        <v>4279</v>
      </c>
      <c r="N50" s="3173" t="s">
        <v>4280</v>
      </c>
      <c r="O50" s="3544"/>
      <c r="Y50" s="3173">
        <v>49</v>
      </c>
      <c r="Z50" s="3173" t="s">
        <v>4282</v>
      </c>
      <c r="AA50" s="3173"/>
      <c r="AB50" s="3173"/>
      <c r="AC50" s="3173" t="s">
        <v>4274</v>
      </c>
      <c r="AD50" s="3173" t="s">
        <v>4438</v>
      </c>
      <c r="AE50" s="3173">
        <v>42.72</v>
      </c>
      <c r="AF50" s="3173" t="s">
        <v>4296</v>
      </c>
      <c r="AG50" s="3173" t="s">
        <v>4282</v>
      </c>
      <c r="AH50" s="3174">
        <v>45276</v>
      </c>
      <c r="AI50" s="3173" t="s">
        <v>4277</v>
      </c>
      <c r="AJ50" s="3173" t="s">
        <v>4288</v>
      </c>
      <c r="AK50" s="3173" t="s">
        <v>4279</v>
      </c>
      <c r="AL50" s="3173" t="s">
        <v>4280</v>
      </c>
      <c r="AS50" s="3173">
        <v>49</v>
      </c>
      <c r="AT50" s="3173">
        <v>20240070009</v>
      </c>
      <c r="AU50" s="3173"/>
      <c r="AV50" s="3173"/>
      <c r="AW50" s="3173" t="s">
        <v>4274</v>
      </c>
      <c r="AX50" s="3173" t="s">
        <v>4439</v>
      </c>
      <c r="AY50" s="3173">
        <v>39.32</v>
      </c>
      <c r="AZ50" s="3173" t="s">
        <v>4276</v>
      </c>
      <c r="BA50" s="3173"/>
      <c r="BB50" s="3174">
        <v>45364</v>
      </c>
      <c r="BC50" s="3173" t="s">
        <v>4277</v>
      </c>
      <c r="BD50" s="3173" t="s">
        <v>4284</v>
      </c>
      <c r="BE50" s="3173" t="s">
        <v>4279</v>
      </c>
      <c r="BF50" s="3173" t="s">
        <v>4280</v>
      </c>
    </row>
    <row r="51" spans="1:58" ht="54">
      <c r="A51" s="3173">
        <v>50</v>
      </c>
      <c r="B51" s="3173" t="s">
        <v>4273</v>
      </c>
      <c r="C51" s="3173"/>
      <c r="D51" s="3173"/>
      <c r="E51" s="3173" t="s">
        <v>4274</v>
      </c>
      <c r="F51" s="3173" t="s">
        <v>4440</v>
      </c>
      <c r="G51" s="3173">
        <v>50.34</v>
      </c>
      <c r="H51" s="3173" t="s">
        <v>4276</v>
      </c>
      <c r="I51" s="3173"/>
      <c r="J51" s="3174">
        <v>45276</v>
      </c>
      <c r="K51" s="3173" t="s">
        <v>4277</v>
      </c>
      <c r="L51" s="3173" t="s">
        <v>4278</v>
      </c>
      <c r="M51" s="3173" t="s">
        <v>4279</v>
      </c>
      <c r="N51" s="3173" t="s">
        <v>4280</v>
      </c>
      <c r="O51" s="3544"/>
      <c r="Y51" s="3173">
        <v>50</v>
      </c>
      <c r="Z51" s="3173" t="s">
        <v>4282</v>
      </c>
      <c r="AA51" s="3173"/>
      <c r="AB51" s="3173"/>
      <c r="AC51" s="3173" t="s">
        <v>4274</v>
      </c>
      <c r="AD51" s="3173" t="s">
        <v>4441</v>
      </c>
      <c r="AE51" s="3173">
        <v>42.72</v>
      </c>
      <c r="AF51" s="3173" t="s">
        <v>4296</v>
      </c>
      <c r="AG51" s="3173" t="s">
        <v>4282</v>
      </c>
      <c r="AH51" s="3174">
        <v>45276</v>
      </c>
      <c r="AI51" s="3173" t="s">
        <v>4279</v>
      </c>
      <c r="AJ51" s="3173" t="s">
        <v>4297</v>
      </c>
      <c r="AK51" s="3173" t="s">
        <v>4279</v>
      </c>
      <c r="AL51" s="3173" t="s">
        <v>4280</v>
      </c>
      <c r="AS51" s="3173">
        <v>50</v>
      </c>
      <c r="AT51" s="3173">
        <v>20240070009</v>
      </c>
      <c r="AU51" s="3173"/>
      <c r="AV51" s="3173"/>
      <c r="AW51" s="3173" t="s">
        <v>4274</v>
      </c>
      <c r="AX51" s="3173" t="s">
        <v>4442</v>
      </c>
      <c r="AY51" s="3173">
        <v>39.32</v>
      </c>
      <c r="AZ51" s="3173" t="s">
        <v>4276</v>
      </c>
      <c r="BA51" s="3173"/>
      <c r="BB51" s="3174">
        <v>45364</v>
      </c>
      <c r="BC51" s="3173" t="s">
        <v>4277</v>
      </c>
      <c r="BD51" s="3173" t="s">
        <v>4278</v>
      </c>
      <c r="BE51" s="3173" t="s">
        <v>4279</v>
      </c>
      <c r="BF51" s="3173" t="s">
        <v>4280</v>
      </c>
    </row>
    <row r="52" spans="1:58" ht="54">
      <c r="A52" s="3173">
        <v>51</v>
      </c>
      <c r="B52" s="3173" t="s">
        <v>4273</v>
      </c>
      <c r="C52" s="3173"/>
      <c r="D52" s="3173"/>
      <c r="E52" s="3173" t="s">
        <v>4274</v>
      </c>
      <c r="F52" s="3173" t="s">
        <v>4443</v>
      </c>
      <c r="G52" s="3173">
        <v>50.34</v>
      </c>
      <c r="H52" s="3173" t="s">
        <v>4276</v>
      </c>
      <c r="I52" s="3173"/>
      <c r="J52" s="3174">
        <v>45276</v>
      </c>
      <c r="K52" s="3173" t="s">
        <v>4277</v>
      </c>
      <c r="L52" s="3173" t="s">
        <v>4278</v>
      </c>
      <c r="M52" s="3173" t="s">
        <v>4279</v>
      </c>
      <c r="N52" s="3173" t="s">
        <v>4280</v>
      </c>
      <c r="O52" s="3544"/>
      <c r="Y52" s="3173">
        <v>51</v>
      </c>
      <c r="Z52" s="3173" t="s">
        <v>4282</v>
      </c>
      <c r="AA52" s="3173"/>
      <c r="AB52" s="3173"/>
      <c r="AC52" s="3173" t="s">
        <v>4274</v>
      </c>
      <c r="AD52" s="3173" t="s">
        <v>4444</v>
      </c>
      <c r="AE52" s="3173">
        <v>42.72</v>
      </c>
      <c r="AF52" s="3173" t="s">
        <v>4296</v>
      </c>
      <c r="AG52" s="3173" t="s">
        <v>4282</v>
      </c>
      <c r="AH52" s="3174">
        <v>45276</v>
      </c>
      <c r="AI52" s="3173" t="s">
        <v>4279</v>
      </c>
      <c r="AJ52" s="3173" t="s">
        <v>4297</v>
      </c>
      <c r="AK52" s="3173" t="s">
        <v>4279</v>
      </c>
      <c r="AL52" s="3173" t="s">
        <v>4280</v>
      </c>
      <c r="AS52" s="3173">
        <v>51</v>
      </c>
      <c r="AT52" s="3173">
        <v>20240070009</v>
      </c>
      <c r="AU52" s="3173"/>
      <c r="AV52" s="3173"/>
      <c r="AW52" s="3173" t="s">
        <v>4274</v>
      </c>
      <c r="AX52" s="3173" t="s">
        <v>4445</v>
      </c>
      <c r="AY52" s="3173">
        <v>39.32</v>
      </c>
      <c r="AZ52" s="3173" t="s">
        <v>4276</v>
      </c>
      <c r="BA52" s="3173"/>
      <c r="BB52" s="3174">
        <v>45364</v>
      </c>
      <c r="BC52" s="3173" t="s">
        <v>4277</v>
      </c>
      <c r="BD52" s="3173" t="s">
        <v>4278</v>
      </c>
      <c r="BE52" s="3173" t="s">
        <v>4279</v>
      </c>
      <c r="BF52" s="3173" t="s">
        <v>4280</v>
      </c>
    </row>
    <row r="53" spans="1:58" ht="54">
      <c r="A53" s="3173">
        <v>52</v>
      </c>
      <c r="B53" s="3173" t="s">
        <v>4273</v>
      </c>
      <c r="C53" s="3173"/>
      <c r="D53" s="3173"/>
      <c r="E53" s="3173" t="s">
        <v>4274</v>
      </c>
      <c r="F53" s="3173" t="s">
        <v>4446</v>
      </c>
      <c r="G53" s="3173">
        <v>50.34</v>
      </c>
      <c r="H53" s="3173" t="s">
        <v>4276</v>
      </c>
      <c r="I53" s="3173"/>
      <c r="J53" s="3174">
        <v>45276</v>
      </c>
      <c r="K53" s="3173" t="s">
        <v>4277</v>
      </c>
      <c r="L53" s="3173" t="s">
        <v>4278</v>
      </c>
      <c r="M53" s="3173" t="s">
        <v>4279</v>
      </c>
      <c r="N53" s="3173" t="s">
        <v>4280</v>
      </c>
      <c r="O53" s="3544"/>
      <c r="Y53" s="3173">
        <v>52</v>
      </c>
      <c r="Z53" s="3173" t="s">
        <v>4282</v>
      </c>
      <c r="AA53" s="3173"/>
      <c r="AB53" s="3173"/>
      <c r="AC53" s="3173" t="s">
        <v>4274</v>
      </c>
      <c r="AD53" s="3173" t="s">
        <v>4447</v>
      </c>
      <c r="AE53" s="3173">
        <v>42.72</v>
      </c>
      <c r="AF53" s="3173" t="s">
        <v>4296</v>
      </c>
      <c r="AG53" s="3173" t="s">
        <v>4282</v>
      </c>
      <c r="AH53" s="3174">
        <v>45276</v>
      </c>
      <c r="AI53" s="3173" t="s">
        <v>4279</v>
      </c>
      <c r="AJ53" s="3173" t="s">
        <v>4297</v>
      </c>
      <c r="AK53" s="3173" t="s">
        <v>4279</v>
      </c>
      <c r="AL53" s="3173" t="s">
        <v>4280</v>
      </c>
      <c r="AS53" s="3173">
        <v>52</v>
      </c>
      <c r="AT53" s="3173">
        <v>20240070009</v>
      </c>
      <c r="AU53" s="3173"/>
      <c r="AV53" s="3173"/>
      <c r="AW53" s="3173" t="s">
        <v>4274</v>
      </c>
      <c r="AX53" s="3173" t="s">
        <v>4448</v>
      </c>
      <c r="AY53" s="3173">
        <v>39.32</v>
      </c>
      <c r="AZ53" s="3173" t="s">
        <v>4276</v>
      </c>
      <c r="BA53" s="3173"/>
      <c r="BB53" s="3174">
        <v>45364</v>
      </c>
      <c r="BC53" s="3173" t="s">
        <v>4277</v>
      </c>
      <c r="BD53" s="3173" t="s">
        <v>4278</v>
      </c>
      <c r="BE53" s="3173" t="s">
        <v>4279</v>
      </c>
      <c r="BF53" s="3173" t="s">
        <v>4280</v>
      </c>
    </row>
    <row r="54" spans="1:58" ht="54">
      <c r="A54" s="3173">
        <v>53</v>
      </c>
      <c r="B54" s="3173" t="s">
        <v>4273</v>
      </c>
      <c r="C54" s="3173"/>
      <c r="D54" s="3173"/>
      <c r="E54" s="3173" t="s">
        <v>4274</v>
      </c>
      <c r="F54" s="3173" t="s">
        <v>4449</v>
      </c>
      <c r="G54" s="3173">
        <v>50.34</v>
      </c>
      <c r="H54" s="3173" t="s">
        <v>4276</v>
      </c>
      <c r="I54" s="3173"/>
      <c r="J54" s="3174">
        <v>45276</v>
      </c>
      <c r="K54" s="3173" t="s">
        <v>4277</v>
      </c>
      <c r="L54" s="3173" t="s">
        <v>4278</v>
      </c>
      <c r="M54" s="3173" t="s">
        <v>4279</v>
      </c>
      <c r="N54" s="3173" t="s">
        <v>4280</v>
      </c>
      <c r="O54" s="3544"/>
      <c r="Y54" s="3173">
        <v>53</v>
      </c>
      <c r="Z54" s="3173" t="s">
        <v>4282</v>
      </c>
      <c r="AA54" s="3173"/>
      <c r="AB54" s="3173"/>
      <c r="AC54" s="3173" t="s">
        <v>4274</v>
      </c>
      <c r="AD54" s="3173" t="s">
        <v>4450</v>
      </c>
      <c r="AE54" s="3173">
        <v>66.12</v>
      </c>
      <c r="AF54" s="3173" t="s">
        <v>4296</v>
      </c>
      <c r="AG54" s="3173" t="s">
        <v>4282</v>
      </c>
      <c r="AH54" s="3174">
        <v>45276</v>
      </c>
      <c r="AI54" s="3173" t="s">
        <v>4279</v>
      </c>
      <c r="AJ54" s="3173" t="s">
        <v>4297</v>
      </c>
      <c r="AK54" s="3173" t="s">
        <v>4279</v>
      </c>
      <c r="AL54" s="3173" t="s">
        <v>4280</v>
      </c>
      <c r="AS54" s="3173">
        <v>53</v>
      </c>
      <c r="AT54" s="3173">
        <v>20240070009</v>
      </c>
      <c r="AU54" s="3173"/>
      <c r="AV54" s="3173"/>
      <c r="AW54" s="3173" t="s">
        <v>4274</v>
      </c>
      <c r="AX54" s="3173" t="s">
        <v>4451</v>
      </c>
      <c r="AY54" s="3173">
        <v>39.32</v>
      </c>
      <c r="AZ54" s="3173" t="s">
        <v>4276</v>
      </c>
      <c r="BA54" s="3173"/>
      <c r="BB54" s="3174">
        <v>45364</v>
      </c>
      <c r="BC54" s="3173" t="s">
        <v>4277</v>
      </c>
      <c r="BD54" s="3173" t="s">
        <v>4284</v>
      </c>
      <c r="BE54" s="3173" t="s">
        <v>4279</v>
      </c>
      <c r="BF54" s="3173" t="s">
        <v>4280</v>
      </c>
    </row>
    <row r="55" spans="1:58" ht="54">
      <c r="A55" s="3173">
        <v>54</v>
      </c>
      <c r="B55" s="3173" t="s">
        <v>4273</v>
      </c>
      <c r="C55" s="3173"/>
      <c r="D55" s="3173"/>
      <c r="E55" s="3173" t="s">
        <v>4274</v>
      </c>
      <c r="F55" s="3173" t="s">
        <v>4452</v>
      </c>
      <c r="G55" s="3173">
        <v>50.34</v>
      </c>
      <c r="H55" s="3173" t="s">
        <v>4276</v>
      </c>
      <c r="I55" s="3173"/>
      <c r="J55" s="3174">
        <v>45276</v>
      </c>
      <c r="K55" s="3173" t="s">
        <v>4277</v>
      </c>
      <c r="L55" s="3173" t="s">
        <v>4278</v>
      </c>
      <c r="M55" s="3173" t="s">
        <v>4279</v>
      </c>
      <c r="N55" s="3173" t="s">
        <v>4280</v>
      </c>
      <c r="O55" s="3544"/>
      <c r="Y55" s="3173">
        <v>54</v>
      </c>
      <c r="Z55" s="3173" t="s">
        <v>4282</v>
      </c>
      <c r="AA55" s="3173"/>
      <c r="AB55" s="3173"/>
      <c r="AC55" s="3173" t="s">
        <v>4274</v>
      </c>
      <c r="AD55" s="3173" t="s">
        <v>4453</v>
      </c>
      <c r="AE55" s="3173">
        <v>44.67</v>
      </c>
      <c r="AF55" s="3173" t="s">
        <v>4296</v>
      </c>
      <c r="AG55" s="3173" t="s">
        <v>4282</v>
      </c>
      <c r="AH55" s="3174">
        <v>45276</v>
      </c>
      <c r="AI55" s="3173" t="s">
        <v>4279</v>
      </c>
      <c r="AJ55" s="3173" t="s">
        <v>4297</v>
      </c>
      <c r="AK55" s="3173" t="s">
        <v>4279</v>
      </c>
      <c r="AL55" s="3173" t="s">
        <v>4280</v>
      </c>
      <c r="AS55" s="3173">
        <v>54</v>
      </c>
      <c r="AT55" s="3173">
        <v>20240070009</v>
      </c>
      <c r="AU55" s="3173"/>
      <c r="AV55" s="3173"/>
      <c r="AW55" s="3173" t="s">
        <v>4274</v>
      </c>
      <c r="AX55" s="3173" t="s">
        <v>4454</v>
      </c>
      <c r="AY55" s="3173">
        <v>39.32</v>
      </c>
      <c r="AZ55" s="3173" t="s">
        <v>4276</v>
      </c>
      <c r="BA55" s="3173"/>
      <c r="BB55" s="3174">
        <v>45364</v>
      </c>
      <c r="BC55" s="3173" t="s">
        <v>4277</v>
      </c>
      <c r="BD55" s="3173" t="s">
        <v>4284</v>
      </c>
      <c r="BE55" s="3173" t="s">
        <v>4279</v>
      </c>
      <c r="BF55" s="3173" t="s">
        <v>4280</v>
      </c>
    </row>
    <row r="56" spans="1:58" ht="54">
      <c r="A56" s="3173">
        <v>55</v>
      </c>
      <c r="B56" s="3173" t="s">
        <v>4273</v>
      </c>
      <c r="C56" s="3173"/>
      <c r="D56" s="3173"/>
      <c r="E56" s="3173" t="s">
        <v>4274</v>
      </c>
      <c r="F56" s="3173" t="s">
        <v>4455</v>
      </c>
      <c r="G56" s="3173">
        <v>50.34</v>
      </c>
      <c r="H56" s="3173" t="s">
        <v>4276</v>
      </c>
      <c r="I56" s="3173"/>
      <c r="J56" s="3174">
        <v>45276</v>
      </c>
      <c r="K56" s="3173" t="s">
        <v>4277</v>
      </c>
      <c r="L56" s="3173" t="s">
        <v>4278</v>
      </c>
      <c r="M56" s="3173" t="s">
        <v>4279</v>
      </c>
      <c r="N56" s="3173" t="s">
        <v>4280</v>
      </c>
      <c r="O56" s="3544"/>
      <c r="Y56" s="3173">
        <v>55</v>
      </c>
      <c r="Z56" s="3173" t="s">
        <v>4282</v>
      </c>
      <c r="AA56" s="3173"/>
      <c r="AB56" s="3173"/>
      <c r="AC56" s="3173" t="s">
        <v>4274</v>
      </c>
      <c r="AD56" s="3173" t="s">
        <v>4456</v>
      </c>
      <c r="AE56" s="3173">
        <v>44.57</v>
      </c>
      <c r="AF56" s="3173" t="s">
        <v>4296</v>
      </c>
      <c r="AG56" s="3173" t="s">
        <v>4282</v>
      </c>
      <c r="AH56" s="3174">
        <v>45276</v>
      </c>
      <c r="AI56" s="3173" t="s">
        <v>4279</v>
      </c>
      <c r="AJ56" s="3173" t="s">
        <v>4297</v>
      </c>
      <c r="AK56" s="3173" t="s">
        <v>4279</v>
      </c>
      <c r="AL56" s="3173" t="s">
        <v>4280</v>
      </c>
      <c r="AS56" s="3173">
        <v>55</v>
      </c>
      <c r="AT56" s="3173">
        <v>20240070009</v>
      </c>
      <c r="AU56" s="3173"/>
      <c r="AV56" s="3173"/>
      <c r="AW56" s="3173" t="s">
        <v>4274</v>
      </c>
      <c r="AX56" s="3173" t="s">
        <v>4457</v>
      </c>
      <c r="AY56" s="3173">
        <v>37.68</v>
      </c>
      <c r="AZ56" s="3173" t="s">
        <v>4276</v>
      </c>
      <c r="BA56" s="3173"/>
      <c r="BB56" s="3174">
        <v>45364</v>
      </c>
      <c r="BC56" s="3173" t="s">
        <v>4277</v>
      </c>
      <c r="BD56" s="3173" t="s">
        <v>4284</v>
      </c>
      <c r="BE56" s="3173" t="s">
        <v>4279</v>
      </c>
      <c r="BF56" s="3173" t="s">
        <v>4280</v>
      </c>
    </row>
    <row r="57" spans="1:58" ht="54">
      <c r="A57" s="3173">
        <v>56</v>
      </c>
      <c r="B57" s="3173" t="s">
        <v>4273</v>
      </c>
      <c r="C57" s="3173"/>
      <c r="D57" s="3173"/>
      <c r="E57" s="3173" t="s">
        <v>4274</v>
      </c>
      <c r="F57" s="3173" t="s">
        <v>4458</v>
      </c>
      <c r="G57" s="3173">
        <v>50.34</v>
      </c>
      <c r="H57" s="3173" t="s">
        <v>4276</v>
      </c>
      <c r="I57" s="3173"/>
      <c r="J57" s="3174">
        <v>45276</v>
      </c>
      <c r="K57" s="3173" t="s">
        <v>4277</v>
      </c>
      <c r="L57" s="3173" t="s">
        <v>4278</v>
      </c>
      <c r="M57" s="3173" t="s">
        <v>4279</v>
      </c>
      <c r="N57" s="3173" t="s">
        <v>4280</v>
      </c>
      <c r="O57" s="3544"/>
      <c r="Y57" s="3173">
        <v>56</v>
      </c>
      <c r="Z57" s="3173" t="s">
        <v>4282</v>
      </c>
      <c r="AA57" s="3173"/>
      <c r="AB57" s="3173"/>
      <c r="AC57" s="3173" t="s">
        <v>4274</v>
      </c>
      <c r="AD57" s="3173" t="s">
        <v>4459</v>
      </c>
      <c r="AE57" s="3173">
        <v>42.72</v>
      </c>
      <c r="AF57" s="3173" t="s">
        <v>4296</v>
      </c>
      <c r="AG57" s="3173" t="s">
        <v>4282</v>
      </c>
      <c r="AH57" s="3174">
        <v>45276</v>
      </c>
      <c r="AI57" s="3173" t="s">
        <v>4277</v>
      </c>
      <c r="AJ57" s="3173" t="s">
        <v>4284</v>
      </c>
      <c r="AK57" s="3173" t="s">
        <v>4279</v>
      </c>
      <c r="AL57" s="3173" t="s">
        <v>4280</v>
      </c>
      <c r="AS57" s="3173">
        <v>56</v>
      </c>
      <c r="AT57" s="3173">
        <v>20240070009</v>
      </c>
      <c r="AU57" s="3173"/>
      <c r="AV57" s="3173"/>
      <c r="AW57" s="3173" t="s">
        <v>4274</v>
      </c>
      <c r="AX57" s="3173" t="s">
        <v>4460</v>
      </c>
      <c r="AY57" s="3173">
        <v>39.32</v>
      </c>
      <c r="AZ57" s="3173" t="s">
        <v>4276</v>
      </c>
      <c r="BA57" s="3173"/>
      <c r="BB57" s="3174">
        <v>45364</v>
      </c>
      <c r="BC57" s="3173" t="s">
        <v>4277</v>
      </c>
      <c r="BD57" s="3173" t="s">
        <v>4284</v>
      </c>
      <c r="BE57" s="3173" t="s">
        <v>4279</v>
      </c>
      <c r="BF57" s="3173" t="s">
        <v>4280</v>
      </c>
    </row>
    <row r="58" spans="1:58" ht="54">
      <c r="A58" s="3173">
        <v>57</v>
      </c>
      <c r="B58" s="3173" t="s">
        <v>4273</v>
      </c>
      <c r="C58" s="3173"/>
      <c r="D58" s="3173"/>
      <c r="E58" s="3173" t="s">
        <v>4274</v>
      </c>
      <c r="F58" s="3173" t="s">
        <v>4383</v>
      </c>
      <c r="G58" s="3173">
        <v>104.3</v>
      </c>
      <c r="H58" s="3173" t="s">
        <v>672</v>
      </c>
      <c r="I58" s="3173"/>
      <c r="J58" s="3174">
        <v>45276</v>
      </c>
      <c r="K58" s="3173" t="s">
        <v>4279</v>
      </c>
      <c r="L58" s="3173" t="s">
        <v>4278</v>
      </c>
      <c r="M58" s="3173" t="s">
        <v>4279</v>
      </c>
      <c r="N58" s="3173" t="s">
        <v>4280</v>
      </c>
      <c r="O58" s="3544">
        <v>1</v>
      </c>
      <c r="Y58" s="3173">
        <v>57</v>
      </c>
      <c r="Z58" s="3173" t="s">
        <v>4282</v>
      </c>
      <c r="AA58" s="3173"/>
      <c r="AB58" s="3173"/>
      <c r="AC58" s="3173" t="s">
        <v>4274</v>
      </c>
      <c r="AD58" s="3173" t="s">
        <v>4461</v>
      </c>
      <c r="AE58" s="3173">
        <v>42.72</v>
      </c>
      <c r="AF58" s="3173" t="s">
        <v>4296</v>
      </c>
      <c r="AG58" s="3173" t="s">
        <v>4282</v>
      </c>
      <c r="AH58" s="3174">
        <v>45276</v>
      </c>
      <c r="AI58" s="3173" t="s">
        <v>4277</v>
      </c>
      <c r="AJ58" s="3173" t="s">
        <v>4297</v>
      </c>
      <c r="AK58" s="3173" t="s">
        <v>4279</v>
      </c>
      <c r="AL58" s="3173" t="s">
        <v>4280</v>
      </c>
      <c r="AS58" s="3173">
        <v>57</v>
      </c>
      <c r="AT58" s="3173">
        <v>20240070009</v>
      </c>
      <c r="AU58" s="3173"/>
      <c r="AV58" s="3173"/>
      <c r="AW58" s="3173" t="s">
        <v>4274</v>
      </c>
      <c r="AX58" s="3173" t="s">
        <v>4462</v>
      </c>
      <c r="AY58" s="3173">
        <v>39.32</v>
      </c>
      <c r="AZ58" s="3173" t="s">
        <v>4276</v>
      </c>
      <c r="BA58" s="3173"/>
      <c r="BB58" s="3174">
        <v>45364</v>
      </c>
      <c r="BC58" s="3173" t="s">
        <v>4277</v>
      </c>
      <c r="BD58" s="3173" t="s">
        <v>4284</v>
      </c>
      <c r="BE58" s="3173" t="s">
        <v>4279</v>
      </c>
      <c r="BF58" s="3173" t="s">
        <v>4280</v>
      </c>
    </row>
    <row r="59" spans="1:58" ht="54">
      <c r="A59" s="3173">
        <v>58</v>
      </c>
      <c r="B59" s="3173" t="s">
        <v>4273</v>
      </c>
      <c r="C59" s="3173"/>
      <c r="D59" s="3173"/>
      <c r="E59" s="3173" t="s">
        <v>4274</v>
      </c>
      <c r="F59" s="3173" t="s">
        <v>4404</v>
      </c>
      <c r="G59" s="3173">
        <v>69.05</v>
      </c>
      <c r="H59" s="3173" t="s">
        <v>672</v>
      </c>
      <c r="I59" s="3173"/>
      <c r="J59" s="3174">
        <v>45276</v>
      </c>
      <c r="K59" s="3173" t="s">
        <v>4279</v>
      </c>
      <c r="L59" s="3173" t="s">
        <v>4297</v>
      </c>
      <c r="M59" s="3173" t="s">
        <v>4279</v>
      </c>
      <c r="N59" s="3173" t="s">
        <v>4280</v>
      </c>
      <c r="O59" s="3544">
        <v>1</v>
      </c>
      <c r="Y59" s="3173">
        <v>58</v>
      </c>
      <c r="Z59" s="3173" t="s">
        <v>4282</v>
      </c>
      <c r="AA59" s="3173"/>
      <c r="AB59" s="3173"/>
      <c r="AC59" s="3173" t="s">
        <v>4274</v>
      </c>
      <c r="AD59" s="3173" t="s">
        <v>4463</v>
      </c>
      <c r="AE59" s="3173">
        <v>51.35</v>
      </c>
      <c r="AF59" s="3173" t="s">
        <v>4296</v>
      </c>
      <c r="AG59" s="3173" t="s">
        <v>4282</v>
      </c>
      <c r="AH59" s="3174">
        <v>45276</v>
      </c>
      <c r="AI59" s="3173" t="s">
        <v>4277</v>
      </c>
      <c r="AJ59" s="3173" t="s">
        <v>4288</v>
      </c>
      <c r="AK59" s="3173" t="s">
        <v>4279</v>
      </c>
      <c r="AL59" s="3173" t="s">
        <v>4280</v>
      </c>
      <c r="AS59" s="3173">
        <v>58</v>
      </c>
      <c r="AT59" s="3173">
        <v>20240070009</v>
      </c>
      <c r="AU59" s="3173"/>
      <c r="AV59" s="3173"/>
      <c r="AW59" s="3173" t="s">
        <v>4274</v>
      </c>
      <c r="AX59" s="3173" t="s">
        <v>4464</v>
      </c>
      <c r="AY59" s="3173">
        <v>39.32</v>
      </c>
      <c r="AZ59" s="3173" t="s">
        <v>4276</v>
      </c>
      <c r="BA59" s="3173"/>
      <c r="BB59" s="3174">
        <v>45364</v>
      </c>
      <c r="BC59" s="3173" t="s">
        <v>4277</v>
      </c>
      <c r="BD59" s="3173" t="s">
        <v>4284</v>
      </c>
      <c r="BE59" s="3173" t="s">
        <v>4279</v>
      </c>
      <c r="BF59" s="3173" t="s">
        <v>4280</v>
      </c>
    </row>
    <row r="60" spans="1:58" ht="54">
      <c r="A60" s="3173">
        <v>59</v>
      </c>
      <c r="B60" s="3173" t="s">
        <v>4273</v>
      </c>
      <c r="C60" s="3173"/>
      <c r="D60" s="3173"/>
      <c r="E60" s="3173" t="s">
        <v>4274</v>
      </c>
      <c r="F60" s="3173" t="s">
        <v>4275</v>
      </c>
      <c r="G60" s="3173">
        <v>25.26</v>
      </c>
      <c r="H60" s="3173" t="s">
        <v>672</v>
      </c>
      <c r="I60" s="3173"/>
      <c r="J60" s="3174">
        <v>45276</v>
      </c>
      <c r="K60" s="3173" t="s">
        <v>4277</v>
      </c>
      <c r="L60" s="3173" t="s">
        <v>4278</v>
      </c>
      <c r="M60" s="3173" t="s">
        <v>4279</v>
      </c>
      <c r="N60" s="3173" t="s">
        <v>4280</v>
      </c>
      <c r="O60" s="3544">
        <v>2</v>
      </c>
      <c r="Y60" s="3173">
        <v>59</v>
      </c>
      <c r="Z60" s="3173" t="s">
        <v>4282</v>
      </c>
      <c r="AA60" s="3173"/>
      <c r="AB60" s="3173"/>
      <c r="AC60" s="3173" t="s">
        <v>4274</v>
      </c>
      <c r="AD60" s="3173" t="s">
        <v>4465</v>
      </c>
      <c r="AE60" s="3173">
        <v>44.57</v>
      </c>
      <c r="AF60" s="3173" t="s">
        <v>4296</v>
      </c>
      <c r="AG60" s="3173" t="s">
        <v>4282</v>
      </c>
      <c r="AH60" s="3174">
        <v>45276</v>
      </c>
      <c r="AI60" s="3173" t="s">
        <v>4277</v>
      </c>
      <c r="AJ60" s="3173" t="s">
        <v>4288</v>
      </c>
      <c r="AK60" s="3173" t="s">
        <v>4279</v>
      </c>
      <c r="AL60" s="3173" t="s">
        <v>4280</v>
      </c>
      <c r="AS60" s="3173">
        <v>59</v>
      </c>
      <c r="AT60" s="3173">
        <v>20240070009</v>
      </c>
      <c r="AU60" s="3173"/>
      <c r="AV60" s="3173"/>
      <c r="AW60" s="3173" t="s">
        <v>4274</v>
      </c>
      <c r="AX60" s="3173" t="s">
        <v>4466</v>
      </c>
      <c r="AY60" s="3173">
        <v>39.32</v>
      </c>
      <c r="AZ60" s="3173" t="s">
        <v>4276</v>
      </c>
      <c r="BA60" s="3173"/>
      <c r="BB60" s="3174">
        <v>45364</v>
      </c>
      <c r="BC60" s="3173" t="s">
        <v>4277</v>
      </c>
      <c r="BD60" s="3173" t="s">
        <v>4284</v>
      </c>
      <c r="BE60" s="3173" t="s">
        <v>4279</v>
      </c>
      <c r="BF60" s="3173" t="s">
        <v>4280</v>
      </c>
    </row>
    <row r="61" spans="1:58" ht="54">
      <c r="A61" s="3173">
        <v>60</v>
      </c>
      <c r="B61" s="3173" t="s">
        <v>4273</v>
      </c>
      <c r="C61" s="3173"/>
      <c r="D61" s="3173"/>
      <c r="E61" s="3173" t="s">
        <v>4274</v>
      </c>
      <c r="F61" s="3173" t="s">
        <v>4285</v>
      </c>
      <c r="G61" s="3173">
        <v>30.85</v>
      </c>
      <c r="H61" s="3173" t="s">
        <v>672</v>
      </c>
      <c r="I61" s="3173"/>
      <c r="J61" s="3174">
        <v>45276</v>
      </c>
      <c r="K61" s="3173" t="s">
        <v>4277</v>
      </c>
      <c r="L61" s="3173" t="s">
        <v>4278</v>
      </c>
      <c r="M61" s="3173" t="s">
        <v>4279</v>
      </c>
      <c r="N61" s="3173" t="s">
        <v>4280</v>
      </c>
      <c r="O61" s="3544">
        <v>2</v>
      </c>
      <c r="Y61" s="3173">
        <v>60</v>
      </c>
      <c r="Z61" s="3173" t="s">
        <v>4282</v>
      </c>
      <c r="AA61" s="3173"/>
      <c r="AB61" s="3173"/>
      <c r="AC61" s="3173" t="s">
        <v>4274</v>
      </c>
      <c r="AD61" s="3173" t="s">
        <v>4467</v>
      </c>
      <c r="AE61" s="3173">
        <v>44.57</v>
      </c>
      <c r="AF61" s="3173" t="s">
        <v>4296</v>
      </c>
      <c r="AG61" s="3173" t="s">
        <v>4282</v>
      </c>
      <c r="AH61" s="3174">
        <v>45276</v>
      </c>
      <c r="AI61" s="3173" t="s">
        <v>4279</v>
      </c>
      <c r="AJ61" s="3173" t="s">
        <v>4297</v>
      </c>
      <c r="AK61" s="3173" t="s">
        <v>4279</v>
      </c>
      <c r="AL61" s="3173" t="s">
        <v>4280</v>
      </c>
      <c r="AS61" s="3173">
        <v>60</v>
      </c>
      <c r="AT61" s="3173">
        <v>20240070009</v>
      </c>
      <c r="AU61" s="3173"/>
      <c r="AV61" s="3173"/>
      <c r="AW61" s="3173" t="s">
        <v>4274</v>
      </c>
      <c r="AX61" s="3173" t="s">
        <v>4468</v>
      </c>
      <c r="AY61" s="3173">
        <v>39.32</v>
      </c>
      <c r="AZ61" s="3173" t="s">
        <v>4276</v>
      </c>
      <c r="BA61" s="3173"/>
      <c r="BB61" s="3174">
        <v>45364</v>
      </c>
      <c r="BC61" s="3173" t="s">
        <v>4277</v>
      </c>
      <c r="BD61" s="3173" t="s">
        <v>4284</v>
      </c>
      <c r="BE61" s="3173" t="s">
        <v>4279</v>
      </c>
      <c r="BF61" s="3173" t="s">
        <v>4280</v>
      </c>
    </row>
    <row r="62" spans="1:58" ht="54">
      <c r="A62" s="3173">
        <v>61</v>
      </c>
      <c r="B62" s="3173" t="s">
        <v>4273</v>
      </c>
      <c r="C62" s="3173"/>
      <c r="D62" s="3173"/>
      <c r="E62" s="3173" t="s">
        <v>4274</v>
      </c>
      <c r="F62" s="3173" t="s">
        <v>4290</v>
      </c>
      <c r="G62" s="3173">
        <v>33.31</v>
      </c>
      <c r="H62" s="3173" t="s">
        <v>672</v>
      </c>
      <c r="I62" s="3173"/>
      <c r="J62" s="3174">
        <v>45276</v>
      </c>
      <c r="K62" s="3173" t="s">
        <v>4277</v>
      </c>
      <c r="L62" s="3173" t="s">
        <v>4278</v>
      </c>
      <c r="M62" s="3173" t="s">
        <v>4279</v>
      </c>
      <c r="N62" s="3173" t="s">
        <v>4280</v>
      </c>
      <c r="O62" s="3544">
        <v>2</v>
      </c>
      <c r="Y62" s="3173">
        <v>61</v>
      </c>
      <c r="Z62" s="3173" t="s">
        <v>4282</v>
      </c>
      <c r="AA62" s="3173"/>
      <c r="AB62" s="3173"/>
      <c r="AC62" s="3173" t="s">
        <v>4274</v>
      </c>
      <c r="AD62" s="3173" t="s">
        <v>4469</v>
      </c>
      <c r="AE62" s="3173">
        <v>42.72</v>
      </c>
      <c r="AF62" s="3173" t="s">
        <v>4296</v>
      </c>
      <c r="AG62" s="3173" t="s">
        <v>4282</v>
      </c>
      <c r="AH62" s="3174">
        <v>45276</v>
      </c>
      <c r="AI62" s="3173" t="s">
        <v>4277</v>
      </c>
      <c r="AJ62" s="3173" t="s">
        <v>4288</v>
      </c>
      <c r="AK62" s="3173" t="s">
        <v>4279</v>
      </c>
      <c r="AL62" s="3173" t="s">
        <v>4280</v>
      </c>
      <c r="AS62" s="3173">
        <v>61</v>
      </c>
      <c r="AT62" s="3173">
        <v>20240070009</v>
      </c>
      <c r="AU62" s="3173"/>
      <c r="AV62" s="3173"/>
      <c r="AW62" s="3173" t="s">
        <v>4274</v>
      </c>
      <c r="AX62" s="3173" t="s">
        <v>4470</v>
      </c>
      <c r="AY62" s="3173">
        <v>39.32</v>
      </c>
      <c r="AZ62" s="3173" t="s">
        <v>4276</v>
      </c>
      <c r="BA62" s="3173"/>
      <c r="BB62" s="3174">
        <v>45364</v>
      </c>
      <c r="BC62" s="3173" t="s">
        <v>4277</v>
      </c>
      <c r="BD62" s="3173" t="s">
        <v>4297</v>
      </c>
      <c r="BE62" s="3173" t="s">
        <v>4279</v>
      </c>
      <c r="BF62" s="3173" t="s">
        <v>4280</v>
      </c>
    </row>
    <row r="63" spans="1:58" ht="54">
      <c r="A63" s="3173">
        <v>62</v>
      </c>
      <c r="B63" s="3173" t="s">
        <v>4273</v>
      </c>
      <c r="C63" s="3173"/>
      <c r="D63" s="3173"/>
      <c r="E63" s="3173" t="s">
        <v>4274</v>
      </c>
      <c r="F63" s="3173" t="s">
        <v>4294</v>
      </c>
      <c r="G63" s="3173">
        <v>33.99</v>
      </c>
      <c r="H63" s="3173" t="s">
        <v>672</v>
      </c>
      <c r="I63" s="3173"/>
      <c r="J63" s="3174">
        <v>45276</v>
      </c>
      <c r="K63" s="3173" t="s">
        <v>4277</v>
      </c>
      <c r="L63" s="3173" t="s">
        <v>4278</v>
      </c>
      <c r="M63" s="3173" t="s">
        <v>4279</v>
      </c>
      <c r="N63" s="3173" t="s">
        <v>4280</v>
      </c>
      <c r="O63" s="3544">
        <v>2</v>
      </c>
      <c r="Y63" s="3173">
        <v>62</v>
      </c>
      <c r="Z63" s="3173" t="s">
        <v>4282</v>
      </c>
      <c r="AA63" s="3173"/>
      <c r="AB63" s="3173"/>
      <c r="AC63" s="3173" t="s">
        <v>4274</v>
      </c>
      <c r="AD63" s="3173" t="s">
        <v>4471</v>
      </c>
      <c r="AE63" s="3173">
        <v>42.72</v>
      </c>
      <c r="AF63" s="3173" t="s">
        <v>4296</v>
      </c>
      <c r="AG63" s="3173" t="s">
        <v>4282</v>
      </c>
      <c r="AH63" s="3174">
        <v>45276</v>
      </c>
      <c r="AI63" s="3173" t="s">
        <v>4277</v>
      </c>
      <c r="AJ63" s="3173" t="s">
        <v>4288</v>
      </c>
      <c r="AK63" s="3173" t="s">
        <v>4279</v>
      </c>
      <c r="AL63" s="3173" t="s">
        <v>4280</v>
      </c>
      <c r="AS63" s="3173">
        <v>62</v>
      </c>
      <c r="AT63" s="3173">
        <v>20240070009</v>
      </c>
      <c r="AU63" s="3173"/>
      <c r="AV63" s="3173"/>
      <c r="AW63" s="3173" t="s">
        <v>4274</v>
      </c>
      <c r="AX63" s="3173" t="s">
        <v>4472</v>
      </c>
      <c r="AY63" s="3173">
        <v>39.32</v>
      </c>
      <c r="AZ63" s="3173" t="s">
        <v>4276</v>
      </c>
      <c r="BA63" s="3173"/>
      <c r="BB63" s="3174">
        <v>45364</v>
      </c>
      <c r="BC63" s="3173" t="s">
        <v>4277</v>
      </c>
      <c r="BD63" s="3173" t="s">
        <v>4284</v>
      </c>
      <c r="BE63" s="3173" t="s">
        <v>4279</v>
      </c>
      <c r="BF63" s="3173" t="s">
        <v>4280</v>
      </c>
    </row>
    <row r="64" spans="1:58" ht="54">
      <c r="A64" s="3173">
        <v>63</v>
      </c>
      <c r="B64" s="3173" t="s">
        <v>4273</v>
      </c>
      <c r="C64" s="3173"/>
      <c r="D64" s="3173"/>
      <c r="E64" s="3173" t="s">
        <v>4274</v>
      </c>
      <c r="F64" s="3173" t="s">
        <v>4299</v>
      </c>
      <c r="G64" s="3173">
        <v>35.99</v>
      </c>
      <c r="H64" s="3173" t="s">
        <v>672</v>
      </c>
      <c r="I64" s="3173"/>
      <c r="J64" s="3174">
        <v>45276</v>
      </c>
      <c r="K64" s="3173" t="s">
        <v>4277</v>
      </c>
      <c r="L64" s="3173" t="s">
        <v>4278</v>
      </c>
      <c r="M64" s="3173" t="s">
        <v>4279</v>
      </c>
      <c r="N64" s="3173" t="s">
        <v>4280</v>
      </c>
      <c r="O64" s="3544">
        <v>2</v>
      </c>
      <c r="Y64" s="3173">
        <v>63</v>
      </c>
      <c r="Z64" s="3173" t="s">
        <v>4282</v>
      </c>
      <c r="AA64" s="3173"/>
      <c r="AB64" s="3173"/>
      <c r="AC64" s="3173" t="s">
        <v>4274</v>
      </c>
      <c r="AD64" s="3173" t="s">
        <v>4473</v>
      </c>
      <c r="AE64" s="3173">
        <v>42.72</v>
      </c>
      <c r="AF64" s="3173" t="s">
        <v>4296</v>
      </c>
      <c r="AG64" s="3173" t="s">
        <v>4282</v>
      </c>
      <c r="AH64" s="3174">
        <v>45276</v>
      </c>
      <c r="AI64" s="3173" t="s">
        <v>4277</v>
      </c>
      <c r="AJ64" s="3173" t="s">
        <v>4288</v>
      </c>
      <c r="AK64" s="3173" t="s">
        <v>4279</v>
      </c>
      <c r="AL64" s="3173" t="s">
        <v>4280</v>
      </c>
      <c r="AS64" s="3173">
        <v>63</v>
      </c>
      <c r="AT64" s="3173">
        <v>20240070009</v>
      </c>
      <c r="AU64" s="3173"/>
      <c r="AV64" s="3173"/>
      <c r="AW64" s="3173" t="s">
        <v>4274</v>
      </c>
      <c r="AX64" s="3173" t="s">
        <v>4474</v>
      </c>
      <c r="AY64" s="3173">
        <v>39.32</v>
      </c>
      <c r="AZ64" s="3173" t="s">
        <v>4276</v>
      </c>
      <c r="BA64" s="3173"/>
      <c r="BB64" s="3174">
        <v>45364</v>
      </c>
      <c r="BC64" s="3173" t="s">
        <v>4277</v>
      </c>
      <c r="BD64" s="3173" t="s">
        <v>4284</v>
      </c>
      <c r="BE64" s="3173" t="s">
        <v>4279</v>
      </c>
      <c r="BF64" s="3173" t="s">
        <v>4280</v>
      </c>
    </row>
    <row r="65" spans="1:58" ht="54">
      <c r="A65" s="3173">
        <v>64</v>
      </c>
      <c r="B65" s="3173" t="s">
        <v>4273</v>
      </c>
      <c r="C65" s="3173"/>
      <c r="D65" s="3173"/>
      <c r="E65" s="3173" t="s">
        <v>4274</v>
      </c>
      <c r="F65" s="3173" t="s">
        <v>4303</v>
      </c>
      <c r="G65" s="3173">
        <v>36.92</v>
      </c>
      <c r="H65" s="3173" t="s">
        <v>672</v>
      </c>
      <c r="I65" s="3173"/>
      <c r="J65" s="3174">
        <v>45276</v>
      </c>
      <c r="K65" s="3173" t="s">
        <v>4277</v>
      </c>
      <c r="L65" s="3173" t="s">
        <v>4278</v>
      </c>
      <c r="M65" s="3173" t="s">
        <v>4279</v>
      </c>
      <c r="N65" s="3173" t="s">
        <v>4280</v>
      </c>
      <c r="O65" s="3544">
        <v>2</v>
      </c>
      <c r="Y65" s="3173">
        <v>64</v>
      </c>
      <c r="Z65" s="3173" t="s">
        <v>4282</v>
      </c>
      <c r="AA65" s="3173"/>
      <c r="AB65" s="3173"/>
      <c r="AC65" s="3173" t="s">
        <v>4274</v>
      </c>
      <c r="AD65" s="3173" t="s">
        <v>4475</v>
      </c>
      <c r="AE65" s="3173">
        <v>44.57</v>
      </c>
      <c r="AF65" s="3173" t="s">
        <v>4296</v>
      </c>
      <c r="AG65" s="3173" t="s">
        <v>4282</v>
      </c>
      <c r="AH65" s="3174">
        <v>45276</v>
      </c>
      <c r="AI65" s="3173" t="s">
        <v>4277</v>
      </c>
      <c r="AJ65" s="3173" t="s">
        <v>4297</v>
      </c>
      <c r="AK65" s="3173" t="s">
        <v>4279</v>
      </c>
      <c r="AL65" s="3173" t="s">
        <v>4280</v>
      </c>
      <c r="AS65" s="3173">
        <v>64</v>
      </c>
      <c r="AT65" s="3173">
        <v>20240070009</v>
      </c>
      <c r="AU65" s="3173"/>
      <c r="AV65" s="3173"/>
      <c r="AW65" s="3173" t="s">
        <v>4274</v>
      </c>
      <c r="AX65" s="3173" t="s">
        <v>4476</v>
      </c>
      <c r="AY65" s="3173">
        <v>39.32</v>
      </c>
      <c r="AZ65" s="3173" t="s">
        <v>4276</v>
      </c>
      <c r="BA65" s="3173"/>
      <c r="BB65" s="3174">
        <v>45364</v>
      </c>
      <c r="BC65" s="3173" t="s">
        <v>4277</v>
      </c>
      <c r="BD65" s="3173" t="s">
        <v>4284</v>
      </c>
      <c r="BE65" s="3173" t="s">
        <v>4279</v>
      </c>
      <c r="BF65" s="3173" t="s">
        <v>4280</v>
      </c>
    </row>
    <row r="66" spans="1:58" ht="54">
      <c r="A66" s="3173">
        <v>65</v>
      </c>
      <c r="B66" s="3173" t="s">
        <v>4273</v>
      </c>
      <c r="C66" s="3173"/>
      <c r="D66" s="3173"/>
      <c r="E66" s="3173" t="s">
        <v>4274</v>
      </c>
      <c r="F66" s="3173" t="s">
        <v>4307</v>
      </c>
      <c r="G66" s="3173">
        <v>36.17</v>
      </c>
      <c r="H66" s="3173" t="s">
        <v>672</v>
      </c>
      <c r="I66" s="3173"/>
      <c r="J66" s="3174">
        <v>45276</v>
      </c>
      <c r="K66" s="3173" t="s">
        <v>4277</v>
      </c>
      <c r="L66" s="3173" t="s">
        <v>4278</v>
      </c>
      <c r="M66" s="3173" t="s">
        <v>4279</v>
      </c>
      <c r="N66" s="3173" t="s">
        <v>4280</v>
      </c>
      <c r="O66" s="3544">
        <v>2</v>
      </c>
      <c r="Y66" s="3173">
        <v>65</v>
      </c>
      <c r="Z66" s="3173" t="s">
        <v>4282</v>
      </c>
      <c r="AA66" s="3173"/>
      <c r="AB66" s="3173"/>
      <c r="AC66" s="3173" t="s">
        <v>4274</v>
      </c>
      <c r="AD66" s="3173" t="s">
        <v>4477</v>
      </c>
      <c r="AE66" s="3173">
        <v>42.72</v>
      </c>
      <c r="AF66" s="3173" t="s">
        <v>4296</v>
      </c>
      <c r="AG66" s="3173" t="s">
        <v>4282</v>
      </c>
      <c r="AH66" s="3174">
        <v>45276</v>
      </c>
      <c r="AI66" s="3173" t="s">
        <v>4277</v>
      </c>
      <c r="AJ66" s="3173" t="s">
        <v>4288</v>
      </c>
      <c r="AK66" s="3173" t="s">
        <v>4279</v>
      </c>
      <c r="AL66" s="3173" t="s">
        <v>4280</v>
      </c>
      <c r="AS66" s="3173">
        <v>65</v>
      </c>
      <c r="AT66" s="3173">
        <v>20240070009</v>
      </c>
      <c r="AU66" s="3173"/>
      <c r="AV66" s="3173"/>
      <c r="AW66" s="3173" t="s">
        <v>4274</v>
      </c>
      <c r="AX66" s="3173" t="s">
        <v>4478</v>
      </c>
      <c r="AY66" s="3173">
        <v>39.32</v>
      </c>
      <c r="AZ66" s="3173" t="s">
        <v>4276</v>
      </c>
      <c r="BA66" s="3173"/>
      <c r="BB66" s="3174">
        <v>45364</v>
      </c>
      <c r="BC66" s="3173" t="s">
        <v>4277</v>
      </c>
      <c r="BD66" s="3173" t="s">
        <v>4284</v>
      </c>
      <c r="BE66" s="3173" t="s">
        <v>4279</v>
      </c>
      <c r="BF66" s="3173" t="s">
        <v>4280</v>
      </c>
    </row>
    <row r="67" spans="1:58" ht="54">
      <c r="A67" s="3173">
        <v>66</v>
      </c>
      <c r="B67" s="3173" t="s">
        <v>4273</v>
      </c>
      <c r="C67" s="3173"/>
      <c r="D67" s="3173"/>
      <c r="E67" s="3173" t="s">
        <v>4274</v>
      </c>
      <c r="F67" s="3173" t="s">
        <v>4311</v>
      </c>
      <c r="G67" s="3173">
        <v>22.28</v>
      </c>
      <c r="H67" s="3173" t="s">
        <v>672</v>
      </c>
      <c r="I67" s="3173"/>
      <c r="J67" s="3174">
        <v>45276</v>
      </c>
      <c r="K67" s="3173" t="s">
        <v>4277</v>
      </c>
      <c r="L67" s="3173" t="s">
        <v>4278</v>
      </c>
      <c r="M67" s="3173" t="s">
        <v>4279</v>
      </c>
      <c r="N67" s="3173" t="s">
        <v>4280</v>
      </c>
      <c r="O67" s="3544">
        <v>2</v>
      </c>
      <c r="Y67" s="3173">
        <v>66</v>
      </c>
      <c r="Z67" s="3173" t="s">
        <v>4282</v>
      </c>
      <c r="AA67" s="3173"/>
      <c r="AB67" s="3173"/>
      <c r="AC67" s="3173" t="s">
        <v>4274</v>
      </c>
      <c r="AD67" s="3173" t="s">
        <v>4479</v>
      </c>
      <c r="AE67" s="3173">
        <v>42.72</v>
      </c>
      <c r="AF67" s="3173" t="s">
        <v>4296</v>
      </c>
      <c r="AG67" s="3173" t="s">
        <v>4282</v>
      </c>
      <c r="AH67" s="3174">
        <v>45276</v>
      </c>
      <c r="AI67" s="3173" t="s">
        <v>4277</v>
      </c>
      <c r="AJ67" s="3173" t="s">
        <v>4288</v>
      </c>
      <c r="AK67" s="3173" t="s">
        <v>4279</v>
      </c>
      <c r="AL67" s="3173" t="s">
        <v>4280</v>
      </c>
      <c r="AS67" s="3173">
        <v>66</v>
      </c>
      <c r="AT67" s="3173">
        <v>20240070009</v>
      </c>
      <c r="AU67" s="3173"/>
      <c r="AV67" s="3173"/>
      <c r="AW67" s="3173" t="s">
        <v>4274</v>
      </c>
      <c r="AX67" s="3173" t="s">
        <v>4480</v>
      </c>
      <c r="AY67" s="3173">
        <v>39.32</v>
      </c>
      <c r="AZ67" s="3173" t="s">
        <v>4276</v>
      </c>
      <c r="BA67" s="3173"/>
      <c r="BB67" s="3174">
        <v>45364</v>
      </c>
      <c r="BC67" s="3173" t="s">
        <v>4277</v>
      </c>
      <c r="BD67" s="3173" t="s">
        <v>4284</v>
      </c>
      <c r="BE67" s="3173" t="s">
        <v>4279</v>
      </c>
      <c r="BF67" s="3173" t="s">
        <v>4280</v>
      </c>
    </row>
    <row r="68" spans="1:58" ht="54">
      <c r="A68" s="3173">
        <v>67</v>
      </c>
      <c r="B68" s="3173" t="s">
        <v>4273</v>
      </c>
      <c r="C68" s="3173"/>
      <c r="D68" s="3173"/>
      <c r="E68" s="3173" t="s">
        <v>4274</v>
      </c>
      <c r="F68" s="3173" t="s">
        <v>4314</v>
      </c>
      <c r="G68" s="3173">
        <v>36.630000000000003</v>
      </c>
      <c r="H68" s="3173" t="s">
        <v>672</v>
      </c>
      <c r="I68" s="3173"/>
      <c r="J68" s="3174">
        <v>45276</v>
      </c>
      <c r="K68" s="3173" t="s">
        <v>4277</v>
      </c>
      <c r="L68" s="3173" t="s">
        <v>4278</v>
      </c>
      <c r="M68" s="3173" t="s">
        <v>4279</v>
      </c>
      <c r="N68" s="3173" t="s">
        <v>4280</v>
      </c>
      <c r="O68" s="3544">
        <v>2</v>
      </c>
      <c r="Y68" s="3173">
        <v>67</v>
      </c>
      <c r="Z68" s="3173" t="s">
        <v>4282</v>
      </c>
      <c r="AA68" s="3173"/>
      <c r="AB68" s="3173"/>
      <c r="AC68" s="3173" t="s">
        <v>4274</v>
      </c>
      <c r="AD68" s="3173" t="s">
        <v>4481</v>
      </c>
      <c r="AE68" s="3173">
        <v>42.72</v>
      </c>
      <c r="AF68" s="3173" t="s">
        <v>4296</v>
      </c>
      <c r="AG68" s="3173" t="s">
        <v>4282</v>
      </c>
      <c r="AH68" s="3174">
        <v>45276</v>
      </c>
      <c r="AI68" s="3173" t="s">
        <v>4277</v>
      </c>
      <c r="AJ68" s="3173" t="s">
        <v>4288</v>
      </c>
      <c r="AK68" s="3173" t="s">
        <v>4279</v>
      </c>
      <c r="AL68" s="3173" t="s">
        <v>4280</v>
      </c>
      <c r="AS68" s="3173">
        <v>67</v>
      </c>
      <c r="AT68" s="3173">
        <v>20240070009</v>
      </c>
      <c r="AU68" s="3173"/>
      <c r="AV68" s="3173"/>
      <c r="AW68" s="3173" t="s">
        <v>4274</v>
      </c>
      <c r="AX68" s="3173" t="s">
        <v>4482</v>
      </c>
      <c r="AY68" s="3173">
        <v>39.32</v>
      </c>
      <c r="AZ68" s="3173" t="s">
        <v>4276</v>
      </c>
      <c r="BA68" s="3173"/>
      <c r="BB68" s="3174">
        <v>45364</v>
      </c>
      <c r="BC68" s="3173" t="s">
        <v>4277</v>
      </c>
      <c r="BD68" s="3173" t="s">
        <v>4284</v>
      </c>
      <c r="BE68" s="3173" t="s">
        <v>4279</v>
      </c>
      <c r="BF68" s="3173" t="s">
        <v>4280</v>
      </c>
    </row>
    <row r="69" spans="1:58" ht="54">
      <c r="A69" s="3173">
        <v>68</v>
      </c>
      <c r="B69" s="3173" t="s">
        <v>4273</v>
      </c>
      <c r="C69" s="3173"/>
      <c r="D69" s="3173"/>
      <c r="E69" s="3173" t="s">
        <v>4274</v>
      </c>
      <c r="F69" s="3173" t="s">
        <v>4317</v>
      </c>
      <c r="G69" s="3173">
        <v>37.590000000000003</v>
      </c>
      <c r="H69" s="3173" t="s">
        <v>672</v>
      </c>
      <c r="I69" s="3173"/>
      <c r="J69" s="3174">
        <v>45276</v>
      </c>
      <c r="K69" s="3173" t="s">
        <v>4277</v>
      </c>
      <c r="L69" s="3173" t="s">
        <v>4278</v>
      </c>
      <c r="M69" s="3173" t="s">
        <v>4279</v>
      </c>
      <c r="N69" s="3173" t="s">
        <v>4280</v>
      </c>
      <c r="O69" s="3544">
        <v>2</v>
      </c>
      <c r="Y69" s="3173">
        <v>68</v>
      </c>
      <c r="Z69" s="3173" t="s">
        <v>4282</v>
      </c>
      <c r="AA69" s="3173"/>
      <c r="AB69" s="3173"/>
      <c r="AC69" s="3173" t="s">
        <v>4274</v>
      </c>
      <c r="AD69" s="3173" t="s">
        <v>4483</v>
      </c>
      <c r="AE69" s="3173">
        <v>42.72</v>
      </c>
      <c r="AF69" s="3173" t="s">
        <v>4296</v>
      </c>
      <c r="AG69" s="3173" t="s">
        <v>4282</v>
      </c>
      <c r="AH69" s="3174">
        <v>45276</v>
      </c>
      <c r="AI69" s="3173" t="s">
        <v>4277</v>
      </c>
      <c r="AJ69" s="3173" t="s">
        <v>4288</v>
      </c>
      <c r="AK69" s="3173" t="s">
        <v>4279</v>
      </c>
      <c r="AL69" s="3173" t="s">
        <v>4280</v>
      </c>
      <c r="AS69" s="3173">
        <v>68</v>
      </c>
      <c r="AT69" s="3173">
        <v>20240070009</v>
      </c>
      <c r="AU69" s="3173"/>
      <c r="AV69" s="3173"/>
      <c r="AW69" s="3173" t="s">
        <v>4274</v>
      </c>
      <c r="AX69" s="3173" t="s">
        <v>4484</v>
      </c>
      <c r="AY69" s="3173">
        <v>39.32</v>
      </c>
      <c r="AZ69" s="3173" t="s">
        <v>4276</v>
      </c>
      <c r="BA69" s="3173"/>
      <c r="BB69" s="3174">
        <v>45364</v>
      </c>
      <c r="BC69" s="3173" t="s">
        <v>4277</v>
      </c>
      <c r="BD69" s="3173" t="s">
        <v>4297</v>
      </c>
      <c r="BE69" s="3173" t="s">
        <v>4279</v>
      </c>
      <c r="BF69" s="3173" t="s">
        <v>4280</v>
      </c>
    </row>
    <row r="70" spans="1:58" ht="54">
      <c r="A70" s="3173">
        <v>69</v>
      </c>
      <c r="B70" s="3173" t="s">
        <v>4273</v>
      </c>
      <c r="C70" s="3173"/>
      <c r="D70" s="3173"/>
      <c r="E70" s="3173" t="s">
        <v>4274</v>
      </c>
      <c r="F70" s="3173" t="s">
        <v>4322</v>
      </c>
      <c r="G70" s="3173">
        <v>12.43</v>
      </c>
      <c r="H70" s="3173" t="s">
        <v>672</v>
      </c>
      <c r="I70" s="3173"/>
      <c r="J70" s="3174">
        <v>45276</v>
      </c>
      <c r="K70" s="3173" t="s">
        <v>4277</v>
      </c>
      <c r="L70" s="3173" t="s">
        <v>4278</v>
      </c>
      <c r="M70" s="3173" t="s">
        <v>4279</v>
      </c>
      <c r="N70" s="3173" t="s">
        <v>4280</v>
      </c>
      <c r="O70" s="3544">
        <v>2</v>
      </c>
      <c r="Y70" s="3173">
        <v>69</v>
      </c>
      <c r="Z70" s="3173" t="s">
        <v>4282</v>
      </c>
      <c r="AA70" s="3173"/>
      <c r="AB70" s="3173"/>
      <c r="AC70" s="3173" t="s">
        <v>4274</v>
      </c>
      <c r="AD70" s="3173" t="s">
        <v>4485</v>
      </c>
      <c r="AE70" s="3173">
        <v>42.72</v>
      </c>
      <c r="AF70" s="3173" t="s">
        <v>4296</v>
      </c>
      <c r="AG70" s="3173" t="s">
        <v>4282</v>
      </c>
      <c r="AH70" s="3174">
        <v>45276</v>
      </c>
      <c r="AI70" s="3173" t="s">
        <v>4277</v>
      </c>
      <c r="AJ70" s="3173" t="s">
        <v>4288</v>
      </c>
      <c r="AK70" s="3173" t="s">
        <v>4279</v>
      </c>
      <c r="AL70" s="3173" t="s">
        <v>4280</v>
      </c>
      <c r="AS70" s="3173">
        <v>69</v>
      </c>
      <c r="AT70" s="3173">
        <v>20240070009</v>
      </c>
      <c r="AU70" s="3173"/>
      <c r="AV70" s="3173"/>
      <c r="AW70" s="3173" t="s">
        <v>4274</v>
      </c>
      <c r="AX70" s="3173" t="s">
        <v>4486</v>
      </c>
      <c r="AY70" s="3173">
        <v>39.32</v>
      </c>
      <c r="AZ70" s="3173" t="s">
        <v>4276</v>
      </c>
      <c r="BA70" s="3173"/>
      <c r="BB70" s="3174">
        <v>45364</v>
      </c>
      <c r="BC70" s="3173" t="s">
        <v>4277</v>
      </c>
      <c r="BD70" s="3173" t="s">
        <v>4297</v>
      </c>
      <c r="BE70" s="3173" t="s">
        <v>4279</v>
      </c>
      <c r="BF70" s="3173" t="s">
        <v>4280</v>
      </c>
    </row>
    <row r="71" spans="1:58" ht="54">
      <c r="A71" s="3173">
        <v>70</v>
      </c>
      <c r="B71" s="3173" t="s">
        <v>4273</v>
      </c>
      <c r="C71" s="3173"/>
      <c r="D71" s="3173"/>
      <c r="E71" s="3173" t="s">
        <v>4274</v>
      </c>
      <c r="F71" s="3173" t="s">
        <v>4326</v>
      </c>
      <c r="G71" s="3173">
        <v>33.549999999999997</v>
      </c>
      <c r="H71" s="3173" t="s">
        <v>672</v>
      </c>
      <c r="I71" s="3173"/>
      <c r="J71" s="3174">
        <v>45276</v>
      </c>
      <c r="K71" s="3173" t="s">
        <v>4277</v>
      </c>
      <c r="L71" s="3173" t="s">
        <v>4278</v>
      </c>
      <c r="M71" s="3173" t="s">
        <v>4279</v>
      </c>
      <c r="N71" s="3173" t="s">
        <v>4280</v>
      </c>
      <c r="O71" s="3544">
        <v>2</v>
      </c>
      <c r="Y71" s="3173">
        <v>70</v>
      </c>
      <c r="Z71" s="3173" t="s">
        <v>4282</v>
      </c>
      <c r="AA71" s="3173"/>
      <c r="AB71" s="3173"/>
      <c r="AC71" s="3173" t="s">
        <v>4274</v>
      </c>
      <c r="AD71" s="3173" t="s">
        <v>4487</v>
      </c>
      <c r="AE71" s="3173">
        <v>42.72</v>
      </c>
      <c r="AF71" s="3173" t="s">
        <v>4296</v>
      </c>
      <c r="AG71" s="3173" t="s">
        <v>4282</v>
      </c>
      <c r="AH71" s="3174">
        <v>45276</v>
      </c>
      <c r="AI71" s="3173" t="s">
        <v>4277</v>
      </c>
      <c r="AJ71" s="3173" t="s">
        <v>4288</v>
      </c>
      <c r="AK71" s="3173" t="s">
        <v>4279</v>
      </c>
      <c r="AL71" s="3173" t="s">
        <v>4280</v>
      </c>
      <c r="AS71" s="3173">
        <v>70</v>
      </c>
      <c r="AT71" s="3173">
        <v>20240070009</v>
      </c>
      <c r="AU71" s="3173"/>
      <c r="AV71" s="3173"/>
      <c r="AW71" s="3173" t="s">
        <v>4274</v>
      </c>
      <c r="AX71" s="3173" t="s">
        <v>4488</v>
      </c>
      <c r="AY71" s="3173">
        <v>39.32</v>
      </c>
      <c r="AZ71" s="3173" t="s">
        <v>4276</v>
      </c>
      <c r="BA71" s="3173"/>
      <c r="BB71" s="3174">
        <v>45364</v>
      </c>
      <c r="BC71" s="3173" t="s">
        <v>4277</v>
      </c>
      <c r="BD71" s="3173" t="s">
        <v>4297</v>
      </c>
      <c r="BE71" s="3173" t="s">
        <v>4279</v>
      </c>
      <c r="BF71" s="3173" t="s">
        <v>4280</v>
      </c>
    </row>
    <row r="72" spans="1:58" ht="54">
      <c r="A72" s="3173">
        <v>71</v>
      </c>
      <c r="B72" s="3173" t="s">
        <v>4273</v>
      </c>
      <c r="C72" s="3173"/>
      <c r="D72" s="3173"/>
      <c r="E72" s="3173" t="s">
        <v>4274</v>
      </c>
      <c r="F72" s="3173" t="s">
        <v>4329</v>
      </c>
      <c r="G72" s="3173">
        <v>33.51</v>
      </c>
      <c r="H72" s="3173" t="s">
        <v>672</v>
      </c>
      <c r="I72" s="3173"/>
      <c r="J72" s="3174">
        <v>45276</v>
      </c>
      <c r="K72" s="3173" t="s">
        <v>4277</v>
      </c>
      <c r="L72" s="3173" t="s">
        <v>4278</v>
      </c>
      <c r="M72" s="3173" t="s">
        <v>4279</v>
      </c>
      <c r="N72" s="3173" t="s">
        <v>4280</v>
      </c>
      <c r="O72" s="3544">
        <v>2</v>
      </c>
      <c r="Y72" s="3173">
        <v>71</v>
      </c>
      <c r="Z72" s="3173" t="s">
        <v>4282</v>
      </c>
      <c r="AA72" s="3173"/>
      <c r="AB72" s="3173"/>
      <c r="AC72" s="3173" t="s">
        <v>4274</v>
      </c>
      <c r="AD72" s="3173" t="s">
        <v>4489</v>
      </c>
      <c r="AE72" s="3173">
        <v>42.72</v>
      </c>
      <c r="AF72" s="3173" t="s">
        <v>4296</v>
      </c>
      <c r="AG72" s="3173" t="s">
        <v>4282</v>
      </c>
      <c r="AH72" s="3174">
        <v>45276</v>
      </c>
      <c r="AI72" s="3173" t="s">
        <v>4277</v>
      </c>
      <c r="AJ72" s="3173" t="s">
        <v>4288</v>
      </c>
      <c r="AK72" s="3173" t="s">
        <v>4279</v>
      </c>
      <c r="AL72" s="3173" t="s">
        <v>4280</v>
      </c>
      <c r="AS72" s="3173">
        <v>71</v>
      </c>
      <c r="AT72" s="3173">
        <v>20240070009</v>
      </c>
      <c r="AU72" s="3173"/>
      <c r="AV72" s="3173"/>
      <c r="AW72" s="3173" t="s">
        <v>4274</v>
      </c>
      <c r="AX72" s="3173" t="s">
        <v>4490</v>
      </c>
      <c r="AY72" s="3173">
        <v>39.32</v>
      </c>
      <c r="AZ72" s="3173" t="s">
        <v>4276</v>
      </c>
      <c r="BA72" s="3173"/>
      <c r="BB72" s="3174">
        <v>45364</v>
      </c>
      <c r="BC72" s="3173" t="s">
        <v>4277</v>
      </c>
      <c r="BD72" s="3173" t="s">
        <v>4297</v>
      </c>
      <c r="BE72" s="3173" t="s">
        <v>4279</v>
      </c>
      <c r="BF72" s="3173" t="s">
        <v>4280</v>
      </c>
    </row>
    <row r="73" spans="1:58" ht="54">
      <c r="A73" s="3173">
        <v>72</v>
      </c>
      <c r="B73" s="3173" t="s">
        <v>4273</v>
      </c>
      <c r="C73" s="3173"/>
      <c r="D73" s="3173"/>
      <c r="E73" s="3173" t="s">
        <v>4274</v>
      </c>
      <c r="F73" s="3173" t="s">
        <v>4332</v>
      </c>
      <c r="G73" s="3173">
        <v>61.2</v>
      </c>
      <c r="H73" s="3173" t="s">
        <v>672</v>
      </c>
      <c r="I73" s="3173"/>
      <c r="J73" s="3174">
        <v>45276</v>
      </c>
      <c r="K73" s="3173" t="s">
        <v>4277</v>
      </c>
      <c r="L73" s="3173" t="s">
        <v>4278</v>
      </c>
      <c r="M73" s="3173" t="s">
        <v>4279</v>
      </c>
      <c r="N73" s="3173" t="s">
        <v>4280</v>
      </c>
      <c r="O73" s="3544">
        <v>2</v>
      </c>
      <c r="Y73" s="3173">
        <v>72</v>
      </c>
      <c r="Z73" s="3173" t="s">
        <v>4282</v>
      </c>
      <c r="AA73" s="3173"/>
      <c r="AB73" s="3173"/>
      <c r="AC73" s="3173" t="s">
        <v>4274</v>
      </c>
      <c r="AD73" s="3173" t="s">
        <v>4491</v>
      </c>
      <c r="AE73" s="3173">
        <v>42.72</v>
      </c>
      <c r="AF73" s="3173" t="s">
        <v>4296</v>
      </c>
      <c r="AG73" s="3173" t="s">
        <v>4282</v>
      </c>
      <c r="AH73" s="3174">
        <v>45276</v>
      </c>
      <c r="AI73" s="3173" t="s">
        <v>4277</v>
      </c>
      <c r="AJ73" s="3173" t="s">
        <v>4288</v>
      </c>
      <c r="AK73" s="3173" t="s">
        <v>4279</v>
      </c>
      <c r="AL73" s="3173" t="s">
        <v>4280</v>
      </c>
      <c r="AS73" s="3173">
        <v>72</v>
      </c>
      <c r="AT73" s="3173">
        <v>20240070009</v>
      </c>
      <c r="AU73" s="3173"/>
      <c r="AV73" s="3173"/>
      <c r="AW73" s="3173" t="s">
        <v>4274</v>
      </c>
      <c r="AX73" s="3173" t="s">
        <v>4492</v>
      </c>
      <c r="AY73" s="3173">
        <v>39.32</v>
      </c>
      <c r="AZ73" s="3173" t="s">
        <v>4276</v>
      </c>
      <c r="BA73" s="3173"/>
      <c r="BB73" s="3174">
        <v>45364</v>
      </c>
      <c r="BC73" s="3173" t="s">
        <v>4277</v>
      </c>
      <c r="BD73" s="3173" t="s">
        <v>4284</v>
      </c>
      <c r="BE73" s="3173" t="s">
        <v>4279</v>
      </c>
      <c r="BF73" s="3173" t="s">
        <v>4280</v>
      </c>
    </row>
    <row r="74" spans="1:58" ht="54">
      <c r="A74" s="3173">
        <v>73</v>
      </c>
      <c r="B74" s="3173" t="s">
        <v>4273</v>
      </c>
      <c r="C74" s="3173"/>
      <c r="D74" s="3173"/>
      <c r="E74" s="3173" t="s">
        <v>4274</v>
      </c>
      <c r="F74" s="3173" t="s">
        <v>4335</v>
      </c>
      <c r="G74" s="3173">
        <v>52.44</v>
      </c>
      <c r="H74" s="3173" t="s">
        <v>672</v>
      </c>
      <c r="I74" s="3173"/>
      <c r="J74" s="3174">
        <v>45276</v>
      </c>
      <c r="K74" s="3173" t="s">
        <v>4277</v>
      </c>
      <c r="L74" s="3173" t="s">
        <v>4278</v>
      </c>
      <c r="M74" s="3173" t="s">
        <v>4279</v>
      </c>
      <c r="N74" s="3173" t="s">
        <v>4280</v>
      </c>
      <c r="O74" s="3544">
        <v>2</v>
      </c>
      <c r="Y74" s="3173">
        <v>73</v>
      </c>
      <c r="Z74" s="3173" t="s">
        <v>4282</v>
      </c>
      <c r="AA74" s="3173"/>
      <c r="AB74" s="3173"/>
      <c r="AC74" s="3173" t="s">
        <v>4274</v>
      </c>
      <c r="AD74" s="3173" t="s">
        <v>4493</v>
      </c>
      <c r="AE74" s="3173">
        <v>51.35</v>
      </c>
      <c r="AF74" s="3173" t="s">
        <v>4296</v>
      </c>
      <c r="AG74" s="3173" t="s">
        <v>4282</v>
      </c>
      <c r="AH74" s="3174">
        <v>45276</v>
      </c>
      <c r="AI74" s="3173" t="s">
        <v>4277</v>
      </c>
      <c r="AJ74" s="3173" t="s">
        <v>4297</v>
      </c>
      <c r="AK74" s="3173" t="s">
        <v>4279</v>
      </c>
      <c r="AL74" s="3173" t="s">
        <v>4280</v>
      </c>
      <c r="AS74" s="3173">
        <v>73</v>
      </c>
      <c r="AT74" s="3173">
        <v>20240070009</v>
      </c>
      <c r="AU74" s="3173"/>
      <c r="AV74" s="3173"/>
      <c r="AW74" s="3173" t="s">
        <v>4274</v>
      </c>
      <c r="AX74" s="3173" t="s">
        <v>4494</v>
      </c>
      <c r="AY74" s="3173">
        <v>39.32</v>
      </c>
      <c r="AZ74" s="3173" t="s">
        <v>4276</v>
      </c>
      <c r="BA74" s="3173"/>
      <c r="BB74" s="3174">
        <v>45364</v>
      </c>
      <c r="BC74" s="3173" t="s">
        <v>4277</v>
      </c>
      <c r="BD74" s="3173" t="s">
        <v>4297</v>
      </c>
      <c r="BE74" s="3173" t="s">
        <v>4279</v>
      </c>
      <c r="BF74" s="3173" t="s">
        <v>4280</v>
      </c>
    </row>
    <row r="75" spans="1:58" ht="54">
      <c r="A75" s="3173">
        <v>74</v>
      </c>
      <c r="B75" s="3173" t="s">
        <v>4273</v>
      </c>
      <c r="C75" s="3173"/>
      <c r="D75" s="3173"/>
      <c r="E75" s="3173" t="s">
        <v>4274</v>
      </c>
      <c r="F75" s="3173" t="s">
        <v>4338</v>
      </c>
      <c r="G75" s="3173">
        <v>47.89</v>
      </c>
      <c r="H75" s="3173" t="s">
        <v>672</v>
      </c>
      <c r="I75" s="3173"/>
      <c r="J75" s="3174">
        <v>45276</v>
      </c>
      <c r="K75" s="3173" t="s">
        <v>4277</v>
      </c>
      <c r="L75" s="3173" t="s">
        <v>4278</v>
      </c>
      <c r="M75" s="3173" t="s">
        <v>4279</v>
      </c>
      <c r="N75" s="3173" t="s">
        <v>4280</v>
      </c>
      <c r="O75" s="3544">
        <v>2</v>
      </c>
      <c r="AS75" s="3173">
        <v>74</v>
      </c>
      <c r="AT75" s="3173">
        <v>20240070009</v>
      </c>
      <c r="AU75" s="3173"/>
      <c r="AV75" s="3173"/>
      <c r="AW75" s="3173" t="s">
        <v>4274</v>
      </c>
      <c r="AX75" s="3173" t="s">
        <v>4495</v>
      </c>
      <c r="AY75" s="3173">
        <v>39.32</v>
      </c>
      <c r="AZ75" s="3173" t="s">
        <v>4276</v>
      </c>
      <c r="BA75" s="3173"/>
      <c r="BB75" s="3174">
        <v>45364</v>
      </c>
      <c r="BC75" s="3173" t="s">
        <v>4277</v>
      </c>
      <c r="BD75" s="3173" t="s">
        <v>4297</v>
      </c>
      <c r="BE75" s="3173" t="s">
        <v>4279</v>
      </c>
      <c r="BF75" s="3173" t="s">
        <v>4280</v>
      </c>
    </row>
    <row r="76" spans="1:58" ht="54">
      <c r="A76" s="3173">
        <v>75</v>
      </c>
      <c r="B76" s="3173" t="s">
        <v>4273</v>
      </c>
      <c r="C76" s="3173"/>
      <c r="D76" s="3173"/>
      <c r="E76" s="3173" t="s">
        <v>4274</v>
      </c>
      <c r="F76" s="3173" t="s">
        <v>4341</v>
      </c>
      <c r="G76" s="3173">
        <v>18.7</v>
      </c>
      <c r="H76" s="3173" t="s">
        <v>672</v>
      </c>
      <c r="I76" s="3173"/>
      <c r="J76" s="3174">
        <v>45276</v>
      </c>
      <c r="K76" s="3173" t="s">
        <v>4277</v>
      </c>
      <c r="L76" s="3173" t="s">
        <v>4278</v>
      </c>
      <c r="M76" s="3173" t="s">
        <v>4279</v>
      </c>
      <c r="N76" s="3173" t="s">
        <v>4280</v>
      </c>
      <c r="O76" s="3544">
        <v>2</v>
      </c>
      <c r="AS76" s="3173">
        <v>75</v>
      </c>
      <c r="AT76" s="3173">
        <v>20240070009</v>
      </c>
      <c r="AU76" s="3173"/>
      <c r="AV76" s="3173"/>
      <c r="AW76" s="3173" t="s">
        <v>4274</v>
      </c>
      <c r="AX76" s="3173" t="s">
        <v>4496</v>
      </c>
      <c r="AY76" s="3173">
        <v>39.32</v>
      </c>
      <c r="AZ76" s="3173" t="s">
        <v>4276</v>
      </c>
      <c r="BA76" s="3173"/>
      <c r="BB76" s="3174">
        <v>45364</v>
      </c>
      <c r="BC76" s="3173" t="s">
        <v>4277</v>
      </c>
      <c r="BD76" s="3173" t="s">
        <v>4297</v>
      </c>
      <c r="BE76" s="3173" t="s">
        <v>4279</v>
      </c>
      <c r="BF76" s="3173" t="s">
        <v>4280</v>
      </c>
    </row>
    <row r="77" spans="1:58" ht="54">
      <c r="A77" s="3173">
        <v>76</v>
      </c>
      <c r="B77" s="3173" t="s">
        <v>4273</v>
      </c>
      <c r="C77" s="3173"/>
      <c r="D77" s="3173"/>
      <c r="E77" s="3173" t="s">
        <v>4274</v>
      </c>
      <c r="F77" s="3173" t="s">
        <v>4344</v>
      </c>
      <c r="G77" s="3173">
        <v>33.51</v>
      </c>
      <c r="H77" s="3173" t="s">
        <v>672</v>
      </c>
      <c r="I77" s="3173"/>
      <c r="J77" s="3174">
        <v>45276</v>
      </c>
      <c r="K77" s="3173" t="s">
        <v>4277</v>
      </c>
      <c r="L77" s="3173" t="s">
        <v>4278</v>
      </c>
      <c r="M77" s="3173" t="s">
        <v>4279</v>
      </c>
      <c r="N77" s="3173" t="s">
        <v>4280</v>
      </c>
      <c r="O77" s="3544">
        <v>2</v>
      </c>
      <c r="AS77" s="3173">
        <v>76</v>
      </c>
      <c r="AT77" s="3173">
        <v>20240070009</v>
      </c>
      <c r="AU77" s="3173"/>
      <c r="AV77" s="3173"/>
      <c r="AW77" s="3173" t="s">
        <v>4274</v>
      </c>
      <c r="AX77" s="3173" t="s">
        <v>4497</v>
      </c>
      <c r="AY77" s="3173">
        <v>39.32</v>
      </c>
      <c r="AZ77" s="3173" t="s">
        <v>4276</v>
      </c>
      <c r="BA77" s="3173"/>
      <c r="BB77" s="3174">
        <v>45364</v>
      </c>
      <c r="BC77" s="3173" t="s">
        <v>4277</v>
      </c>
      <c r="BD77" s="3173" t="s">
        <v>4297</v>
      </c>
      <c r="BE77" s="3173" t="s">
        <v>4279</v>
      </c>
      <c r="BF77" s="3173" t="s">
        <v>4280</v>
      </c>
    </row>
    <row r="78" spans="1:58" ht="54">
      <c r="A78" s="3173">
        <v>77</v>
      </c>
      <c r="B78" s="3173" t="s">
        <v>4273</v>
      </c>
      <c r="C78" s="3173"/>
      <c r="D78" s="3173"/>
      <c r="E78" s="3173" t="s">
        <v>4274</v>
      </c>
      <c r="F78" s="3173" t="s">
        <v>4347</v>
      </c>
      <c r="G78" s="3173">
        <v>33.26</v>
      </c>
      <c r="H78" s="3173" t="s">
        <v>672</v>
      </c>
      <c r="I78" s="3173"/>
      <c r="J78" s="3174">
        <v>45276</v>
      </c>
      <c r="K78" s="3173" t="s">
        <v>4277</v>
      </c>
      <c r="L78" s="3173" t="s">
        <v>4278</v>
      </c>
      <c r="M78" s="3173" t="s">
        <v>4279</v>
      </c>
      <c r="N78" s="3173" t="s">
        <v>4280</v>
      </c>
      <c r="O78" s="3544">
        <v>2</v>
      </c>
      <c r="AS78" s="3173">
        <v>77</v>
      </c>
      <c r="AT78" s="3173">
        <v>20240070009</v>
      </c>
      <c r="AU78" s="3173"/>
      <c r="AV78" s="3173"/>
      <c r="AW78" s="3173" t="s">
        <v>4274</v>
      </c>
      <c r="AX78" s="3173" t="s">
        <v>4498</v>
      </c>
      <c r="AY78" s="3173">
        <v>39.32</v>
      </c>
      <c r="AZ78" s="3173" t="s">
        <v>4276</v>
      </c>
      <c r="BA78" s="3173"/>
      <c r="BB78" s="3174">
        <v>45364</v>
      </c>
      <c r="BC78" s="3173" t="s">
        <v>4277</v>
      </c>
      <c r="BD78" s="3173" t="s">
        <v>4297</v>
      </c>
      <c r="BE78" s="3173" t="s">
        <v>4279</v>
      </c>
      <c r="BF78" s="3173" t="s">
        <v>4280</v>
      </c>
    </row>
    <row r="79" spans="1:58" ht="54">
      <c r="A79" s="3173">
        <v>78</v>
      </c>
      <c r="B79" s="3173" t="s">
        <v>4273</v>
      </c>
      <c r="C79" s="3173"/>
      <c r="D79" s="3173"/>
      <c r="E79" s="3173" t="s">
        <v>4274</v>
      </c>
      <c r="F79" s="3173" t="s">
        <v>4350</v>
      </c>
      <c r="G79" s="3173">
        <v>33.93</v>
      </c>
      <c r="H79" s="3173" t="s">
        <v>672</v>
      </c>
      <c r="I79" s="3173"/>
      <c r="J79" s="3174">
        <v>45276</v>
      </c>
      <c r="K79" s="3173" t="s">
        <v>4277</v>
      </c>
      <c r="L79" s="3173" t="s">
        <v>4278</v>
      </c>
      <c r="M79" s="3173" t="s">
        <v>4279</v>
      </c>
      <c r="N79" s="3173" t="s">
        <v>4280</v>
      </c>
      <c r="O79" s="3544">
        <v>2</v>
      </c>
      <c r="AS79" s="3173">
        <v>78</v>
      </c>
      <c r="AT79" s="3173">
        <v>20240070009</v>
      </c>
      <c r="AU79" s="3173"/>
      <c r="AV79" s="3173"/>
      <c r="AW79" s="3173" t="s">
        <v>4274</v>
      </c>
      <c r="AX79" s="3173" t="s">
        <v>4499</v>
      </c>
      <c r="AY79" s="3173">
        <v>39.32</v>
      </c>
      <c r="AZ79" s="3173" t="s">
        <v>4276</v>
      </c>
      <c r="BA79" s="3173"/>
      <c r="BB79" s="3174">
        <v>45364</v>
      </c>
      <c r="BC79" s="3173" t="s">
        <v>4277</v>
      </c>
      <c r="BD79" s="3173" t="s">
        <v>4297</v>
      </c>
      <c r="BE79" s="3173" t="s">
        <v>4279</v>
      </c>
      <c r="BF79" s="3173" t="s">
        <v>4280</v>
      </c>
    </row>
    <row r="80" spans="1:58" ht="54">
      <c r="A80" s="3173">
        <v>79</v>
      </c>
      <c r="B80" s="3173" t="s">
        <v>4273</v>
      </c>
      <c r="C80" s="3173"/>
      <c r="D80" s="3173"/>
      <c r="E80" s="3173" t="s">
        <v>4274</v>
      </c>
      <c r="F80" s="3173" t="s">
        <v>4353</v>
      </c>
      <c r="G80" s="3173">
        <v>33.31</v>
      </c>
      <c r="H80" s="3173" t="s">
        <v>672</v>
      </c>
      <c r="I80" s="3173"/>
      <c r="J80" s="3174">
        <v>45276</v>
      </c>
      <c r="K80" s="3173" t="s">
        <v>4277</v>
      </c>
      <c r="L80" s="3173" t="s">
        <v>4278</v>
      </c>
      <c r="M80" s="3173" t="s">
        <v>4279</v>
      </c>
      <c r="N80" s="3173" t="s">
        <v>4280</v>
      </c>
      <c r="O80" s="3544">
        <v>2</v>
      </c>
      <c r="AS80" s="3173">
        <v>79</v>
      </c>
      <c r="AT80" s="3173">
        <v>20240070009</v>
      </c>
      <c r="AU80" s="3173"/>
      <c r="AV80" s="3173"/>
      <c r="AW80" s="3173" t="s">
        <v>4274</v>
      </c>
      <c r="AX80" s="3173" t="s">
        <v>4500</v>
      </c>
      <c r="AY80" s="3173">
        <v>39.32</v>
      </c>
      <c r="AZ80" s="3173" t="s">
        <v>4276</v>
      </c>
      <c r="BA80" s="3173"/>
      <c r="BB80" s="3174">
        <v>45364</v>
      </c>
      <c r="BC80" s="3173" t="s">
        <v>4277</v>
      </c>
      <c r="BD80" s="3173" t="s">
        <v>4297</v>
      </c>
      <c r="BE80" s="3173" t="s">
        <v>4279</v>
      </c>
      <c r="BF80" s="3173" t="s">
        <v>4280</v>
      </c>
    </row>
    <row r="81" spans="1:58" ht="54">
      <c r="A81" s="3173">
        <v>80</v>
      </c>
      <c r="B81" s="3173" t="s">
        <v>4273</v>
      </c>
      <c r="C81" s="3173"/>
      <c r="D81" s="3173"/>
      <c r="E81" s="3173" t="s">
        <v>4274</v>
      </c>
      <c r="F81" s="3173" t="s">
        <v>4356</v>
      </c>
      <c r="G81" s="3173">
        <v>29.91</v>
      </c>
      <c r="H81" s="3173" t="s">
        <v>672</v>
      </c>
      <c r="I81" s="3173"/>
      <c r="J81" s="3174">
        <v>45276</v>
      </c>
      <c r="K81" s="3173" t="s">
        <v>4277</v>
      </c>
      <c r="L81" s="3173" t="s">
        <v>4278</v>
      </c>
      <c r="M81" s="3173" t="s">
        <v>4279</v>
      </c>
      <c r="N81" s="3173" t="s">
        <v>4280</v>
      </c>
      <c r="O81" s="3544">
        <v>2</v>
      </c>
      <c r="AS81" s="3173">
        <v>80</v>
      </c>
      <c r="AT81" s="3173">
        <v>20240070009</v>
      </c>
      <c r="AU81" s="3173"/>
      <c r="AV81" s="3173"/>
      <c r="AW81" s="3173" t="s">
        <v>4274</v>
      </c>
      <c r="AX81" s="3173" t="s">
        <v>4501</v>
      </c>
      <c r="AY81" s="3173">
        <v>39.32</v>
      </c>
      <c r="AZ81" s="3173" t="s">
        <v>4276</v>
      </c>
      <c r="BA81" s="3173"/>
      <c r="BB81" s="3174">
        <v>45364</v>
      </c>
      <c r="BC81" s="3173" t="s">
        <v>4277</v>
      </c>
      <c r="BD81" s="3173" t="s">
        <v>4297</v>
      </c>
      <c r="BE81" s="3173" t="s">
        <v>4279</v>
      </c>
      <c r="BF81" s="3173" t="s">
        <v>4280</v>
      </c>
    </row>
    <row r="82" spans="1:58" ht="54">
      <c r="A82" s="3173">
        <v>81</v>
      </c>
      <c r="B82" s="3173" t="s">
        <v>4273</v>
      </c>
      <c r="C82" s="3173"/>
      <c r="D82" s="3173"/>
      <c r="E82" s="3173" t="s">
        <v>4274</v>
      </c>
      <c r="F82" s="3173" t="s">
        <v>4359</v>
      </c>
      <c r="G82" s="3173">
        <v>26.2</v>
      </c>
      <c r="H82" s="3173" t="s">
        <v>672</v>
      </c>
      <c r="I82" s="3173"/>
      <c r="J82" s="3174">
        <v>45276</v>
      </c>
      <c r="K82" s="3173" t="s">
        <v>4277</v>
      </c>
      <c r="L82" s="3173" t="s">
        <v>4278</v>
      </c>
      <c r="M82" s="3173" t="s">
        <v>4279</v>
      </c>
      <c r="N82" s="3173" t="s">
        <v>4280</v>
      </c>
      <c r="O82" s="3544">
        <v>2</v>
      </c>
      <c r="AS82" s="3173">
        <v>81</v>
      </c>
      <c r="AT82" s="3173">
        <v>20240070009</v>
      </c>
      <c r="AU82" s="3173"/>
      <c r="AV82" s="3173"/>
      <c r="AW82" s="3173" t="s">
        <v>4274</v>
      </c>
      <c r="AX82" s="3173" t="s">
        <v>4502</v>
      </c>
      <c r="AY82" s="3173">
        <v>39.32</v>
      </c>
      <c r="AZ82" s="3173" t="s">
        <v>4276</v>
      </c>
      <c r="BA82" s="3173"/>
      <c r="BB82" s="3174">
        <v>45364</v>
      </c>
      <c r="BC82" s="3173" t="s">
        <v>4277</v>
      </c>
      <c r="BD82" s="3173" t="s">
        <v>4297</v>
      </c>
      <c r="BE82" s="3173" t="s">
        <v>4279</v>
      </c>
      <c r="BF82" s="3173" t="s">
        <v>4280</v>
      </c>
    </row>
    <row r="83" spans="1:58" ht="54">
      <c r="A83" s="3173">
        <v>82</v>
      </c>
      <c r="B83" s="3173" t="s">
        <v>4273</v>
      </c>
      <c r="C83" s="3173"/>
      <c r="D83" s="3173"/>
      <c r="E83" s="3173" t="s">
        <v>4274</v>
      </c>
      <c r="F83" s="3173" t="s">
        <v>4503</v>
      </c>
      <c r="G83" s="3173">
        <v>25.26</v>
      </c>
      <c r="H83" s="3173" t="s">
        <v>672</v>
      </c>
      <c r="I83" s="3173"/>
      <c r="J83" s="3174">
        <v>45276</v>
      </c>
      <c r="K83" s="3173" t="s">
        <v>4277</v>
      </c>
      <c r="L83" s="3173" t="s">
        <v>4278</v>
      </c>
      <c r="M83" s="3173" t="s">
        <v>4279</v>
      </c>
      <c r="N83" s="3173" t="s">
        <v>4280</v>
      </c>
      <c r="O83" s="3544">
        <v>3</v>
      </c>
      <c r="AS83" s="3173">
        <v>82</v>
      </c>
      <c r="AT83" s="3173">
        <v>20240070009</v>
      </c>
      <c r="AU83" s="3173"/>
      <c r="AV83" s="3173"/>
      <c r="AW83" s="3173" t="s">
        <v>4274</v>
      </c>
      <c r="AX83" s="3173" t="s">
        <v>4504</v>
      </c>
      <c r="AY83" s="3173">
        <v>39.32</v>
      </c>
      <c r="AZ83" s="3173" t="s">
        <v>4276</v>
      </c>
      <c r="BA83" s="3173"/>
      <c r="BB83" s="3174">
        <v>45364</v>
      </c>
      <c r="BC83" s="3173" t="s">
        <v>4277</v>
      </c>
      <c r="BD83" s="3173" t="s">
        <v>4297</v>
      </c>
      <c r="BE83" s="3173" t="s">
        <v>4279</v>
      </c>
      <c r="BF83" s="3173" t="s">
        <v>4280</v>
      </c>
    </row>
    <row r="84" spans="1:58" ht="54">
      <c r="A84" s="3173">
        <v>83</v>
      </c>
      <c r="B84" s="3173" t="s">
        <v>4273</v>
      </c>
      <c r="C84" s="3173"/>
      <c r="D84" s="3173"/>
      <c r="E84" s="3173" t="s">
        <v>4274</v>
      </c>
      <c r="F84" s="3173" t="s">
        <v>4505</v>
      </c>
      <c r="G84" s="3173">
        <v>30.85</v>
      </c>
      <c r="H84" s="3173" t="s">
        <v>672</v>
      </c>
      <c r="I84" s="3173"/>
      <c r="J84" s="3174">
        <v>45276</v>
      </c>
      <c r="K84" s="3173" t="s">
        <v>4277</v>
      </c>
      <c r="L84" s="3173" t="s">
        <v>4278</v>
      </c>
      <c r="M84" s="3173" t="s">
        <v>4279</v>
      </c>
      <c r="N84" s="3173" t="s">
        <v>4280</v>
      </c>
      <c r="O84" s="3544">
        <v>3</v>
      </c>
      <c r="AS84" s="3173">
        <v>83</v>
      </c>
      <c r="AT84" s="3173">
        <v>20240070009</v>
      </c>
      <c r="AU84" s="3173"/>
      <c r="AV84" s="3173"/>
      <c r="AW84" s="3173" t="s">
        <v>4274</v>
      </c>
      <c r="AX84" s="3173" t="s">
        <v>4506</v>
      </c>
      <c r="AY84" s="3173">
        <v>39.32</v>
      </c>
      <c r="AZ84" s="3173" t="s">
        <v>4276</v>
      </c>
      <c r="BA84" s="3173"/>
      <c r="BB84" s="3174">
        <v>45364</v>
      </c>
      <c r="BC84" s="3173" t="s">
        <v>4277</v>
      </c>
      <c r="BD84" s="3173" t="s">
        <v>4284</v>
      </c>
      <c r="BE84" s="3173" t="s">
        <v>4279</v>
      </c>
      <c r="BF84" s="3173" t="s">
        <v>4280</v>
      </c>
    </row>
    <row r="85" spans="1:58" ht="54">
      <c r="A85" s="3173">
        <v>84</v>
      </c>
      <c r="B85" s="3173" t="s">
        <v>4273</v>
      </c>
      <c r="C85" s="3173"/>
      <c r="D85" s="3173"/>
      <c r="E85" s="3173" t="s">
        <v>4274</v>
      </c>
      <c r="F85" s="3173" t="s">
        <v>4507</v>
      </c>
      <c r="G85" s="3173">
        <v>34.159999999999997</v>
      </c>
      <c r="H85" s="3173" t="s">
        <v>672</v>
      </c>
      <c r="I85" s="3173"/>
      <c r="J85" s="3174">
        <v>45276</v>
      </c>
      <c r="K85" s="3173" t="s">
        <v>4277</v>
      </c>
      <c r="L85" s="3173" t="s">
        <v>4278</v>
      </c>
      <c r="M85" s="3173" t="s">
        <v>4279</v>
      </c>
      <c r="N85" s="3173" t="s">
        <v>4280</v>
      </c>
      <c r="O85" s="3544">
        <v>3</v>
      </c>
      <c r="AS85" s="3173">
        <v>84</v>
      </c>
      <c r="AT85" s="3173">
        <v>20240070009</v>
      </c>
      <c r="AU85" s="3173"/>
      <c r="AV85" s="3173"/>
      <c r="AW85" s="3173" t="s">
        <v>4274</v>
      </c>
      <c r="AX85" s="3173" t="s">
        <v>4508</v>
      </c>
      <c r="AY85" s="3173">
        <v>39.32</v>
      </c>
      <c r="AZ85" s="3173" t="s">
        <v>4276</v>
      </c>
      <c r="BA85" s="3173"/>
      <c r="BB85" s="3174">
        <v>45364</v>
      </c>
      <c r="BC85" s="3173" t="s">
        <v>4277</v>
      </c>
      <c r="BD85" s="3173" t="s">
        <v>4284</v>
      </c>
      <c r="BE85" s="3173" t="s">
        <v>4279</v>
      </c>
      <c r="BF85" s="3173" t="s">
        <v>4280</v>
      </c>
    </row>
    <row r="86" spans="1:58" ht="54">
      <c r="A86" s="3173">
        <v>85</v>
      </c>
      <c r="B86" s="3173" t="s">
        <v>4273</v>
      </c>
      <c r="C86" s="3173"/>
      <c r="D86" s="3173"/>
      <c r="E86" s="3173" t="s">
        <v>4274</v>
      </c>
      <c r="F86" s="3173" t="s">
        <v>4509</v>
      </c>
      <c r="G86" s="3173">
        <v>33.14</v>
      </c>
      <c r="H86" s="3173" t="s">
        <v>672</v>
      </c>
      <c r="I86" s="3173"/>
      <c r="J86" s="3174">
        <v>45276</v>
      </c>
      <c r="K86" s="3173" t="s">
        <v>4277</v>
      </c>
      <c r="L86" s="3173" t="s">
        <v>4278</v>
      </c>
      <c r="M86" s="3173" t="s">
        <v>4279</v>
      </c>
      <c r="N86" s="3173" t="s">
        <v>4280</v>
      </c>
      <c r="O86" s="3544">
        <v>3</v>
      </c>
      <c r="AS86" s="3173">
        <v>85</v>
      </c>
      <c r="AT86" s="3173">
        <v>20240070009</v>
      </c>
      <c r="AU86" s="3173"/>
      <c r="AV86" s="3173"/>
      <c r="AW86" s="3173" t="s">
        <v>4274</v>
      </c>
      <c r="AX86" s="3173" t="s">
        <v>4510</v>
      </c>
      <c r="AY86" s="3173">
        <v>39.32</v>
      </c>
      <c r="AZ86" s="3173" t="s">
        <v>4276</v>
      </c>
      <c r="BA86" s="3173"/>
      <c r="BB86" s="3174">
        <v>45364</v>
      </c>
      <c r="BC86" s="3173" t="s">
        <v>4277</v>
      </c>
      <c r="BD86" s="3173" t="s">
        <v>4284</v>
      </c>
      <c r="BE86" s="3173" t="s">
        <v>4279</v>
      </c>
      <c r="BF86" s="3173" t="s">
        <v>4280</v>
      </c>
    </row>
    <row r="87" spans="1:58" ht="54">
      <c r="A87" s="3173">
        <v>86</v>
      </c>
      <c r="B87" s="3173" t="s">
        <v>4273</v>
      </c>
      <c r="C87" s="3173"/>
      <c r="D87" s="3173"/>
      <c r="E87" s="3173" t="s">
        <v>4274</v>
      </c>
      <c r="F87" s="3173" t="s">
        <v>4511</v>
      </c>
      <c r="G87" s="3173">
        <v>22.28</v>
      </c>
      <c r="H87" s="3173" t="s">
        <v>672</v>
      </c>
      <c r="I87" s="3173"/>
      <c r="J87" s="3174">
        <v>45276</v>
      </c>
      <c r="K87" s="3173" t="s">
        <v>4277</v>
      </c>
      <c r="L87" s="3173" t="s">
        <v>4278</v>
      </c>
      <c r="M87" s="3173" t="s">
        <v>4279</v>
      </c>
      <c r="N87" s="3173" t="s">
        <v>4280</v>
      </c>
      <c r="O87" s="3544">
        <v>3</v>
      </c>
      <c r="AS87" s="3173">
        <v>86</v>
      </c>
      <c r="AT87" s="3173">
        <v>20240070009</v>
      </c>
      <c r="AU87" s="3173"/>
      <c r="AV87" s="3173"/>
      <c r="AW87" s="3173" t="s">
        <v>4274</v>
      </c>
      <c r="AX87" s="3173" t="s">
        <v>4512</v>
      </c>
      <c r="AY87" s="3173">
        <v>39.32</v>
      </c>
      <c r="AZ87" s="3173" t="s">
        <v>4276</v>
      </c>
      <c r="BA87" s="3173"/>
      <c r="BB87" s="3174">
        <v>45364</v>
      </c>
      <c r="BC87" s="3173" t="s">
        <v>4277</v>
      </c>
      <c r="BD87" s="3173" t="s">
        <v>4297</v>
      </c>
      <c r="BE87" s="3173" t="s">
        <v>4279</v>
      </c>
      <c r="BF87" s="3173" t="s">
        <v>4280</v>
      </c>
    </row>
    <row r="88" spans="1:58" ht="54">
      <c r="A88" s="3173">
        <v>87</v>
      </c>
      <c r="B88" s="3173" t="s">
        <v>4273</v>
      </c>
      <c r="C88" s="3173"/>
      <c r="D88" s="3173"/>
      <c r="E88" s="3173" t="s">
        <v>4274</v>
      </c>
      <c r="F88" s="3173" t="s">
        <v>4513</v>
      </c>
      <c r="G88" s="3173">
        <v>36.630000000000003</v>
      </c>
      <c r="H88" s="3173" t="s">
        <v>672</v>
      </c>
      <c r="I88" s="3173"/>
      <c r="J88" s="3174">
        <v>45276</v>
      </c>
      <c r="K88" s="3173" t="s">
        <v>4277</v>
      </c>
      <c r="L88" s="3173" t="s">
        <v>4278</v>
      </c>
      <c r="M88" s="3173" t="s">
        <v>4279</v>
      </c>
      <c r="N88" s="3173" t="s">
        <v>4280</v>
      </c>
      <c r="O88" s="3544">
        <v>3</v>
      </c>
      <c r="AS88" s="3173">
        <v>87</v>
      </c>
      <c r="AT88" s="3173">
        <v>20240070009</v>
      </c>
      <c r="AU88" s="3173"/>
      <c r="AV88" s="3173"/>
      <c r="AW88" s="3173" t="s">
        <v>4274</v>
      </c>
      <c r="AX88" s="3173" t="s">
        <v>4514</v>
      </c>
      <c r="AY88" s="3173">
        <v>39.32</v>
      </c>
      <c r="AZ88" s="3173" t="s">
        <v>4276</v>
      </c>
      <c r="BA88" s="3173"/>
      <c r="BB88" s="3174">
        <v>45364</v>
      </c>
      <c r="BC88" s="3173" t="s">
        <v>4277</v>
      </c>
      <c r="BD88" s="3173" t="s">
        <v>4297</v>
      </c>
      <c r="BE88" s="3173" t="s">
        <v>4279</v>
      </c>
      <c r="BF88" s="3173" t="s">
        <v>4280</v>
      </c>
    </row>
    <row r="89" spans="1:58" ht="54">
      <c r="A89" s="3173">
        <v>88</v>
      </c>
      <c r="B89" s="3173" t="s">
        <v>4273</v>
      </c>
      <c r="C89" s="3173"/>
      <c r="D89" s="3173"/>
      <c r="E89" s="3173" t="s">
        <v>4274</v>
      </c>
      <c r="F89" s="3173" t="s">
        <v>4515</v>
      </c>
      <c r="G89" s="3173">
        <v>37.590000000000003</v>
      </c>
      <c r="H89" s="3173" t="s">
        <v>672</v>
      </c>
      <c r="I89" s="3173"/>
      <c r="J89" s="3174">
        <v>45276</v>
      </c>
      <c r="K89" s="3173" t="s">
        <v>4277</v>
      </c>
      <c r="L89" s="3173" t="s">
        <v>4278</v>
      </c>
      <c r="M89" s="3173" t="s">
        <v>4279</v>
      </c>
      <c r="N89" s="3173" t="s">
        <v>4280</v>
      </c>
      <c r="O89" s="3544">
        <v>3</v>
      </c>
      <c r="AS89" s="3173">
        <v>88</v>
      </c>
      <c r="AT89" s="3173">
        <v>20240070009</v>
      </c>
      <c r="AU89" s="3173"/>
      <c r="AV89" s="3173"/>
      <c r="AW89" s="3173" t="s">
        <v>4274</v>
      </c>
      <c r="AX89" s="3173" t="s">
        <v>4516</v>
      </c>
      <c r="AY89" s="3173">
        <v>39.32</v>
      </c>
      <c r="AZ89" s="3173" t="s">
        <v>4276</v>
      </c>
      <c r="BA89" s="3173"/>
      <c r="BB89" s="3174">
        <v>45364</v>
      </c>
      <c r="BC89" s="3173" t="s">
        <v>4277</v>
      </c>
      <c r="BD89" s="3173" t="s">
        <v>4297</v>
      </c>
      <c r="BE89" s="3173" t="s">
        <v>4279</v>
      </c>
      <c r="BF89" s="3173" t="s">
        <v>4280</v>
      </c>
    </row>
    <row r="90" spans="1:58" ht="54">
      <c r="A90" s="3173">
        <v>89</v>
      </c>
      <c r="B90" s="3173" t="s">
        <v>4273</v>
      </c>
      <c r="C90" s="3173"/>
      <c r="D90" s="3173"/>
      <c r="E90" s="3173" t="s">
        <v>4274</v>
      </c>
      <c r="F90" s="3173" t="s">
        <v>4517</v>
      </c>
      <c r="G90" s="3173">
        <v>12.51</v>
      </c>
      <c r="H90" s="3173" t="s">
        <v>672</v>
      </c>
      <c r="I90" s="3173"/>
      <c r="J90" s="3174">
        <v>45276</v>
      </c>
      <c r="K90" s="3173" t="s">
        <v>4277</v>
      </c>
      <c r="L90" s="3173" t="s">
        <v>4278</v>
      </c>
      <c r="M90" s="3173" t="s">
        <v>4279</v>
      </c>
      <c r="N90" s="3173" t="s">
        <v>4280</v>
      </c>
      <c r="O90" s="3544">
        <v>3</v>
      </c>
      <c r="AS90" s="3173">
        <v>89</v>
      </c>
      <c r="AT90" s="3173">
        <v>20240070009</v>
      </c>
      <c r="AU90" s="3173"/>
      <c r="AV90" s="3173"/>
      <c r="AW90" s="3173" t="s">
        <v>4274</v>
      </c>
      <c r="AX90" s="3173" t="s">
        <v>4518</v>
      </c>
      <c r="AY90" s="3173">
        <v>39.32</v>
      </c>
      <c r="AZ90" s="3173" t="s">
        <v>4276</v>
      </c>
      <c r="BA90" s="3173"/>
      <c r="BB90" s="3174">
        <v>45364</v>
      </c>
      <c r="BC90" s="3173" t="s">
        <v>4277</v>
      </c>
      <c r="BD90" s="3173" t="s">
        <v>4297</v>
      </c>
      <c r="BE90" s="3173" t="s">
        <v>4279</v>
      </c>
      <c r="BF90" s="3173" t="s">
        <v>4280</v>
      </c>
    </row>
    <row r="91" spans="1:58" ht="54">
      <c r="A91" s="3173">
        <v>90</v>
      </c>
      <c r="B91" s="3173" t="s">
        <v>4273</v>
      </c>
      <c r="C91" s="3173"/>
      <c r="D91" s="3173"/>
      <c r="E91" s="3173" t="s">
        <v>4274</v>
      </c>
      <c r="F91" s="3173" t="s">
        <v>4519</v>
      </c>
      <c r="G91" s="3173">
        <v>33.26</v>
      </c>
      <c r="H91" s="3173" t="s">
        <v>672</v>
      </c>
      <c r="I91" s="3173"/>
      <c r="J91" s="3174">
        <v>45276</v>
      </c>
      <c r="K91" s="3173" t="s">
        <v>4277</v>
      </c>
      <c r="L91" s="3173" t="s">
        <v>4278</v>
      </c>
      <c r="M91" s="3173" t="s">
        <v>4279</v>
      </c>
      <c r="N91" s="3173" t="s">
        <v>4280</v>
      </c>
      <c r="O91" s="3544">
        <v>3</v>
      </c>
      <c r="AS91" s="3173">
        <v>90</v>
      </c>
      <c r="AT91" s="3173">
        <v>20240070009</v>
      </c>
      <c r="AU91" s="3173"/>
      <c r="AV91" s="3173"/>
      <c r="AW91" s="3173" t="s">
        <v>4274</v>
      </c>
      <c r="AX91" s="3173" t="s">
        <v>4520</v>
      </c>
      <c r="AY91" s="3173">
        <v>39.32</v>
      </c>
      <c r="AZ91" s="3173" t="s">
        <v>4276</v>
      </c>
      <c r="BA91" s="3173"/>
      <c r="BB91" s="3174">
        <v>45364</v>
      </c>
      <c r="BC91" s="3173" t="s">
        <v>4277</v>
      </c>
      <c r="BD91" s="3173" t="s">
        <v>4284</v>
      </c>
      <c r="BE91" s="3173" t="s">
        <v>4279</v>
      </c>
      <c r="BF91" s="3173" t="s">
        <v>4280</v>
      </c>
    </row>
    <row r="92" spans="1:58" ht="54">
      <c r="A92" s="3173">
        <v>91</v>
      </c>
      <c r="B92" s="3173" t="s">
        <v>4273</v>
      </c>
      <c r="C92" s="3173"/>
      <c r="D92" s="3173"/>
      <c r="E92" s="3173" t="s">
        <v>4274</v>
      </c>
      <c r="F92" s="3173" t="s">
        <v>4521</v>
      </c>
      <c r="G92" s="3173">
        <v>33.51</v>
      </c>
      <c r="H92" s="3173" t="s">
        <v>672</v>
      </c>
      <c r="I92" s="3173"/>
      <c r="J92" s="3174">
        <v>45276</v>
      </c>
      <c r="K92" s="3173" t="s">
        <v>4277</v>
      </c>
      <c r="L92" s="3173" t="s">
        <v>4278</v>
      </c>
      <c r="M92" s="3173" t="s">
        <v>4279</v>
      </c>
      <c r="N92" s="3173" t="s">
        <v>4280</v>
      </c>
      <c r="O92" s="3544">
        <v>3</v>
      </c>
      <c r="AS92" s="3173">
        <v>91</v>
      </c>
      <c r="AT92" s="3173">
        <v>20240070009</v>
      </c>
      <c r="AU92" s="3173"/>
      <c r="AV92" s="3173"/>
      <c r="AW92" s="3173" t="s">
        <v>4274</v>
      </c>
      <c r="AX92" s="3173" t="s">
        <v>4522</v>
      </c>
      <c r="AY92" s="3173">
        <v>39.32</v>
      </c>
      <c r="AZ92" s="3173" t="s">
        <v>4276</v>
      </c>
      <c r="BA92" s="3173"/>
      <c r="BB92" s="3174">
        <v>45364</v>
      </c>
      <c r="BC92" s="3173" t="s">
        <v>4277</v>
      </c>
      <c r="BD92" s="3173" t="s">
        <v>4284</v>
      </c>
      <c r="BE92" s="3173" t="s">
        <v>4279</v>
      </c>
      <c r="BF92" s="3173" t="s">
        <v>4280</v>
      </c>
    </row>
    <row r="93" spans="1:58" ht="54">
      <c r="A93" s="3173">
        <v>92</v>
      </c>
      <c r="B93" s="3173" t="s">
        <v>4273</v>
      </c>
      <c r="C93" s="3173"/>
      <c r="D93" s="3173"/>
      <c r="E93" s="3173" t="s">
        <v>4274</v>
      </c>
      <c r="F93" s="3173" t="s">
        <v>4523</v>
      </c>
      <c r="G93" s="3173">
        <v>61.2</v>
      </c>
      <c r="H93" s="3173" t="s">
        <v>672</v>
      </c>
      <c r="I93" s="3173"/>
      <c r="J93" s="3174">
        <v>45276</v>
      </c>
      <c r="K93" s="3173" t="s">
        <v>4277</v>
      </c>
      <c r="L93" s="3173" t="s">
        <v>4278</v>
      </c>
      <c r="M93" s="3173" t="s">
        <v>4279</v>
      </c>
      <c r="N93" s="3173" t="s">
        <v>4280</v>
      </c>
      <c r="O93" s="3544">
        <v>3</v>
      </c>
      <c r="AS93" s="3173">
        <v>92</v>
      </c>
      <c r="AT93" s="3173">
        <v>20240070009</v>
      </c>
      <c r="AU93" s="3173"/>
      <c r="AV93" s="3173"/>
      <c r="AW93" s="3173" t="s">
        <v>4274</v>
      </c>
      <c r="AX93" s="3173" t="s">
        <v>4524</v>
      </c>
      <c r="AY93" s="3173">
        <v>39.32</v>
      </c>
      <c r="AZ93" s="3173" t="s">
        <v>4276</v>
      </c>
      <c r="BA93" s="3173"/>
      <c r="BB93" s="3174">
        <v>45364</v>
      </c>
      <c r="BC93" s="3173" t="s">
        <v>4277</v>
      </c>
      <c r="BD93" s="3173" t="s">
        <v>4284</v>
      </c>
      <c r="BE93" s="3173" t="s">
        <v>4279</v>
      </c>
      <c r="BF93" s="3173" t="s">
        <v>4280</v>
      </c>
    </row>
    <row r="94" spans="1:58" ht="54">
      <c r="A94" s="3173">
        <v>93</v>
      </c>
      <c r="B94" s="3173" t="s">
        <v>4273</v>
      </c>
      <c r="C94" s="3173"/>
      <c r="D94" s="3173"/>
      <c r="E94" s="3173" t="s">
        <v>4274</v>
      </c>
      <c r="F94" s="3173" t="s">
        <v>4525</v>
      </c>
      <c r="G94" s="3173">
        <v>52.44</v>
      </c>
      <c r="H94" s="3173" t="s">
        <v>672</v>
      </c>
      <c r="I94" s="3173"/>
      <c r="J94" s="3174">
        <v>45276</v>
      </c>
      <c r="K94" s="3173" t="s">
        <v>4277</v>
      </c>
      <c r="L94" s="3173" t="s">
        <v>4278</v>
      </c>
      <c r="M94" s="3173" t="s">
        <v>4279</v>
      </c>
      <c r="N94" s="3173" t="s">
        <v>4280</v>
      </c>
      <c r="O94" s="3544">
        <v>3</v>
      </c>
      <c r="AS94" s="3173">
        <v>93</v>
      </c>
      <c r="AT94" s="3173">
        <v>20240070009</v>
      </c>
      <c r="AU94" s="3173"/>
      <c r="AV94" s="3173"/>
      <c r="AW94" s="3173" t="s">
        <v>4274</v>
      </c>
      <c r="AX94" s="3173" t="s">
        <v>4526</v>
      </c>
      <c r="AY94" s="3173">
        <v>39.32</v>
      </c>
      <c r="AZ94" s="3173" t="s">
        <v>4276</v>
      </c>
      <c r="BA94" s="3173"/>
      <c r="BB94" s="3174">
        <v>45364</v>
      </c>
      <c r="BC94" s="3173" t="s">
        <v>4277</v>
      </c>
      <c r="BD94" s="3173" t="s">
        <v>4284</v>
      </c>
      <c r="BE94" s="3173" t="s">
        <v>4279</v>
      </c>
      <c r="BF94" s="3173" t="s">
        <v>4280</v>
      </c>
    </row>
    <row r="95" spans="1:58" ht="54">
      <c r="A95" s="3173">
        <v>94</v>
      </c>
      <c r="B95" s="3173" t="s">
        <v>4273</v>
      </c>
      <c r="C95" s="3173"/>
      <c r="D95" s="3173"/>
      <c r="E95" s="3173" t="s">
        <v>4274</v>
      </c>
      <c r="F95" s="3173" t="s">
        <v>4527</v>
      </c>
      <c r="G95" s="3173">
        <v>47.89</v>
      </c>
      <c r="H95" s="3173" t="s">
        <v>672</v>
      </c>
      <c r="I95" s="3173"/>
      <c r="J95" s="3174">
        <v>45276</v>
      </c>
      <c r="K95" s="3173" t="s">
        <v>4277</v>
      </c>
      <c r="L95" s="3173" t="s">
        <v>4278</v>
      </c>
      <c r="M95" s="3173" t="s">
        <v>4279</v>
      </c>
      <c r="N95" s="3173" t="s">
        <v>4280</v>
      </c>
      <c r="O95" s="3544">
        <v>3</v>
      </c>
      <c r="AS95" s="3173">
        <v>94</v>
      </c>
      <c r="AT95" s="3173">
        <v>20240070009</v>
      </c>
      <c r="AU95" s="3173"/>
      <c r="AV95" s="3173"/>
      <c r="AW95" s="3173" t="s">
        <v>4274</v>
      </c>
      <c r="AX95" s="3173" t="s">
        <v>4528</v>
      </c>
      <c r="AY95" s="3173">
        <v>39.32</v>
      </c>
      <c r="AZ95" s="3173" t="s">
        <v>4276</v>
      </c>
      <c r="BA95" s="3173"/>
      <c r="BB95" s="3174">
        <v>45364</v>
      </c>
      <c r="BC95" s="3173" t="s">
        <v>4277</v>
      </c>
      <c r="BD95" s="3173" t="s">
        <v>4284</v>
      </c>
      <c r="BE95" s="3173" t="s">
        <v>4279</v>
      </c>
      <c r="BF95" s="3173" t="s">
        <v>4280</v>
      </c>
    </row>
    <row r="96" spans="1:58" ht="54">
      <c r="A96" s="3173">
        <v>95</v>
      </c>
      <c r="B96" s="3173" t="s">
        <v>4273</v>
      </c>
      <c r="C96" s="3173"/>
      <c r="D96" s="3173"/>
      <c r="E96" s="3173" t="s">
        <v>4274</v>
      </c>
      <c r="F96" s="3173" t="s">
        <v>4529</v>
      </c>
      <c r="G96" s="3173">
        <v>18.7</v>
      </c>
      <c r="H96" s="3173" t="s">
        <v>672</v>
      </c>
      <c r="I96" s="3173"/>
      <c r="J96" s="3174">
        <v>45276</v>
      </c>
      <c r="K96" s="3173" t="s">
        <v>4277</v>
      </c>
      <c r="L96" s="3173" t="s">
        <v>4278</v>
      </c>
      <c r="M96" s="3173" t="s">
        <v>4279</v>
      </c>
      <c r="N96" s="3173" t="s">
        <v>4280</v>
      </c>
      <c r="O96" s="3544">
        <v>3</v>
      </c>
      <c r="AS96" s="3173">
        <v>95</v>
      </c>
      <c r="AT96" s="3173">
        <v>20240070009</v>
      </c>
      <c r="AU96" s="3173"/>
      <c r="AV96" s="3173"/>
      <c r="AW96" s="3173" t="s">
        <v>4274</v>
      </c>
      <c r="AX96" s="3173" t="s">
        <v>4530</v>
      </c>
      <c r="AY96" s="3173">
        <v>39.32</v>
      </c>
      <c r="AZ96" s="3173" t="s">
        <v>4276</v>
      </c>
      <c r="BA96" s="3173"/>
      <c r="BB96" s="3174">
        <v>45364</v>
      </c>
      <c r="BC96" s="3173" t="s">
        <v>4277</v>
      </c>
      <c r="BD96" s="3173" t="s">
        <v>4284</v>
      </c>
      <c r="BE96" s="3173" t="s">
        <v>4279</v>
      </c>
      <c r="BF96" s="3173" t="s">
        <v>4280</v>
      </c>
    </row>
    <row r="97" spans="1:58" ht="54">
      <c r="A97" s="3173">
        <v>96</v>
      </c>
      <c r="B97" s="3173" t="s">
        <v>4273</v>
      </c>
      <c r="C97" s="3173"/>
      <c r="D97" s="3173"/>
      <c r="E97" s="3173" t="s">
        <v>4274</v>
      </c>
      <c r="F97" s="3173" t="s">
        <v>4531</v>
      </c>
      <c r="G97" s="3173">
        <v>33.58</v>
      </c>
      <c r="H97" s="3173" t="s">
        <v>672</v>
      </c>
      <c r="I97" s="3173"/>
      <c r="J97" s="3174">
        <v>45276</v>
      </c>
      <c r="K97" s="3173" t="s">
        <v>4277</v>
      </c>
      <c r="L97" s="3173" t="s">
        <v>4278</v>
      </c>
      <c r="M97" s="3173" t="s">
        <v>4279</v>
      </c>
      <c r="N97" s="3173" t="s">
        <v>4280</v>
      </c>
      <c r="O97" s="3544">
        <v>3</v>
      </c>
      <c r="AS97" s="3173">
        <v>96</v>
      </c>
      <c r="AT97" s="3173">
        <v>20240070009</v>
      </c>
      <c r="AU97" s="3173"/>
      <c r="AV97" s="3173"/>
      <c r="AW97" s="3173" t="s">
        <v>4274</v>
      </c>
      <c r="AX97" s="3173" t="s">
        <v>4532</v>
      </c>
      <c r="AY97" s="3173">
        <v>85</v>
      </c>
      <c r="AZ97" s="3173" t="s">
        <v>4533</v>
      </c>
      <c r="BA97" s="3173"/>
      <c r="BB97" s="3174">
        <v>45364</v>
      </c>
      <c r="BC97" s="3173" t="s">
        <v>4279</v>
      </c>
      <c r="BD97" s="3173" t="s">
        <v>4284</v>
      </c>
      <c r="BE97" s="3173" t="s">
        <v>4279</v>
      </c>
      <c r="BF97" s="3173" t="s">
        <v>4280</v>
      </c>
    </row>
    <row r="98" spans="1:58" ht="54">
      <c r="A98" s="3173">
        <v>97</v>
      </c>
      <c r="B98" s="3173" t="s">
        <v>4273</v>
      </c>
      <c r="C98" s="3173"/>
      <c r="D98" s="3173"/>
      <c r="E98" s="3173" t="s">
        <v>4274</v>
      </c>
      <c r="F98" s="3173" t="s">
        <v>4534</v>
      </c>
      <c r="G98" s="3173">
        <v>33.65</v>
      </c>
      <c r="H98" s="3173" t="s">
        <v>672</v>
      </c>
      <c r="I98" s="3173"/>
      <c r="J98" s="3174">
        <v>45276</v>
      </c>
      <c r="K98" s="3173" t="s">
        <v>4277</v>
      </c>
      <c r="L98" s="3173" t="s">
        <v>4278</v>
      </c>
      <c r="M98" s="3173" t="s">
        <v>4279</v>
      </c>
      <c r="N98" s="3173" t="s">
        <v>4280</v>
      </c>
      <c r="O98" s="3544">
        <v>3</v>
      </c>
      <c r="AS98" s="3173">
        <v>97</v>
      </c>
      <c r="AT98" s="3173">
        <v>20240070009</v>
      </c>
      <c r="AU98" s="3173"/>
      <c r="AV98" s="3173"/>
      <c r="AW98" s="3173" t="s">
        <v>4274</v>
      </c>
      <c r="AX98" s="3173" t="s">
        <v>4535</v>
      </c>
      <c r="AY98" s="3173">
        <v>39.32</v>
      </c>
      <c r="AZ98" s="3173" t="s">
        <v>4276</v>
      </c>
      <c r="BA98" s="3173"/>
      <c r="BB98" s="3174">
        <v>45364</v>
      </c>
      <c r="BC98" s="3173" t="s">
        <v>4279</v>
      </c>
      <c r="BD98" s="3173" t="s">
        <v>4284</v>
      </c>
      <c r="BE98" s="3173" t="s">
        <v>4279</v>
      </c>
      <c r="BF98" s="3173" t="s">
        <v>4280</v>
      </c>
    </row>
    <row r="99" spans="1:58" ht="54">
      <c r="A99" s="3173">
        <v>98</v>
      </c>
      <c r="B99" s="3173" t="s">
        <v>4273</v>
      </c>
      <c r="C99" s="3173"/>
      <c r="D99" s="3173"/>
      <c r="E99" s="3173" t="s">
        <v>4274</v>
      </c>
      <c r="F99" s="3173" t="s">
        <v>4536</v>
      </c>
      <c r="G99" s="3173">
        <v>30.85</v>
      </c>
      <c r="H99" s="3173" t="s">
        <v>672</v>
      </c>
      <c r="I99" s="3173"/>
      <c r="J99" s="3174">
        <v>45276</v>
      </c>
      <c r="K99" s="3173" t="s">
        <v>4277</v>
      </c>
      <c r="L99" s="3173" t="s">
        <v>4278</v>
      </c>
      <c r="M99" s="3173" t="s">
        <v>4279</v>
      </c>
      <c r="N99" s="3173" t="s">
        <v>4280</v>
      </c>
      <c r="O99" s="3544">
        <v>3</v>
      </c>
      <c r="AS99" s="3173">
        <v>98</v>
      </c>
      <c r="AT99" s="3173">
        <v>20240070009</v>
      </c>
      <c r="AU99" s="3173"/>
      <c r="AV99" s="3173"/>
      <c r="AW99" s="3173" t="s">
        <v>4274</v>
      </c>
      <c r="AX99" s="3173" t="s">
        <v>4537</v>
      </c>
      <c r="AY99" s="3173">
        <v>39.32</v>
      </c>
      <c r="AZ99" s="3173" t="s">
        <v>4276</v>
      </c>
      <c r="BA99" s="3173"/>
      <c r="BB99" s="3174">
        <v>45364</v>
      </c>
      <c r="BC99" s="3173" t="s">
        <v>4279</v>
      </c>
      <c r="BD99" s="3173" t="s">
        <v>4284</v>
      </c>
      <c r="BE99" s="3173" t="s">
        <v>4279</v>
      </c>
      <c r="BF99" s="3173" t="s">
        <v>4280</v>
      </c>
    </row>
    <row r="100" spans="1:58" ht="54">
      <c r="A100" s="3173">
        <v>99</v>
      </c>
      <c r="B100" s="3173" t="s">
        <v>4273</v>
      </c>
      <c r="C100" s="3173"/>
      <c r="D100" s="3173"/>
      <c r="E100" s="3173" t="s">
        <v>4274</v>
      </c>
      <c r="F100" s="3173" t="s">
        <v>4538</v>
      </c>
      <c r="G100" s="3173">
        <v>25.26</v>
      </c>
      <c r="H100" s="3173" t="s">
        <v>672</v>
      </c>
      <c r="I100" s="3173"/>
      <c r="J100" s="3174">
        <v>45276</v>
      </c>
      <c r="K100" s="3173" t="s">
        <v>4277</v>
      </c>
      <c r="L100" s="3173" t="s">
        <v>4278</v>
      </c>
      <c r="M100" s="3173" t="s">
        <v>4279</v>
      </c>
      <c r="N100" s="3173" t="s">
        <v>4280</v>
      </c>
      <c r="O100" s="3544">
        <v>3</v>
      </c>
      <c r="AS100" s="3173">
        <v>99</v>
      </c>
      <c r="AT100" s="3173">
        <v>20240070009</v>
      </c>
      <c r="AU100" s="3173"/>
      <c r="AV100" s="3173"/>
      <c r="AW100" s="3173" t="s">
        <v>4274</v>
      </c>
      <c r="AX100" s="3173" t="s">
        <v>4539</v>
      </c>
      <c r="AY100" s="3173">
        <v>39.32</v>
      </c>
      <c r="AZ100" s="3173" t="s">
        <v>4276</v>
      </c>
      <c r="BA100" s="3173"/>
      <c r="BB100" s="3174">
        <v>45364</v>
      </c>
      <c r="BC100" s="3173" t="s">
        <v>4279</v>
      </c>
      <c r="BD100" s="3173" t="s">
        <v>4284</v>
      </c>
      <c r="BE100" s="3173" t="s">
        <v>4279</v>
      </c>
      <c r="BF100" s="3173" t="s">
        <v>4280</v>
      </c>
    </row>
    <row r="101" spans="1:58" ht="54">
      <c r="A101" s="3173">
        <v>100</v>
      </c>
      <c r="B101" s="3173" t="s">
        <v>4273</v>
      </c>
      <c r="C101" s="3173"/>
      <c r="D101" s="3173"/>
      <c r="E101" s="3173" t="s">
        <v>4274</v>
      </c>
      <c r="F101" s="3173" t="s">
        <v>4540</v>
      </c>
      <c r="G101" s="3173">
        <v>25.26</v>
      </c>
      <c r="H101" s="3173" t="s">
        <v>672</v>
      </c>
      <c r="I101" s="3173"/>
      <c r="J101" s="3174">
        <v>45276</v>
      </c>
      <c r="K101" s="3173" t="s">
        <v>4277</v>
      </c>
      <c r="L101" s="3173" t="s">
        <v>4297</v>
      </c>
      <c r="M101" s="3173" t="s">
        <v>4279</v>
      </c>
      <c r="N101" s="3173" t="s">
        <v>4280</v>
      </c>
      <c r="O101" s="3544">
        <v>4</v>
      </c>
      <c r="AS101" s="3176">
        <v>100</v>
      </c>
      <c r="AT101" s="3176">
        <v>20240070009</v>
      </c>
      <c r="AU101" s="3176"/>
      <c r="AV101" s="3176"/>
      <c r="AW101" s="3176" t="s">
        <v>4274</v>
      </c>
      <c r="AX101" s="3176" t="s">
        <v>4541</v>
      </c>
      <c r="AY101" s="3176">
        <v>120.41</v>
      </c>
      <c r="AZ101" s="3176" t="s">
        <v>4542</v>
      </c>
      <c r="BA101" s="3176"/>
      <c r="BB101" s="3177">
        <v>45364</v>
      </c>
      <c r="BC101" s="3176" t="s">
        <v>4279</v>
      </c>
      <c r="BD101" s="3176" t="s">
        <v>4284</v>
      </c>
      <c r="BE101" s="3176" t="s">
        <v>4279</v>
      </c>
      <c r="BF101" s="3176" t="s">
        <v>4280</v>
      </c>
    </row>
    <row r="102" spans="1:58" ht="54">
      <c r="A102" s="3173">
        <v>101</v>
      </c>
      <c r="B102" s="3173" t="s">
        <v>4273</v>
      </c>
      <c r="C102" s="3173"/>
      <c r="D102" s="3173"/>
      <c r="E102" s="3173" t="s">
        <v>4274</v>
      </c>
      <c r="F102" s="3173" t="s">
        <v>4543</v>
      </c>
      <c r="G102" s="3173">
        <v>12.43</v>
      </c>
      <c r="H102" s="3173" t="s">
        <v>672</v>
      </c>
      <c r="I102" s="3173"/>
      <c r="J102" s="3174">
        <v>45276</v>
      </c>
      <c r="K102" s="3173" t="s">
        <v>4277</v>
      </c>
      <c r="L102" s="3173" t="s">
        <v>4297</v>
      </c>
      <c r="M102" s="3173" t="s">
        <v>4279</v>
      </c>
      <c r="N102" s="3173" t="s">
        <v>4280</v>
      </c>
      <c r="O102" s="3544">
        <v>4</v>
      </c>
      <c r="AS102" s="3176">
        <v>101</v>
      </c>
      <c r="AT102" s="3176">
        <v>20240070009</v>
      </c>
      <c r="AU102" s="3176"/>
      <c r="AV102" s="3176"/>
      <c r="AW102" s="3176" t="s">
        <v>4274</v>
      </c>
      <c r="AX102" s="3176" t="s">
        <v>4544</v>
      </c>
      <c r="AY102" s="3176">
        <v>120.41</v>
      </c>
      <c r="AZ102" s="3176" t="s">
        <v>4542</v>
      </c>
      <c r="BA102" s="3176"/>
      <c r="BB102" s="3177">
        <v>45364</v>
      </c>
      <c r="BC102" s="3176" t="s">
        <v>4279</v>
      </c>
      <c r="BD102" s="3176" t="s">
        <v>4284</v>
      </c>
      <c r="BE102" s="3176" t="s">
        <v>4279</v>
      </c>
      <c r="BF102" s="3176" t="s">
        <v>4280</v>
      </c>
    </row>
    <row r="103" spans="1:58" ht="54">
      <c r="A103" s="3173">
        <v>102</v>
      </c>
      <c r="B103" s="3173" t="s">
        <v>4273</v>
      </c>
      <c r="C103" s="3173"/>
      <c r="D103" s="3173"/>
      <c r="E103" s="3173" t="s">
        <v>4274</v>
      </c>
      <c r="F103" s="3173" t="s">
        <v>4545</v>
      </c>
      <c r="G103" s="3173">
        <v>61.2</v>
      </c>
      <c r="H103" s="3173" t="s">
        <v>672</v>
      </c>
      <c r="I103" s="3173"/>
      <c r="J103" s="3174">
        <v>45276</v>
      </c>
      <c r="K103" s="3173" t="s">
        <v>4277</v>
      </c>
      <c r="L103" s="3173" t="s">
        <v>4297</v>
      </c>
      <c r="M103" s="3173" t="s">
        <v>4279</v>
      </c>
      <c r="N103" s="3173" t="s">
        <v>4280</v>
      </c>
      <c r="O103" s="3544">
        <v>4</v>
      </c>
      <c r="AS103" s="3176">
        <v>102</v>
      </c>
      <c r="AT103" s="3176">
        <v>20240070009</v>
      </c>
      <c r="AU103" s="3176"/>
      <c r="AV103" s="3176"/>
      <c r="AW103" s="3176" t="s">
        <v>4274</v>
      </c>
      <c r="AX103" s="3176" t="s">
        <v>4546</v>
      </c>
      <c r="AY103" s="3176">
        <v>78.63</v>
      </c>
      <c r="AZ103" s="3176" t="s">
        <v>4542</v>
      </c>
      <c r="BA103" s="3176"/>
      <c r="BB103" s="3177">
        <v>45364</v>
      </c>
      <c r="BC103" s="3176" t="s">
        <v>4279</v>
      </c>
      <c r="BD103" s="3176" t="s">
        <v>4284</v>
      </c>
      <c r="BE103" s="3176" t="s">
        <v>4279</v>
      </c>
      <c r="BF103" s="3176" t="s">
        <v>4280</v>
      </c>
    </row>
    <row r="104" spans="1:58" ht="54">
      <c r="A104" s="3173">
        <v>103</v>
      </c>
      <c r="B104" s="3173" t="s">
        <v>4273</v>
      </c>
      <c r="C104" s="3173"/>
      <c r="D104" s="3173"/>
      <c r="E104" s="3173" t="s">
        <v>4274</v>
      </c>
      <c r="F104" s="3173" t="s">
        <v>4547</v>
      </c>
      <c r="G104" s="3173">
        <v>52.44</v>
      </c>
      <c r="H104" s="3173" t="s">
        <v>672</v>
      </c>
      <c r="I104" s="3173"/>
      <c r="J104" s="3174">
        <v>45276</v>
      </c>
      <c r="K104" s="3173" t="s">
        <v>4277</v>
      </c>
      <c r="L104" s="3173" t="s">
        <v>4297</v>
      </c>
      <c r="M104" s="3173" t="s">
        <v>4279</v>
      </c>
      <c r="N104" s="3173" t="s">
        <v>4280</v>
      </c>
      <c r="O104" s="3544">
        <v>4</v>
      </c>
      <c r="AS104" s="3176">
        <v>103</v>
      </c>
      <c r="AT104" s="3176">
        <v>20240070009</v>
      </c>
      <c r="AU104" s="3176"/>
      <c r="AV104" s="3176"/>
      <c r="AW104" s="3176" t="s">
        <v>4274</v>
      </c>
      <c r="AX104" s="3176" t="s">
        <v>4548</v>
      </c>
      <c r="AY104" s="3176">
        <v>120.41</v>
      </c>
      <c r="AZ104" s="3176" t="s">
        <v>4542</v>
      </c>
      <c r="BA104" s="3176"/>
      <c r="BB104" s="3177">
        <v>45364</v>
      </c>
      <c r="BC104" s="3176" t="s">
        <v>4279</v>
      </c>
      <c r="BD104" s="3176" t="s">
        <v>4284</v>
      </c>
      <c r="BE104" s="3176" t="s">
        <v>4279</v>
      </c>
      <c r="BF104" s="3176" t="s">
        <v>4280</v>
      </c>
    </row>
    <row r="105" spans="1:58" ht="54">
      <c r="A105" s="3173">
        <v>104</v>
      </c>
      <c r="B105" s="3173" t="s">
        <v>4273</v>
      </c>
      <c r="C105" s="3173"/>
      <c r="D105" s="3173"/>
      <c r="E105" s="3173" t="s">
        <v>4274</v>
      </c>
      <c r="F105" s="3173" t="s">
        <v>4549</v>
      </c>
      <c r="G105" s="3173">
        <v>47.89</v>
      </c>
      <c r="H105" s="3173" t="s">
        <v>672</v>
      </c>
      <c r="I105" s="3173"/>
      <c r="J105" s="3174">
        <v>45276</v>
      </c>
      <c r="K105" s="3173" t="s">
        <v>4277</v>
      </c>
      <c r="L105" s="3173" t="s">
        <v>4297</v>
      </c>
      <c r="M105" s="3173" t="s">
        <v>4279</v>
      </c>
      <c r="N105" s="3173" t="s">
        <v>4280</v>
      </c>
      <c r="O105" s="3544">
        <v>4</v>
      </c>
      <c r="AS105" s="3176">
        <v>104</v>
      </c>
      <c r="AT105" s="3176">
        <v>20240070009</v>
      </c>
      <c r="AU105" s="3176"/>
      <c r="AV105" s="3176"/>
      <c r="AW105" s="3176" t="s">
        <v>4274</v>
      </c>
      <c r="AX105" s="3176" t="s">
        <v>4550</v>
      </c>
      <c r="AY105" s="3176">
        <v>120.41</v>
      </c>
      <c r="AZ105" s="3176" t="s">
        <v>4542</v>
      </c>
      <c r="BA105" s="3176"/>
      <c r="BB105" s="3177">
        <v>45364</v>
      </c>
      <c r="BC105" s="3176" t="s">
        <v>4279</v>
      </c>
      <c r="BD105" s="3176" t="s">
        <v>4284</v>
      </c>
      <c r="BE105" s="3176" t="s">
        <v>4279</v>
      </c>
      <c r="BF105" s="3176" t="s">
        <v>4280</v>
      </c>
    </row>
    <row r="106" spans="1:58" ht="54">
      <c r="A106" s="3173">
        <v>105</v>
      </c>
      <c r="B106" s="3173" t="s">
        <v>4273</v>
      </c>
      <c r="C106" s="3173"/>
      <c r="D106" s="3173"/>
      <c r="E106" s="3173" t="s">
        <v>4274</v>
      </c>
      <c r="F106" s="3173" t="s">
        <v>4551</v>
      </c>
      <c r="G106" s="3173">
        <v>18.7</v>
      </c>
      <c r="H106" s="3173" t="s">
        <v>672</v>
      </c>
      <c r="I106" s="3173"/>
      <c r="J106" s="3174">
        <v>45276</v>
      </c>
      <c r="K106" s="3173" t="s">
        <v>4277</v>
      </c>
      <c r="L106" s="3173" t="s">
        <v>4297</v>
      </c>
      <c r="M106" s="3173" t="s">
        <v>4279</v>
      </c>
      <c r="N106" s="3173" t="s">
        <v>4280</v>
      </c>
      <c r="O106" s="3544">
        <v>4</v>
      </c>
      <c r="AS106" s="3176">
        <v>105</v>
      </c>
      <c r="AT106" s="3176">
        <v>20240070009</v>
      </c>
      <c r="AU106" s="3176"/>
      <c r="AV106" s="3176"/>
      <c r="AW106" s="3176" t="s">
        <v>4274</v>
      </c>
      <c r="AX106" s="3176" t="s">
        <v>4552</v>
      </c>
      <c r="AY106" s="3176">
        <v>120.41</v>
      </c>
      <c r="AZ106" s="3176" t="s">
        <v>4542</v>
      </c>
      <c r="BA106" s="3176"/>
      <c r="BB106" s="3177">
        <v>45364</v>
      </c>
      <c r="BC106" s="3176" t="s">
        <v>4279</v>
      </c>
      <c r="BD106" s="3176" t="s">
        <v>4284</v>
      </c>
      <c r="BE106" s="3176" t="s">
        <v>4279</v>
      </c>
      <c r="BF106" s="3176" t="s">
        <v>4280</v>
      </c>
    </row>
    <row r="107" spans="1:58" ht="54">
      <c r="A107" s="3173">
        <v>106</v>
      </c>
      <c r="B107" s="3173" t="s">
        <v>4273</v>
      </c>
      <c r="C107" s="3173"/>
      <c r="D107" s="3173"/>
      <c r="E107" s="3173" t="s">
        <v>4274</v>
      </c>
      <c r="F107" s="3173" t="s">
        <v>4553</v>
      </c>
      <c r="G107" s="3173">
        <v>33.58</v>
      </c>
      <c r="H107" s="3173" t="s">
        <v>672</v>
      </c>
      <c r="I107" s="3173"/>
      <c r="J107" s="3174">
        <v>45276</v>
      </c>
      <c r="K107" s="3173" t="s">
        <v>4277</v>
      </c>
      <c r="L107" s="3173" t="s">
        <v>4297</v>
      </c>
      <c r="M107" s="3173" t="s">
        <v>4279</v>
      </c>
      <c r="N107" s="3173" t="s">
        <v>4280</v>
      </c>
      <c r="O107" s="3544">
        <v>4</v>
      </c>
      <c r="AS107" s="3176">
        <v>106</v>
      </c>
      <c r="AT107" s="3176">
        <v>20240070009</v>
      </c>
      <c r="AU107" s="3176"/>
      <c r="AV107" s="3176"/>
      <c r="AW107" s="3176" t="s">
        <v>4274</v>
      </c>
      <c r="AX107" s="3176" t="s">
        <v>4554</v>
      </c>
      <c r="AY107" s="3176">
        <v>39.32</v>
      </c>
      <c r="AZ107" s="3176" t="s">
        <v>4542</v>
      </c>
      <c r="BA107" s="3176"/>
      <c r="BB107" s="3177">
        <v>45364</v>
      </c>
      <c r="BC107" s="3176" t="s">
        <v>4279</v>
      </c>
      <c r="BD107" s="3176" t="s">
        <v>4284</v>
      </c>
      <c r="BE107" s="3176" t="s">
        <v>4279</v>
      </c>
      <c r="BF107" s="3176" t="s">
        <v>4280</v>
      </c>
    </row>
    <row r="108" spans="1:58" ht="54">
      <c r="AS108" s="3176">
        <v>107</v>
      </c>
      <c r="AT108" s="3176">
        <v>20240070009</v>
      </c>
      <c r="AU108" s="3176"/>
      <c r="AV108" s="3176"/>
      <c r="AW108" s="3176" t="s">
        <v>4274</v>
      </c>
      <c r="AX108" s="3176" t="s">
        <v>4555</v>
      </c>
      <c r="AY108" s="3176">
        <v>80.27</v>
      </c>
      <c r="AZ108" s="3176" t="s">
        <v>4542</v>
      </c>
      <c r="BA108" s="3176"/>
      <c r="BB108" s="3177">
        <v>45364</v>
      </c>
      <c r="BC108" s="3176" t="s">
        <v>4279</v>
      </c>
      <c r="BD108" s="3176" t="s">
        <v>4284</v>
      </c>
      <c r="BE108" s="3176" t="s">
        <v>4279</v>
      </c>
      <c r="BF108" s="3176" t="s">
        <v>4280</v>
      </c>
    </row>
    <row r="109" spans="1:58" ht="54">
      <c r="AS109" s="3176">
        <v>108</v>
      </c>
      <c r="AT109" s="3176">
        <v>20240070009</v>
      </c>
      <c r="AU109" s="3176"/>
      <c r="AV109" s="3176"/>
      <c r="AW109" s="3176" t="s">
        <v>4274</v>
      </c>
      <c r="AX109" s="3176" t="s">
        <v>4556</v>
      </c>
      <c r="AY109" s="3176">
        <v>39.32</v>
      </c>
      <c r="AZ109" s="3176" t="s">
        <v>4542</v>
      </c>
      <c r="BA109" s="3176"/>
      <c r="BB109" s="3177">
        <v>45364</v>
      </c>
      <c r="BC109" s="3176" t="s">
        <v>4279</v>
      </c>
      <c r="BD109" s="3176" t="s">
        <v>4284</v>
      </c>
      <c r="BE109" s="3176" t="s">
        <v>4279</v>
      </c>
      <c r="BF109" s="3176" t="s">
        <v>4280</v>
      </c>
    </row>
    <row r="110" spans="1:58" ht="54">
      <c r="AS110" s="3176">
        <v>109</v>
      </c>
      <c r="AT110" s="3176">
        <v>20240070009</v>
      </c>
      <c r="AU110" s="3176"/>
      <c r="AV110" s="3176"/>
      <c r="AW110" s="3176" t="s">
        <v>4274</v>
      </c>
      <c r="AX110" s="3176" t="s">
        <v>4557</v>
      </c>
      <c r="AY110" s="3176">
        <v>39.32</v>
      </c>
      <c r="AZ110" s="3176" t="s">
        <v>4542</v>
      </c>
      <c r="BA110" s="3176"/>
      <c r="BB110" s="3177">
        <v>45364</v>
      </c>
      <c r="BC110" s="3176" t="s">
        <v>4279</v>
      </c>
      <c r="BD110" s="3176" t="s">
        <v>4284</v>
      </c>
      <c r="BE110" s="3176" t="s">
        <v>4279</v>
      </c>
      <c r="BF110" s="3176" t="s">
        <v>4280</v>
      </c>
    </row>
    <row r="111" spans="1:58" ht="54">
      <c r="AS111" s="3176">
        <v>110</v>
      </c>
      <c r="AT111" s="3176">
        <v>20240070009</v>
      </c>
      <c r="AU111" s="3176"/>
      <c r="AV111" s="3176"/>
      <c r="AW111" s="3176" t="s">
        <v>4274</v>
      </c>
      <c r="AX111" s="3176" t="s">
        <v>4558</v>
      </c>
      <c r="AY111" s="3176">
        <v>120.41</v>
      </c>
      <c r="AZ111" s="3176" t="s">
        <v>4542</v>
      </c>
      <c r="BA111" s="3176"/>
      <c r="BB111" s="3177">
        <v>45364</v>
      </c>
      <c r="BC111" s="3176" t="s">
        <v>4279</v>
      </c>
      <c r="BD111" s="3176" t="s">
        <v>4284</v>
      </c>
      <c r="BE111" s="3176" t="s">
        <v>4279</v>
      </c>
      <c r="BF111" s="3176" t="s">
        <v>4280</v>
      </c>
    </row>
    <row r="112" spans="1:58" ht="54">
      <c r="AS112" s="3176">
        <v>111</v>
      </c>
      <c r="AT112" s="3176">
        <v>20240070009</v>
      </c>
      <c r="AU112" s="3176"/>
      <c r="AV112" s="3176"/>
      <c r="AW112" s="3176" t="s">
        <v>4274</v>
      </c>
      <c r="AX112" s="3176" t="s">
        <v>4559</v>
      </c>
      <c r="AY112" s="3176">
        <v>330.9</v>
      </c>
      <c r="AZ112" s="3176" t="s">
        <v>4542</v>
      </c>
      <c r="BA112" s="3176"/>
      <c r="BB112" s="3177">
        <v>45364</v>
      </c>
      <c r="BC112" s="3176" t="s">
        <v>4279</v>
      </c>
      <c r="BD112" s="3176" t="s">
        <v>4284</v>
      </c>
      <c r="BE112" s="3176" t="s">
        <v>4279</v>
      </c>
      <c r="BF112" s="3176" t="s">
        <v>4280</v>
      </c>
    </row>
    <row r="113" spans="45:58" ht="54">
      <c r="AS113" s="3176">
        <v>112</v>
      </c>
      <c r="AT113" s="3176">
        <v>20240070009</v>
      </c>
      <c r="AU113" s="3176"/>
      <c r="AV113" s="3176"/>
      <c r="AW113" s="3176" t="s">
        <v>4274</v>
      </c>
      <c r="AX113" s="3176" t="s">
        <v>4560</v>
      </c>
      <c r="AY113" s="3176">
        <v>80.27</v>
      </c>
      <c r="AZ113" s="3176" t="s">
        <v>4542</v>
      </c>
      <c r="BA113" s="3176"/>
      <c r="BB113" s="3177">
        <v>45364</v>
      </c>
      <c r="BC113" s="3176" t="s">
        <v>4279</v>
      </c>
      <c r="BD113" s="3176" t="s">
        <v>4284</v>
      </c>
      <c r="BE113" s="3176" t="s">
        <v>4279</v>
      </c>
      <c r="BF113" s="3176" t="s">
        <v>4280</v>
      </c>
    </row>
    <row r="114" spans="45:58" ht="54">
      <c r="AS114" s="3176">
        <v>113</v>
      </c>
      <c r="AT114" s="3176">
        <v>20240070009</v>
      </c>
      <c r="AU114" s="3176"/>
      <c r="AV114" s="3176"/>
      <c r="AW114" s="3176" t="s">
        <v>4274</v>
      </c>
      <c r="AX114" s="3176" t="s">
        <v>4561</v>
      </c>
      <c r="AY114" s="3176">
        <v>321.07</v>
      </c>
      <c r="AZ114" s="3176" t="s">
        <v>4542</v>
      </c>
      <c r="BA114" s="3176"/>
      <c r="BB114" s="3177">
        <v>45364</v>
      </c>
      <c r="BC114" s="3176" t="s">
        <v>4279</v>
      </c>
      <c r="BD114" s="3176" t="s">
        <v>4284</v>
      </c>
      <c r="BE114" s="3176" t="s">
        <v>4279</v>
      </c>
      <c r="BF114" s="3176" t="s">
        <v>4280</v>
      </c>
    </row>
    <row r="115" spans="45:58" ht="54">
      <c r="AS115" s="3176">
        <v>114</v>
      </c>
      <c r="AT115" s="3176">
        <v>20240070009</v>
      </c>
      <c r="AU115" s="3176"/>
      <c r="AV115" s="3176"/>
      <c r="AW115" s="3176" t="s">
        <v>4274</v>
      </c>
      <c r="AX115" s="3176" t="s">
        <v>4562</v>
      </c>
      <c r="AY115" s="3176">
        <v>80.27</v>
      </c>
      <c r="AZ115" s="3176" t="s">
        <v>4542</v>
      </c>
      <c r="BA115" s="3176"/>
      <c r="BB115" s="3177">
        <v>45364</v>
      </c>
      <c r="BC115" s="3176" t="s">
        <v>4279</v>
      </c>
      <c r="BD115" s="3176" t="s">
        <v>4284</v>
      </c>
      <c r="BE115" s="3176" t="s">
        <v>4279</v>
      </c>
      <c r="BF115" s="3176" t="s">
        <v>4280</v>
      </c>
    </row>
    <row r="116" spans="45:58" ht="54">
      <c r="AS116" s="3176">
        <v>115</v>
      </c>
      <c r="AT116" s="3176">
        <v>20240070009</v>
      </c>
      <c r="AU116" s="3176"/>
      <c r="AV116" s="3176"/>
      <c r="AW116" s="3176" t="s">
        <v>4274</v>
      </c>
      <c r="AX116" s="3176" t="s">
        <v>4563</v>
      </c>
      <c r="AY116" s="3176">
        <v>117.95</v>
      </c>
      <c r="AZ116" s="3176" t="s">
        <v>4542</v>
      </c>
      <c r="BA116" s="3176"/>
      <c r="BB116" s="3177">
        <v>45364</v>
      </c>
      <c r="BC116" s="3176" t="s">
        <v>4279</v>
      </c>
      <c r="BD116" s="3176" t="s">
        <v>4284</v>
      </c>
      <c r="BE116" s="3176" t="s">
        <v>4279</v>
      </c>
      <c r="BF116" s="3176" t="s">
        <v>4280</v>
      </c>
    </row>
    <row r="117" spans="45:58" ht="54">
      <c r="AS117" s="3176">
        <v>116</v>
      </c>
      <c r="AT117" s="3176">
        <v>20240070009</v>
      </c>
      <c r="AU117" s="3176"/>
      <c r="AV117" s="3176"/>
      <c r="AW117" s="3176" t="s">
        <v>4274</v>
      </c>
      <c r="AX117" s="3176" t="s">
        <v>4564</v>
      </c>
      <c r="AY117" s="3176">
        <v>120.41</v>
      </c>
      <c r="AZ117" s="3176" t="s">
        <v>4542</v>
      </c>
      <c r="BA117" s="3176"/>
      <c r="BB117" s="3177">
        <v>45364</v>
      </c>
      <c r="BC117" s="3176" t="s">
        <v>4279</v>
      </c>
      <c r="BD117" s="3176" t="s">
        <v>4284</v>
      </c>
      <c r="BE117" s="3176" t="s">
        <v>4279</v>
      </c>
      <c r="BF117" s="3176" t="s">
        <v>4280</v>
      </c>
    </row>
    <row r="118" spans="45:58" ht="54">
      <c r="AS118" s="3176">
        <v>117</v>
      </c>
      <c r="AT118" s="3176">
        <v>20240070009</v>
      </c>
      <c r="AU118" s="3176"/>
      <c r="AV118" s="3176"/>
      <c r="AW118" s="3176" t="s">
        <v>4274</v>
      </c>
      <c r="AX118" s="3176" t="s">
        <v>4565</v>
      </c>
      <c r="AY118" s="3176">
        <v>120.41</v>
      </c>
      <c r="AZ118" s="3176" t="s">
        <v>4542</v>
      </c>
      <c r="BA118" s="3176"/>
      <c r="BB118" s="3177">
        <v>45364</v>
      </c>
      <c r="BC118" s="3176" t="s">
        <v>4279</v>
      </c>
      <c r="BD118" s="3176" t="s">
        <v>4284</v>
      </c>
      <c r="BE118" s="3176" t="s">
        <v>4279</v>
      </c>
      <c r="BF118" s="3176" t="s">
        <v>4280</v>
      </c>
    </row>
    <row r="119" spans="45:58" ht="54">
      <c r="AS119" s="3176">
        <v>118</v>
      </c>
      <c r="AT119" s="3176">
        <v>20240070009</v>
      </c>
      <c r="AU119" s="3176"/>
      <c r="AV119" s="3176"/>
      <c r="AW119" s="3176" t="s">
        <v>4274</v>
      </c>
      <c r="AX119" s="3176" t="s">
        <v>4566</v>
      </c>
      <c r="AY119" s="3176">
        <v>120.41</v>
      </c>
      <c r="AZ119" s="3176" t="s">
        <v>4542</v>
      </c>
      <c r="BA119" s="3176"/>
      <c r="BB119" s="3177">
        <v>45364</v>
      </c>
      <c r="BC119" s="3176" t="s">
        <v>4279</v>
      </c>
      <c r="BD119" s="3176" t="s">
        <v>4284</v>
      </c>
      <c r="BE119" s="3176" t="s">
        <v>4279</v>
      </c>
      <c r="BF119" s="3176" t="s">
        <v>4280</v>
      </c>
    </row>
    <row r="120" spans="45:58" ht="54">
      <c r="AS120" s="3176">
        <v>119</v>
      </c>
      <c r="AT120" s="3176">
        <v>20240070009</v>
      </c>
      <c r="AU120" s="3176"/>
      <c r="AV120" s="3176"/>
      <c r="AW120" s="3176" t="s">
        <v>4274</v>
      </c>
      <c r="AX120" s="3176" t="s">
        <v>4567</v>
      </c>
      <c r="AY120" s="3176">
        <v>80.27</v>
      </c>
      <c r="AZ120" s="3176" t="s">
        <v>4542</v>
      </c>
      <c r="BA120" s="3176"/>
      <c r="BB120" s="3177">
        <v>45364</v>
      </c>
      <c r="BC120" s="3176" t="s">
        <v>4279</v>
      </c>
      <c r="BD120" s="3176" t="s">
        <v>4284</v>
      </c>
      <c r="BE120" s="3176" t="s">
        <v>4279</v>
      </c>
      <c r="BF120" s="3176" t="s">
        <v>4280</v>
      </c>
    </row>
    <row r="121" spans="45:58" ht="54">
      <c r="AS121" s="3176">
        <v>120</v>
      </c>
      <c r="AT121" s="3176">
        <v>20240070009</v>
      </c>
      <c r="AU121" s="3176"/>
      <c r="AV121" s="3176"/>
      <c r="AW121" s="3176" t="s">
        <v>4274</v>
      </c>
      <c r="AX121" s="3176" t="s">
        <v>4568</v>
      </c>
      <c r="AY121" s="3176">
        <v>361.21</v>
      </c>
      <c r="AZ121" s="3176" t="s">
        <v>4542</v>
      </c>
      <c r="BA121" s="3176"/>
      <c r="BB121" s="3177">
        <v>45364</v>
      </c>
      <c r="BC121" s="3176" t="s">
        <v>4279</v>
      </c>
      <c r="BD121" s="3176" t="s">
        <v>4284</v>
      </c>
      <c r="BE121" s="3176" t="s">
        <v>4279</v>
      </c>
      <c r="BF121" s="3176" t="s">
        <v>4280</v>
      </c>
    </row>
    <row r="122" spans="45:58" ht="54">
      <c r="AS122" s="3176">
        <v>121</v>
      </c>
      <c r="AT122" s="3176">
        <v>20240070009</v>
      </c>
      <c r="AU122" s="3176"/>
      <c r="AV122" s="3176"/>
      <c r="AW122" s="3176" t="s">
        <v>4274</v>
      </c>
      <c r="AX122" s="3176" t="s">
        <v>4569</v>
      </c>
      <c r="AY122" s="3176">
        <v>240.8</v>
      </c>
      <c r="AZ122" s="3176" t="s">
        <v>4542</v>
      </c>
      <c r="BA122" s="3176"/>
      <c r="BB122" s="3177">
        <v>45364</v>
      </c>
      <c r="BC122" s="3176" t="s">
        <v>4279</v>
      </c>
      <c r="BD122" s="3176" t="s">
        <v>4284</v>
      </c>
      <c r="BE122" s="3176" t="s">
        <v>4279</v>
      </c>
      <c r="BF122" s="3176" t="s">
        <v>4280</v>
      </c>
    </row>
    <row r="123" spans="45:58" ht="54">
      <c r="AS123" s="3176">
        <v>122</v>
      </c>
      <c r="AT123" s="3176">
        <v>20240070009</v>
      </c>
      <c r="AU123" s="3176"/>
      <c r="AV123" s="3176"/>
      <c r="AW123" s="3176" t="s">
        <v>4274</v>
      </c>
      <c r="AX123" s="3176" t="s">
        <v>4570</v>
      </c>
      <c r="AY123" s="3176">
        <v>120.41</v>
      </c>
      <c r="AZ123" s="3176" t="s">
        <v>4542</v>
      </c>
      <c r="BA123" s="3176"/>
      <c r="BB123" s="3177">
        <v>45364</v>
      </c>
      <c r="BC123" s="3176" t="s">
        <v>4279</v>
      </c>
      <c r="BD123" s="3176" t="s">
        <v>4284</v>
      </c>
      <c r="BE123" s="3176" t="s">
        <v>4279</v>
      </c>
      <c r="BF123" s="3176" t="s">
        <v>4280</v>
      </c>
    </row>
    <row r="124" spans="45:58" ht="54">
      <c r="AS124" s="3176">
        <v>123</v>
      </c>
      <c r="AT124" s="3176">
        <v>20240070009</v>
      </c>
      <c r="AU124" s="3176"/>
      <c r="AV124" s="3176"/>
      <c r="AW124" s="3176" t="s">
        <v>4274</v>
      </c>
      <c r="AX124" s="3176" t="s">
        <v>4571</v>
      </c>
      <c r="AY124" s="3176">
        <v>234.25</v>
      </c>
      <c r="AZ124" s="3176" t="s">
        <v>4542</v>
      </c>
      <c r="BA124" s="3176"/>
      <c r="BB124" s="3177">
        <v>45364</v>
      </c>
      <c r="BC124" s="3176" t="s">
        <v>4279</v>
      </c>
      <c r="BD124" s="3176" t="s">
        <v>4284</v>
      </c>
      <c r="BE124" s="3176" t="s">
        <v>4279</v>
      </c>
      <c r="BF124" s="3176" t="s">
        <v>4280</v>
      </c>
    </row>
    <row r="125" spans="45:58" ht="54">
      <c r="AS125" s="3173">
        <v>124</v>
      </c>
      <c r="AT125" s="3173">
        <v>20240070009</v>
      </c>
      <c r="AU125" s="3173"/>
      <c r="AV125" s="3173"/>
      <c r="AW125" s="3173" t="s">
        <v>4274</v>
      </c>
      <c r="AX125" s="3173" t="s">
        <v>4572</v>
      </c>
      <c r="AY125" s="3173">
        <v>45</v>
      </c>
      <c r="AZ125" s="3173" t="s">
        <v>672</v>
      </c>
      <c r="BA125" s="3173"/>
      <c r="BB125" s="3174">
        <v>45364</v>
      </c>
      <c r="BC125" s="3173" t="s">
        <v>4279</v>
      </c>
      <c r="BD125" s="3173" t="s">
        <v>4297</v>
      </c>
      <c r="BE125" s="3173" t="s">
        <v>4279</v>
      </c>
      <c r="BF125" s="3173" t="s">
        <v>4280</v>
      </c>
    </row>
    <row r="126" spans="45:58" ht="54">
      <c r="AS126" s="3173">
        <v>125</v>
      </c>
      <c r="AT126" s="3173">
        <v>20240070009</v>
      </c>
      <c r="AU126" s="3173"/>
      <c r="AV126" s="3173"/>
      <c r="AW126" s="3173" t="s">
        <v>4274</v>
      </c>
      <c r="AX126" s="3173" t="s">
        <v>4573</v>
      </c>
      <c r="AY126" s="3173">
        <v>60.83</v>
      </c>
      <c r="AZ126" s="3173" t="s">
        <v>672</v>
      </c>
      <c r="BA126" s="3173"/>
      <c r="BB126" s="3174">
        <v>45364</v>
      </c>
      <c r="BC126" s="3173" t="s">
        <v>4279</v>
      </c>
      <c r="BD126" s="3173" t="s">
        <v>4297</v>
      </c>
      <c r="BE126" s="3173" t="s">
        <v>4279</v>
      </c>
      <c r="BF126" s="3173" t="s">
        <v>4280</v>
      </c>
    </row>
    <row r="127" spans="45:58" ht="54">
      <c r="AS127" s="3173">
        <v>126</v>
      </c>
      <c r="AT127" s="3173">
        <v>20240070009</v>
      </c>
      <c r="AU127" s="3173"/>
      <c r="AV127" s="3173"/>
      <c r="AW127" s="3173" t="s">
        <v>4274</v>
      </c>
      <c r="AX127" s="3173" t="s">
        <v>4574</v>
      </c>
      <c r="AY127" s="3173">
        <v>96.16</v>
      </c>
      <c r="AZ127" s="3173" t="s">
        <v>672</v>
      </c>
      <c r="BA127" s="3173"/>
      <c r="BB127" s="3174">
        <v>45364</v>
      </c>
      <c r="BC127" s="3173" t="s">
        <v>4277</v>
      </c>
      <c r="BD127" s="3173" t="s">
        <v>4297</v>
      </c>
      <c r="BE127" s="3173" t="s">
        <v>4279</v>
      </c>
      <c r="BF127" s="3173" t="s">
        <v>4280</v>
      </c>
    </row>
    <row r="128" spans="45:58" ht="54">
      <c r="AS128" s="3173">
        <v>127</v>
      </c>
      <c r="AT128" s="3173">
        <v>20240070009</v>
      </c>
      <c r="AU128" s="3173"/>
      <c r="AV128" s="3173"/>
      <c r="AW128" s="3173" t="s">
        <v>4274</v>
      </c>
      <c r="AX128" s="3173" t="s">
        <v>4575</v>
      </c>
      <c r="AY128" s="3173">
        <v>45.65</v>
      </c>
      <c r="AZ128" s="3173" t="s">
        <v>672</v>
      </c>
      <c r="BA128" s="3173"/>
      <c r="BB128" s="3174">
        <v>45364</v>
      </c>
      <c r="BC128" s="3173" t="s">
        <v>4277</v>
      </c>
      <c r="BD128" s="3173" t="s">
        <v>4284</v>
      </c>
      <c r="BE128" s="3173" t="s">
        <v>4279</v>
      </c>
      <c r="BF128" s="3173" t="s">
        <v>4280</v>
      </c>
    </row>
    <row r="129" spans="45:58" ht="54">
      <c r="AS129" s="3173">
        <v>128</v>
      </c>
      <c r="AT129" s="3173">
        <v>20240070009</v>
      </c>
      <c r="AU129" s="3173"/>
      <c r="AV129" s="3173"/>
      <c r="AW129" s="3173" t="s">
        <v>4274</v>
      </c>
      <c r="AX129" s="3173" t="s">
        <v>4576</v>
      </c>
      <c r="AY129" s="3173">
        <v>64.25</v>
      </c>
      <c r="AZ129" s="3173" t="s">
        <v>672</v>
      </c>
      <c r="BA129" s="3173"/>
      <c r="BB129" s="3174">
        <v>45364</v>
      </c>
      <c r="BC129" s="3173" t="s">
        <v>4277</v>
      </c>
      <c r="BD129" s="3173" t="s">
        <v>4284</v>
      </c>
      <c r="BE129" s="3173" t="s">
        <v>4279</v>
      </c>
      <c r="BF129" s="3173" t="s">
        <v>4280</v>
      </c>
    </row>
    <row r="130" spans="45:58" ht="54">
      <c r="AS130" s="3173">
        <v>129</v>
      </c>
      <c r="AT130" s="3173">
        <v>20240070009</v>
      </c>
      <c r="AU130" s="3173"/>
      <c r="AV130" s="3173"/>
      <c r="AW130" s="3173" t="s">
        <v>4274</v>
      </c>
      <c r="AX130" s="3173" t="s">
        <v>4577</v>
      </c>
      <c r="AY130" s="3173">
        <v>64.25</v>
      </c>
      <c r="AZ130" s="3173" t="s">
        <v>672</v>
      </c>
      <c r="BA130" s="3173"/>
      <c r="BB130" s="3174">
        <v>45364</v>
      </c>
      <c r="BC130" s="3173" t="s">
        <v>4277</v>
      </c>
      <c r="BD130" s="3173" t="s">
        <v>4284</v>
      </c>
      <c r="BE130" s="3173" t="s">
        <v>4279</v>
      </c>
      <c r="BF130" s="3173" t="s">
        <v>4280</v>
      </c>
    </row>
    <row r="131" spans="45:58" ht="54">
      <c r="AS131" s="3173">
        <v>130</v>
      </c>
      <c r="AT131" s="3173">
        <v>20240070009</v>
      </c>
      <c r="AU131" s="3173"/>
      <c r="AV131" s="3173"/>
      <c r="AW131" s="3173" t="s">
        <v>4274</v>
      </c>
      <c r="AX131" s="3173" t="s">
        <v>4578</v>
      </c>
      <c r="AY131" s="3173">
        <v>64.25</v>
      </c>
      <c r="AZ131" s="3173" t="s">
        <v>672</v>
      </c>
      <c r="BA131" s="3173"/>
      <c r="BB131" s="3174">
        <v>45364</v>
      </c>
      <c r="BC131" s="3173" t="s">
        <v>4277</v>
      </c>
      <c r="BD131" s="3173" t="s">
        <v>4284</v>
      </c>
      <c r="BE131" s="3173" t="s">
        <v>4279</v>
      </c>
      <c r="BF131" s="3173" t="s">
        <v>4280</v>
      </c>
    </row>
    <row r="132" spans="45:58" ht="54">
      <c r="AS132" s="3173">
        <v>131</v>
      </c>
      <c r="AT132" s="3173">
        <v>20240070009</v>
      </c>
      <c r="AU132" s="3173"/>
      <c r="AV132" s="3173"/>
      <c r="AW132" s="3173" t="s">
        <v>4274</v>
      </c>
      <c r="AX132" s="3173" t="s">
        <v>4579</v>
      </c>
      <c r="AY132" s="3173">
        <v>64.25</v>
      </c>
      <c r="AZ132" s="3173" t="s">
        <v>672</v>
      </c>
      <c r="BA132" s="3173"/>
      <c r="BB132" s="3174">
        <v>45364</v>
      </c>
      <c r="BC132" s="3173" t="s">
        <v>4277</v>
      </c>
      <c r="BD132" s="3173" t="s">
        <v>4284</v>
      </c>
      <c r="BE132" s="3173" t="s">
        <v>4279</v>
      </c>
      <c r="BF132" s="3173" t="s">
        <v>4280</v>
      </c>
    </row>
    <row r="133" spans="45:58" ht="54">
      <c r="AS133" s="3173">
        <v>132</v>
      </c>
      <c r="AT133" s="3173">
        <v>20240070009</v>
      </c>
      <c r="AU133" s="3173"/>
      <c r="AV133" s="3173"/>
      <c r="AW133" s="3173" t="s">
        <v>4274</v>
      </c>
      <c r="AX133" s="3173" t="s">
        <v>4580</v>
      </c>
      <c r="AY133" s="3173">
        <v>64.25</v>
      </c>
      <c r="AZ133" s="3173" t="s">
        <v>672</v>
      </c>
      <c r="BA133" s="3173"/>
      <c r="BB133" s="3174">
        <v>45364</v>
      </c>
      <c r="BC133" s="3173" t="s">
        <v>4277</v>
      </c>
      <c r="BD133" s="3173" t="s">
        <v>4284</v>
      </c>
      <c r="BE133" s="3173" t="s">
        <v>4279</v>
      </c>
      <c r="BF133" s="3173" t="s">
        <v>4280</v>
      </c>
    </row>
    <row r="134" spans="45:58" ht="54">
      <c r="AS134" s="3173">
        <v>133</v>
      </c>
      <c r="AT134" s="3173">
        <v>20240070009</v>
      </c>
      <c r="AU134" s="3173"/>
      <c r="AV134" s="3173"/>
      <c r="AW134" s="3173" t="s">
        <v>4274</v>
      </c>
      <c r="AX134" s="3173" t="s">
        <v>4581</v>
      </c>
      <c r="AY134" s="3173">
        <v>64.25</v>
      </c>
      <c r="AZ134" s="3173" t="s">
        <v>672</v>
      </c>
      <c r="BA134" s="3173"/>
      <c r="BB134" s="3174">
        <v>45364</v>
      </c>
      <c r="BC134" s="3173" t="s">
        <v>4277</v>
      </c>
      <c r="BD134" s="3173" t="s">
        <v>4278</v>
      </c>
      <c r="BE134" s="3173" t="s">
        <v>4279</v>
      </c>
      <c r="BF134" s="3173" t="s">
        <v>4280</v>
      </c>
    </row>
    <row r="135" spans="45:58" ht="54">
      <c r="AS135" s="3173">
        <v>134</v>
      </c>
      <c r="AT135" s="3173">
        <v>20240070009</v>
      </c>
      <c r="AU135" s="3173"/>
      <c r="AV135" s="3173"/>
      <c r="AW135" s="3173" t="s">
        <v>4274</v>
      </c>
      <c r="AX135" s="3173" t="s">
        <v>4582</v>
      </c>
      <c r="AY135" s="3173">
        <v>64.25</v>
      </c>
      <c r="AZ135" s="3173" t="s">
        <v>672</v>
      </c>
      <c r="BA135" s="3173"/>
      <c r="BB135" s="3174">
        <v>45364</v>
      </c>
      <c r="BC135" s="3173" t="s">
        <v>4277</v>
      </c>
      <c r="BD135" s="3173" t="s">
        <v>4278</v>
      </c>
      <c r="BE135" s="3173" t="s">
        <v>4279</v>
      </c>
      <c r="BF135" s="3173" t="s">
        <v>4280</v>
      </c>
    </row>
    <row r="136" spans="45:58" ht="54">
      <c r="AS136" s="3173">
        <v>135</v>
      </c>
      <c r="AT136" s="3173">
        <v>20240070009</v>
      </c>
      <c r="AU136" s="3173"/>
      <c r="AV136" s="3173"/>
      <c r="AW136" s="3173" t="s">
        <v>4274</v>
      </c>
      <c r="AX136" s="3173" t="s">
        <v>4583</v>
      </c>
      <c r="AY136" s="3173">
        <v>64.25</v>
      </c>
      <c r="AZ136" s="3173" t="s">
        <v>672</v>
      </c>
      <c r="BA136" s="3173"/>
      <c r="BB136" s="3174">
        <v>45364</v>
      </c>
      <c r="BC136" s="3173" t="s">
        <v>4277</v>
      </c>
      <c r="BD136" s="3173" t="s">
        <v>4278</v>
      </c>
      <c r="BE136" s="3173" t="s">
        <v>4279</v>
      </c>
      <c r="BF136" s="3173" t="s">
        <v>4280</v>
      </c>
    </row>
    <row r="137" spans="45:58" ht="54">
      <c r="AS137" s="3173">
        <v>136</v>
      </c>
      <c r="AT137" s="3173">
        <v>20240070009</v>
      </c>
      <c r="AU137" s="3173"/>
      <c r="AV137" s="3173"/>
      <c r="AW137" s="3173" t="s">
        <v>4274</v>
      </c>
      <c r="AX137" s="3173" t="s">
        <v>4584</v>
      </c>
      <c r="AY137" s="3173">
        <v>64.25</v>
      </c>
      <c r="AZ137" s="3173" t="s">
        <v>672</v>
      </c>
      <c r="BA137" s="3173"/>
      <c r="BB137" s="3174">
        <v>45364</v>
      </c>
      <c r="BC137" s="3173" t="s">
        <v>4277</v>
      </c>
      <c r="BD137" s="3173" t="s">
        <v>4278</v>
      </c>
      <c r="BE137" s="3173" t="s">
        <v>4279</v>
      </c>
      <c r="BF137" s="3173" t="s">
        <v>4280</v>
      </c>
    </row>
    <row r="138" spans="45:58" ht="54">
      <c r="AS138" s="3173">
        <v>137</v>
      </c>
      <c r="AT138" s="3173">
        <v>20240070009</v>
      </c>
      <c r="AU138" s="3173"/>
      <c r="AV138" s="3173"/>
      <c r="AW138" s="3173" t="s">
        <v>4274</v>
      </c>
      <c r="AX138" s="3173" t="s">
        <v>4585</v>
      </c>
      <c r="AY138" s="3173">
        <v>58.14</v>
      </c>
      <c r="AZ138" s="3173" t="s">
        <v>672</v>
      </c>
      <c r="BA138" s="3173"/>
      <c r="BB138" s="3174">
        <v>45364</v>
      </c>
      <c r="BC138" s="3173" t="s">
        <v>4277</v>
      </c>
      <c r="BD138" s="3173" t="s">
        <v>4278</v>
      </c>
      <c r="BE138" s="3173" t="s">
        <v>4279</v>
      </c>
      <c r="BF138" s="3173" t="s">
        <v>4280</v>
      </c>
    </row>
    <row r="139" spans="45:58" ht="54">
      <c r="AS139" s="3173">
        <v>138</v>
      </c>
      <c r="AT139" s="3173">
        <v>20240070009</v>
      </c>
      <c r="AU139" s="3173"/>
      <c r="AV139" s="3173"/>
      <c r="AW139" s="3173" t="s">
        <v>4274</v>
      </c>
      <c r="AX139" s="3173" t="s">
        <v>4586</v>
      </c>
      <c r="AY139" s="3173">
        <v>63.49</v>
      </c>
      <c r="AZ139" s="3173" t="s">
        <v>672</v>
      </c>
      <c r="BA139" s="3173"/>
      <c r="BB139" s="3174">
        <v>45364</v>
      </c>
      <c r="BC139" s="3173" t="s">
        <v>4277</v>
      </c>
      <c r="BD139" s="3173" t="s">
        <v>4278</v>
      </c>
      <c r="BE139" s="3173" t="s">
        <v>4279</v>
      </c>
      <c r="BF139" s="3173" t="s">
        <v>4280</v>
      </c>
    </row>
    <row r="140" spans="45:58" ht="54">
      <c r="AS140" s="3173">
        <v>139</v>
      </c>
      <c r="AT140" s="3173">
        <v>20240070009</v>
      </c>
      <c r="AU140" s="3173"/>
      <c r="AV140" s="3173"/>
      <c r="AW140" s="3173" t="s">
        <v>4274</v>
      </c>
      <c r="AX140" s="3173" t="s">
        <v>4587</v>
      </c>
      <c r="AY140" s="3173">
        <v>107.91</v>
      </c>
      <c r="AZ140" s="3173" t="s">
        <v>672</v>
      </c>
      <c r="BA140" s="3173"/>
      <c r="BB140" s="3174">
        <v>45364</v>
      </c>
      <c r="BC140" s="3173" t="s">
        <v>4277</v>
      </c>
      <c r="BD140" s="3173" t="s">
        <v>4278</v>
      </c>
      <c r="BE140" s="3173" t="s">
        <v>4279</v>
      </c>
      <c r="BF140" s="3173" t="s">
        <v>4280</v>
      </c>
    </row>
    <row r="141" spans="45:58" ht="54">
      <c r="AS141" s="3173">
        <v>140</v>
      </c>
      <c r="AT141" s="3173">
        <v>20240070009</v>
      </c>
      <c r="AU141" s="3173"/>
      <c r="AV141" s="3173"/>
      <c r="AW141" s="3173" t="s">
        <v>4274</v>
      </c>
      <c r="AX141" s="3173" t="s">
        <v>4588</v>
      </c>
      <c r="AY141" s="3173">
        <v>67.95</v>
      </c>
      <c r="AZ141" s="3173" t="s">
        <v>672</v>
      </c>
      <c r="BA141" s="3173"/>
      <c r="BB141" s="3174">
        <v>45364</v>
      </c>
      <c r="BC141" s="3173" t="s">
        <v>4277</v>
      </c>
      <c r="BD141" s="3173" t="s">
        <v>4284</v>
      </c>
      <c r="BE141" s="3173" t="s">
        <v>4279</v>
      </c>
      <c r="BF141" s="3173" t="s">
        <v>4280</v>
      </c>
    </row>
    <row r="142" spans="45:58" ht="54">
      <c r="AS142" s="3173">
        <v>141</v>
      </c>
      <c r="AT142" s="3173">
        <v>20240070009</v>
      </c>
      <c r="AU142" s="3173"/>
      <c r="AV142" s="3173"/>
      <c r="AW142" s="3173" t="s">
        <v>4274</v>
      </c>
      <c r="AX142" s="3173" t="s">
        <v>4589</v>
      </c>
      <c r="AY142" s="3173">
        <v>68.5</v>
      </c>
      <c r="AZ142" s="3173" t="s">
        <v>672</v>
      </c>
      <c r="BA142" s="3173"/>
      <c r="BB142" s="3174">
        <v>45364</v>
      </c>
      <c r="BC142" s="3173" t="s">
        <v>4277</v>
      </c>
      <c r="BD142" s="3173" t="s">
        <v>4284</v>
      </c>
      <c r="BE142" s="3173" t="s">
        <v>4279</v>
      </c>
      <c r="BF142" s="3173" t="s">
        <v>4280</v>
      </c>
    </row>
    <row r="143" spans="45:58" ht="54">
      <c r="AS143" s="3173">
        <v>142</v>
      </c>
      <c r="AT143" s="3173">
        <v>20240070009</v>
      </c>
      <c r="AU143" s="3173"/>
      <c r="AV143" s="3173"/>
      <c r="AW143" s="3173" t="s">
        <v>4274</v>
      </c>
      <c r="AX143" s="3173" t="s">
        <v>4590</v>
      </c>
      <c r="AY143" s="3173">
        <v>81.349999999999994</v>
      </c>
      <c r="AZ143" s="3173" t="s">
        <v>672</v>
      </c>
      <c r="BA143" s="3173"/>
      <c r="BB143" s="3174">
        <v>45364</v>
      </c>
      <c r="BC143" s="3173" t="s">
        <v>4277</v>
      </c>
      <c r="BD143" s="3173" t="s">
        <v>4284</v>
      </c>
      <c r="BE143" s="3173" t="s">
        <v>4279</v>
      </c>
      <c r="BF143" s="3173" t="s">
        <v>4280</v>
      </c>
    </row>
    <row r="144" spans="45:58" ht="54">
      <c r="AS144" s="3173">
        <v>143</v>
      </c>
      <c r="AT144" s="3173">
        <v>20240070009</v>
      </c>
      <c r="AU144" s="3173"/>
      <c r="AV144" s="3173"/>
      <c r="AW144" s="3173" t="s">
        <v>4274</v>
      </c>
      <c r="AX144" s="3173" t="s">
        <v>4591</v>
      </c>
      <c r="AY144" s="3173">
        <v>42.01</v>
      </c>
      <c r="AZ144" s="3173" t="s">
        <v>672</v>
      </c>
      <c r="BA144" s="3173"/>
      <c r="BB144" s="3174">
        <v>45364</v>
      </c>
      <c r="BC144" s="3173" t="s">
        <v>4279</v>
      </c>
      <c r="BD144" s="3173" t="s">
        <v>4284</v>
      </c>
      <c r="BE144" s="3173" t="s">
        <v>4279</v>
      </c>
      <c r="BF144" s="3173" t="s">
        <v>4280</v>
      </c>
    </row>
    <row r="145" spans="45:58" ht="54">
      <c r="AS145" s="3173">
        <v>144</v>
      </c>
      <c r="AT145" s="3173">
        <v>20240070009</v>
      </c>
      <c r="AU145" s="3173"/>
      <c r="AV145" s="3173"/>
      <c r="AW145" s="3173" t="s">
        <v>4274</v>
      </c>
      <c r="AX145" s="3173" t="s">
        <v>4592</v>
      </c>
      <c r="AY145" s="3173">
        <v>40.65</v>
      </c>
      <c r="AZ145" s="3173" t="s">
        <v>672</v>
      </c>
      <c r="BA145" s="3173"/>
      <c r="BB145" s="3174">
        <v>45364</v>
      </c>
      <c r="BC145" s="3173" t="s">
        <v>4277</v>
      </c>
      <c r="BD145" s="3173" t="s">
        <v>4297</v>
      </c>
      <c r="BE145" s="3173" t="s">
        <v>4279</v>
      </c>
      <c r="BF145" s="3173" t="s">
        <v>4280</v>
      </c>
    </row>
    <row r="146" spans="45:58" ht="54">
      <c r="AS146" s="3173">
        <v>145</v>
      </c>
      <c r="AT146" s="3173">
        <v>20240070009</v>
      </c>
      <c r="AU146" s="3173"/>
      <c r="AV146" s="3173"/>
      <c r="AW146" s="3173" t="s">
        <v>4274</v>
      </c>
      <c r="AX146" s="3173" t="s">
        <v>4593</v>
      </c>
      <c r="AY146" s="3173">
        <v>64.25</v>
      </c>
      <c r="AZ146" s="3173" t="s">
        <v>672</v>
      </c>
      <c r="BA146" s="3173"/>
      <c r="BB146" s="3174">
        <v>45364</v>
      </c>
      <c r="BC146" s="3173" t="s">
        <v>4277</v>
      </c>
      <c r="BD146" s="3173" t="s">
        <v>4297</v>
      </c>
      <c r="BE146" s="3173" t="s">
        <v>4279</v>
      </c>
      <c r="BF146" s="3173" t="s">
        <v>4280</v>
      </c>
    </row>
    <row r="147" spans="45:58" ht="54">
      <c r="AS147" s="3173">
        <v>146</v>
      </c>
      <c r="AT147" s="3173">
        <v>20240070009</v>
      </c>
      <c r="AU147" s="3173"/>
      <c r="AV147" s="3173"/>
      <c r="AW147" s="3173" t="s">
        <v>4274</v>
      </c>
      <c r="AX147" s="3173" t="s">
        <v>4594</v>
      </c>
      <c r="AY147" s="3173">
        <v>64.25</v>
      </c>
      <c r="AZ147" s="3173" t="s">
        <v>672</v>
      </c>
      <c r="BA147" s="3173"/>
      <c r="BB147" s="3174">
        <v>45364</v>
      </c>
      <c r="BC147" s="3173" t="s">
        <v>4277</v>
      </c>
      <c r="BD147" s="3173" t="s">
        <v>4297</v>
      </c>
      <c r="BE147" s="3173" t="s">
        <v>4279</v>
      </c>
      <c r="BF147" s="3173" t="s">
        <v>4280</v>
      </c>
    </row>
    <row r="148" spans="45:58" ht="54">
      <c r="AS148" s="3173">
        <v>147</v>
      </c>
      <c r="AT148" s="3173">
        <v>20240070009</v>
      </c>
      <c r="AU148" s="3173"/>
      <c r="AV148" s="3173"/>
      <c r="AW148" s="3173" t="s">
        <v>4274</v>
      </c>
      <c r="AX148" s="3173" t="s">
        <v>4595</v>
      </c>
      <c r="AY148" s="3173">
        <v>64.25</v>
      </c>
      <c r="AZ148" s="3173" t="s">
        <v>672</v>
      </c>
      <c r="BA148" s="3173"/>
      <c r="BB148" s="3174">
        <v>45364</v>
      </c>
      <c r="BC148" s="3173" t="s">
        <v>4277</v>
      </c>
      <c r="BD148" s="3173" t="s">
        <v>4297</v>
      </c>
      <c r="BE148" s="3173" t="s">
        <v>4279</v>
      </c>
      <c r="BF148" s="3173" t="s">
        <v>4280</v>
      </c>
    </row>
    <row r="149" spans="45:58" ht="54">
      <c r="AS149" s="3173">
        <v>148</v>
      </c>
      <c r="AT149" s="3173">
        <v>20240070009</v>
      </c>
      <c r="AU149" s="3173"/>
      <c r="AV149" s="3173"/>
      <c r="AW149" s="3173" t="s">
        <v>4274</v>
      </c>
      <c r="AX149" s="3173" t="s">
        <v>4596</v>
      </c>
      <c r="AY149" s="3173">
        <v>64.25</v>
      </c>
      <c r="AZ149" s="3173" t="s">
        <v>672</v>
      </c>
      <c r="BA149" s="3173"/>
      <c r="BB149" s="3174">
        <v>45364</v>
      </c>
      <c r="BC149" s="3173" t="s">
        <v>4277</v>
      </c>
      <c r="BD149" s="3173" t="s">
        <v>4297</v>
      </c>
      <c r="BE149" s="3173" t="s">
        <v>4279</v>
      </c>
      <c r="BF149" s="3173" t="s">
        <v>4280</v>
      </c>
    </row>
    <row r="150" spans="45:58" ht="54">
      <c r="AS150" s="3173">
        <v>149</v>
      </c>
      <c r="AT150" s="3173">
        <v>20240070009</v>
      </c>
      <c r="AU150" s="3173"/>
      <c r="AV150" s="3173"/>
      <c r="AW150" s="3173" t="s">
        <v>4274</v>
      </c>
      <c r="AX150" s="3173" t="s">
        <v>4597</v>
      </c>
      <c r="AY150" s="3173">
        <v>64.25</v>
      </c>
      <c r="AZ150" s="3173" t="s">
        <v>672</v>
      </c>
      <c r="BA150" s="3173"/>
      <c r="BB150" s="3174">
        <v>45364</v>
      </c>
      <c r="BC150" s="3173" t="s">
        <v>4277</v>
      </c>
      <c r="BD150" s="3173" t="s">
        <v>4297</v>
      </c>
      <c r="BE150" s="3173" t="s">
        <v>4279</v>
      </c>
      <c r="BF150" s="3173" t="s">
        <v>4280</v>
      </c>
    </row>
    <row r="151" spans="45:58" ht="54">
      <c r="AS151" s="3173">
        <v>150</v>
      </c>
      <c r="AT151" s="3173">
        <v>20240070009</v>
      </c>
      <c r="AU151" s="3173"/>
      <c r="AV151" s="3173"/>
      <c r="AW151" s="3173" t="s">
        <v>4274</v>
      </c>
      <c r="AX151" s="3173" t="s">
        <v>4598</v>
      </c>
      <c r="AY151" s="3173">
        <v>64.25</v>
      </c>
      <c r="AZ151" s="3173" t="s">
        <v>672</v>
      </c>
      <c r="BA151" s="3173"/>
      <c r="BB151" s="3174">
        <v>45364</v>
      </c>
      <c r="BC151" s="3173" t="s">
        <v>4277</v>
      </c>
      <c r="BD151" s="3173" t="s">
        <v>4278</v>
      </c>
      <c r="BE151" s="3173" t="s">
        <v>4279</v>
      </c>
      <c r="BF151" s="3173" t="s">
        <v>4280</v>
      </c>
    </row>
    <row r="152" spans="45:58" ht="54">
      <c r="AS152" s="3173">
        <v>151</v>
      </c>
      <c r="AT152" s="3173">
        <v>20240070009</v>
      </c>
      <c r="AU152" s="3173"/>
      <c r="AV152" s="3173"/>
      <c r="AW152" s="3173" t="s">
        <v>4274</v>
      </c>
      <c r="AX152" s="3173" t="s">
        <v>4599</v>
      </c>
      <c r="AY152" s="3173">
        <v>64.25</v>
      </c>
      <c r="AZ152" s="3173" t="s">
        <v>672</v>
      </c>
      <c r="BA152" s="3173"/>
      <c r="BB152" s="3174">
        <v>45364</v>
      </c>
      <c r="BC152" s="3173" t="s">
        <v>4277</v>
      </c>
      <c r="BD152" s="3173" t="s">
        <v>4278</v>
      </c>
      <c r="BE152" s="3173" t="s">
        <v>4279</v>
      </c>
      <c r="BF152" s="3173" t="s">
        <v>4280</v>
      </c>
    </row>
    <row r="153" spans="45:58" ht="54">
      <c r="AS153" s="3173">
        <v>152</v>
      </c>
      <c r="AT153" s="3173">
        <v>20240070009</v>
      </c>
      <c r="AU153" s="3173"/>
      <c r="AV153" s="3173"/>
      <c r="AW153" s="3173" t="s">
        <v>4274</v>
      </c>
      <c r="AX153" s="3173" t="s">
        <v>4600</v>
      </c>
      <c r="AY153" s="3173">
        <v>64.25</v>
      </c>
      <c r="AZ153" s="3173" t="s">
        <v>672</v>
      </c>
      <c r="BA153" s="3173"/>
      <c r="BB153" s="3174">
        <v>45364</v>
      </c>
      <c r="BC153" s="3173" t="s">
        <v>4277</v>
      </c>
      <c r="BD153" s="3173" t="s">
        <v>4278</v>
      </c>
      <c r="BE153" s="3173" t="s">
        <v>4279</v>
      </c>
      <c r="BF153" s="3173" t="s">
        <v>4280</v>
      </c>
    </row>
    <row r="154" spans="45:58" ht="54">
      <c r="AS154" s="3173">
        <v>153</v>
      </c>
      <c r="AT154" s="3173">
        <v>20240070009</v>
      </c>
      <c r="AU154" s="3173"/>
      <c r="AV154" s="3173"/>
      <c r="AW154" s="3173" t="s">
        <v>4274</v>
      </c>
      <c r="AX154" s="3173" t="s">
        <v>4601</v>
      </c>
      <c r="AY154" s="3173">
        <v>64.25</v>
      </c>
      <c r="AZ154" s="3173" t="s">
        <v>672</v>
      </c>
      <c r="BA154" s="3173"/>
      <c r="BB154" s="3174">
        <v>45364</v>
      </c>
      <c r="BC154" s="3173" t="s">
        <v>4277</v>
      </c>
      <c r="BD154" s="3173" t="s">
        <v>4278</v>
      </c>
      <c r="BE154" s="3173" t="s">
        <v>4279</v>
      </c>
      <c r="BF154" s="3173" t="s">
        <v>4280</v>
      </c>
    </row>
    <row r="155" spans="45:58" ht="54">
      <c r="AS155" s="3173">
        <v>154</v>
      </c>
      <c r="AT155" s="3173">
        <v>20240070009</v>
      </c>
      <c r="AU155" s="3173"/>
      <c r="AV155" s="3173"/>
      <c r="AW155" s="3173" t="s">
        <v>4274</v>
      </c>
      <c r="AX155" s="3173" t="s">
        <v>4602</v>
      </c>
      <c r="AY155" s="3173">
        <v>58.14</v>
      </c>
      <c r="AZ155" s="3173" t="s">
        <v>672</v>
      </c>
      <c r="BA155" s="3173"/>
      <c r="BB155" s="3174">
        <v>45364</v>
      </c>
      <c r="BC155" s="3173" t="s">
        <v>4277</v>
      </c>
      <c r="BD155" s="3173" t="s">
        <v>4278</v>
      </c>
      <c r="BE155" s="3173" t="s">
        <v>4279</v>
      </c>
      <c r="BF155" s="3173" t="s">
        <v>4280</v>
      </c>
    </row>
    <row r="156" spans="45:58" ht="54">
      <c r="AS156" s="3173">
        <v>155</v>
      </c>
      <c r="AT156" s="3173">
        <v>20240070009</v>
      </c>
      <c r="AU156" s="3173"/>
      <c r="AV156" s="3173"/>
      <c r="AW156" s="3173" t="s">
        <v>4274</v>
      </c>
      <c r="AX156" s="3173" t="s">
        <v>4603</v>
      </c>
      <c r="AY156" s="3173">
        <v>63.49</v>
      </c>
      <c r="AZ156" s="3173" t="s">
        <v>672</v>
      </c>
      <c r="BA156" s="3173"/>
      <c r="BB156" s="3174">
        <v>45364</v>
      </c>
      <c r="BC156" s="3173" t="s">
        <v>4277</v>
      </c>
      <c r="BD156" s="3173" t="s">
        <v>4278</v>
      </c>
      <c r="BE156" s="3173" t="s">
        <v>4279</v>
      </c>
      <c r="BF156" s="3173" t="s">
        <v>4280</v>
      </c>
    </row>
    <row r="157" spans="45:58" ht="54">
      <c r="AS157" s="3173">
        <v>156</v>
      </c>
      <c r="AT157" s="3173">
        <v>20240070009</v>
      </c>
      <c r="AU157" s="3173"/>
      <c r="AV157" s="3173"/>
      <c r="AW157" s="3173" t="s">
        <v>4274</v>
      </c>
      <c r="AX157" s="3173" t="s">
        <v>4604</v>
      </c>
      <c r="AY157" s="3173">
        <v>106.12</v>
      </c>
      <c r="AZ157" s="3173" t="s">
        <v>672</v>
      </c>
      <c r="BA157" s="3173"/>
      <c r="BB157" s="3174">
        <v>45364</v>
      </c>
      <c r="BC157" s="3173" t="s">
        <v>4277</v>
      </c>
      <c r="BD157" s="3173" t="s">
        <v>4278</v>
      </c>
      <c r="BE157" s="3173" t="s">
        <v>4279</v>
      </c>
      <c r="BF157" s="3173" t="s">
        <v>4280</v>
      </c>
    </row>
    <row r="158" spans="45:58" ht="54">
      <c r="AS158" s="3173">
        <v>157</v>
      </c>
      <c r="AT158" s="3173">
        <v>20240070009</v>
      </c>
      <c r="AU158" s="3173"/>
      <c r="AV158" s="3173"/>
      <c r="AW158" s="3173" t="s">
        <v>4274</v>
      </c>
      <c r="AX158" s="3173" t="s">
        <v>4605</v>
      </c>
      <c r="AY158" s="3173">
        <v>67.459999999999994</v>
      </c>
      <c r="AZ158" s="3173" t="s">
        <v>672</v>
      </c>
      <c r="BA158" s="3173"/>
      <c r="BB158" s="3174">
        <v>45364</v>
      </c>
      <c r="BC158" s="3173" t="s">
        <v>4277</v>
      </c>
      <c r="BD158" s="3173" t="s">
        <v>4278</v>
      </c>
      <c r="BE158" s="3173" t="s">
        <v>4279</v>
      </c>
      <c r="BF158" s="3173" t="s">
        <v>4280</v>
      </c>
    </row>
    <row r="159" spans="45:58" ht="54">
      <c r="AS159" s="3173">
        <v>158</v>
      </c>
      <c r="AT159" s="3173">
        <v>20240070009</v>
      </c>
      <c r="AU159" s="3173"/>
      <c r="AV159" s="3173"/>
      <c r="AW159" s="3173" t="s">
        <v>4274</v>
      </c>
      <c r="AX159" s="3173" t="s">
        <v>4606</v>
      </c>
      <c r="AY159" s="3173">
        <v>67.459999999999994</v>
      </c>
      <c r="AZ159" s="3173" t="s">
        <v>672</v>
      </c>
      <c r="BA159" s="3173"/>
      <c r="BB159" s="3174">
        <v>45364</v>
      </c>
      <c r="BC159" s="3173" t="s">
        <v>4277</v>
      </c>
      <c r="BD159" s="3173" t="s">
        <v>4278</v>
      </c>
      <c r="BE159" s="3173" t="s">
        <v>4279</v>
      </c>
      <c r="BF159" s="3173" t="s">
        <v>4280</v>
      </c>
    </row>
    <row r="160" spans="45:58" ht="54">
      <c r="AS160" s="3173">
        <v>159</v>
      </c>
      <c r="AT160" s="3173">
        <v>20240070009</v>
      </c>
      <c r="AU160" s="3173"/>
      <c r="AV160" s="3173"/>
      <c r="AW160" s="3173" t="s">
        <v>4274</v>
      </c>
      <c r="AX160" s="3173" t="s">
        <v>4607</v>
      </c>
      <c r="AY160" s="3173">
        <v>80.31</v>
      </c>
      <c r="AZ160" s="3173" t="s">
        <v>672</v>
      </c>
      <c r="BA160" s="3173"/>
      <c r="BB160" s="3174">
        <v>45364</v>
      </c>
      <c r="BC160" s="3173" t="s">
        <v>4277</v>
      </c>
      <c r="BD160" s="3173" t="s">
        <v>4278</v>
      </c>
      <c r="BE160" s="3173" t="s">
        <v>4279</v>
      </c>
      <c r="BF160" s="3173" t="s">
        <v>4280</v>
      </c>
    </row>
    <row r="161" spans="45:58" ht="54">
      <c r="AS161" s="3173">
        <v>160</v>
      </c>
      <c r="AT161" s="3173">
        <v>20240070009</v>
      </c>
      <c r="AU161" s="3173"/>
      <c r="AV161" s="3173"/>
      <c r="AW161" s="3173" t="s">
        <v>4274</v>
      </c>
      <c r="AX161" s="3173" t="s">
        <v>4608</v>
      </c>
      <c r="AY161" s="3173">
        <v>41.52</v>
      </c>
      <c r="AZ161" s="3173" t="s">
        <v>672</v>
      </c>
      <c r="BA161" s="3173"/>
      <c r="BB161" s="3174">
        <v>45364</v>
      </c>
      <c r="BC161" s="3173" t="s">
        <v>4277</v>
      </c>
      <c r="BD161" s="3173" t="s">
        <v>4278</v>
      </c>
      <c r="BE161" s="3173" t="s">
        <v>4279</v>
      </c>
      <c r="BF161" s="3173" t="s">
        <v>4280</v>
      </c>
    </row>
    <row r="162" spans="45:58" ht="54">
      <c r="AS162" s="3173">
        <v>161</v>
      </c>
      <c r="AT162" s="3173">
        <v>20240070009</v>
      </c>
      <c r="AU162" s="3173"/>
      <c r="AV162" s="3173"/>
      <c r="AW162" s="3173" t="s">
        <v>4274</v>
      </c>
      <c r="AX162" s="3173" t="s">
        <v>4609</v>
      </c>
      <c r="AY162" s="3173">
        <v>64.25</v>
      </c>
      <c r="AZ162" s="3173" t="s">
        <v>672</v>
      </c>
      <c r="BA162" s="3173"/>
      <c r="BB162" s="3174">
        <v>45364</v>
      </c>
      <c r="BC162" s="3173" t="s">
        <v>4277</v>
      </c>
      <c r="BD162" s="3173" t="s">
        <v>4297</v>
      </c>
      <c r="BE162" s="3173" t="s">
        <v>4279</v>
      </c>
      <c r="BF162" s="3173" t="s">
        <v>4280</v>
      </c>
    </row>
    <row r="163" spans="45:58" ht="54">
      <c r="AS163" s="3173">
        <v>162</v>
      </c>
      <c r="AT163" s="3173">
        <v>20240070009</v>
      </c>
      <c r="AU163" s="3173"/>
      <c r="AV163" s="3173"/>
      <c r="AW163" s="3173" t="s">
        <v>4274</v>
      </c>
      <c r="AX163" s="3173" t="s">
        <v>4610</v>
      </c>
      <c r="AY163" s="3173">
        <v>64.25</v>
      </c>
      <c r="AZ163" s="3173" t="s">
        <v>672</v>
      </c>
      <c r="BA163" s="3173"/>
      <c r="BB163" s="3174">
        <v>45364</v>
      </c>
      <c r="BC163" s="3173" t="s">
        <v>4277</v>
      </c>
      <c r="BD163" s="3173" t="s">
        <v>4278</v>
      </c>
      <c r="BE163" s="3173" t="s">
        <v>4279</v>
      </c>
      <c r="BF163" s="3173" t="s">
        <v>4280</v>
      </c>
    </row>
    <row r="164" spans="45:58" ht="54">
      <c r="AS164" s="3173">
        <v>163</v>
      </c>
      <c r="AT164" s="3173">
        <v>20240070009</v>
      </c>
      <c r="AU164" s="3173"/>
      <c r="AV164" s="3173"/>
      <c r="AW164" s="3173" t="s">
        <v>4274</v>
      </c>
      <c r="AX164" s="3173" t="s">
        <v>4611</v>
      </c>
      <c r="AY164" s="3173">
        <v>64.25</v>
      </c>
      <c r="AZ164" s="3173" t="s">
        <v>672</v>
      </c>
      <c r="BA164" s="3173"/>
      <c r="BB164" s="3174">
        <v>45364</v>
      </c>
      <c r="BC164" s="3173" t="s">
        <v>4277</v>
      </c>
      <c r="BD164" s="3173" t="s">
        <v>4278</v>
      </c>
      <c r="BE164" s="3173" t="s">
        <v>4279</v>
      </c>
      <c r="BF164" s="3173" t="s">
        <v>4280</v>
      </c>
    </row>
    <row r="165" spans="45:58" ht="54">
      <c r="AS165" s="3173">
        <v>164</v>
      </c>
      <c r="AT165" s="3173">
        <v>20240070009</v>
      </c>
      <c r="AU165" s="3173"/>
      <c r="AV165" s="3173"/>
      <c r="AW165" s="3173" t="s">
        <v>4274</v>
      </c>
      <c r="AX165" s="3173" t="s">
        <v>4612</v>
      </c>
      <c r="AY165" s="3173">
        <v>64.25</v>
      </c>
      <c r="AZ165" s="3173" t="s">
        <v>672</v>
      </c>
      <c r="BA165" s="3173"/>
      <c r="BB165" s="3174">
        <v>45364</v>
      </c>
      <c r="BC165" s="3173" t="s">
        <v>4277</v>
      </c>
      <c r="BD165" s="3173" t="s">
        <v>4278</v>
      </c>
      <c r="BE165" s="3173" t="s">
        <v>4279</v>
      </c>
      <c r="BF165" s="3173" t="s">
        <v>4280</v>
      </c>
    </row>
    <row r="166" spans="45:58" ht="54">
      <c r="AS166" s="3173">
        <v>165</v>
      </c>
      <c r="AT166" s="3173">
        <v>20240070009</v>
      </c>
      <c r="AU166" s="3173"/>
      <c r="AV166" s="3173"/>
      <c r="AW166" s="3173" t="s">
        <v>4274</v>
      </c>
      <c r="AX166" s="3173" t="s">
        <v>4613</v>
      </c>
      <c r="AY166" s="3173">
        <v>64.25</v>
      </c>
      <c r="AZ166" s="3173" t="s">
        <v>672</v>
      </c>
      <c r="BA166" s="3173"/>
      <c r="BB166" s="3174">
        <v>45364</v>
      </c>
      <c r="BC166" s="3173" t="s">
        <v>4279</v>
      </c>
      <c r="BD166" s="3173" t="s">
        <v>4297</v>
      </c>
      <c r="BE166" s="3173" t="s">
        <v>4279</v>
      </c>
      <c r="BF166" s="3173" t="s">
        <v>4280</v>
      </c>
    </row>
    <row r="167" spans="45:58" ht="54">
      <c r="AS167" s="3173">
        <v>166</v>
      </c>
      <c r="AT167" s="3173">
        <v>20240070009</v>
      </c>
      <c r="AU167" s="3173"/>
      <c r="AV167" s="3173"/>
      <c r="AW167" s="3173" t="s">
        <v>4274</v>
      </c>
      <c r="AX167" s="3173" t="s">
        <v>4614</v>
      </c>
      <c r="AY167" s="3173">
        <v>58.14</v>
      </c>
      <c r="AZ167" s="3173" t="s">
        <v>672</v>
      </c>
      <c r="BA167" s="3173"/>
      <c r="BB167" s="3174">
        <v>45364</v>
      </c>
      <c r="BC167" s="3173" t="s">
        <v>4277</v>
      </c>
      <c r="BD167" s="3173" t="s">
        <v>4278</v>
      </c>
      <c r="BE167" s="3173" t="s">
        <v>4279</v>
      </c>
      <c r="BF167" s="3173" t="s">
        <v>4280</v>
      </c>
    </row>
    <row r="168" spans="45:58" ht="54">
      <c r="AS168" s="3173">
        <v>167</v>
      </c>
      <c r="AT168" s="3173">
        <v>20240070009</v>
      </c>
      <c r="AU168" s="3173"/>
      <c r="AV168" s="3173"/>
      <c r="AW168" s="3173" t="s">
        <v>4274</v>
      </c>
      <c r="AX168" s="3173" t="s">
        <v>4615</v>
      </c>
      <c r="AY168" s="3173">
        <v>63.49</v>
      </c>
      <c r="AZ168" s="3173" t="s">
        <v>672</v>
      </c>
      <c r="BA168" s="3173"/>
      <c r="BB168" s="3174">
        <v>45364</v>
      </c>
      <c r="BC168" s="3173" t="s">
        <v>4277</v>
      </c>
      <c r="BD168" s="3173" t="s">
        <v>4278</v>
      </c>
      <c r="BE168" s="3173" t="s">
        <v>4279</v>
      </c>
      <c r="BF168" s="3173" t="s">
        <v>4280</v>
      </c>
    </row>
    <row r="169" spans="45:58" ht="54">
      <c r="AS169" s="3173">
        <v>168</v>
      </c>
      <c r="AT169" s="3173">
        <v>20240070009</v>
      </c>
      <c r="AU169" s="3173"/>
      <c r="AV169" s="3173"/>
      <c r="AW169" s="3173" t="s">
        <v>4274</v>
      </c>
      <c r="AX169" s="3173" t="s">
        <v>4616</v>
      </c>
      <c r="AY169" s="3173">
        <v>185.77</v>
      </c>
      <c r="AZ169" s="3173" t="s">
        <v>672</v>
      </c>
      <c r="BA169" s="3173"/>
      <c r="BB169" s="3174">
        <v>45364</v>
      </c>
      <c r="BC169" s="3173" t="s">
        <v>4277</v>
      </c>
      <c r="BD169" s="3173" t="s">
        <v>4297</v>
      </c>
      <c r="BE169" s="3173" t="s">
        <v>4279</v>
      </c>
      <c r="BF169" s="3173" t="s">
        <v>4280</v>
      </c>
    </row>
    <row r="170" spans="45:58" ht="54">
      <c r="AS170" s="3173">
        <v>169</v>
      </c>
      <c r="AT170" s="3173">
        <v>20240070009</v>
      </c>
      <c r="AU170" s="3173"/>
      <c r="AV170" s="3173"/>
      <c r="AW170" s="3173" t="s">
        <v>4274</v>
      </c>
      <c r="AX170" s="3173" t="s">
        <v>4617</v>
      </c>
      <c r="AY170" s="3173">
        <v>167.29</v>
      </c>
      <c r="AZ170" s="3173" t="s">
        <v>672</v>
      </c>
      <c r="BA170" s="3173"/>
      <c r="BB170" s="3174">
        <v>45364</v>
      </c>
      <c r="BC170" s="3173" t="s">
        <v>4277</v>
      </c>
      <c r="BD170" s="3173" t="s">
        <v>4278</v>
      </c>
      <c r="BE170" s="3173" t="s">
        <v>4279</v>
      </c>
      <c r="BF170" s="3173" t="s">
        <v>4280</v>
      </c>
    </row>
    <row r="171" spans="45:58" ht="54">
      <c r="AS171" s="3173">
        <v>170</v>
      </c>
      <c r="AT171" s="3173">
        <v>20240070009</v>
      </c>
      <c r="AU171" s="3173"/>
      <c r="AV171" s="3173"/>
      <c r="AW171" s="3173" t="s">
        <v>4274</v>
      </c>
      <c r="AX171" s="3173" t="s">
        <v>4618</v>
      </c>
      <c r="AY171" s="3173">
        <v>173.61</v>
      </c>
      <c r="AZ171" s="3173" t="s">
        <v>672</v>
      </c>
      <c r="BA171" s="3173"/>
      <c r="BB171" s="3174">
        <v>45364</v>
      </c>
      <c r="BC171" s="3173" t="s">
        <v>4277</v>
      </c>
      <c r="BD171" s="3173" t="s">
        <v>4297</v>
      </c>
      <c r="BE171" s="3173" t="s">
        <v>4279</v>
      </c>
      <c r="BF171" s="3173" t="s">
        <v>4280</v>
      </c>
    </row>
    <row r="172" spans="45:58" ht="54">
      <c r="AS172" s="3173">
        <v>171</v>
      </c>
      <c r="AT172" s="3173">
        <v>20240070009</v>
      </c>
      <c r="AU172" s="3173"/>
      <c r="AV172" s="3173"/>
      <c r="AW172" s="3173" t="s">
        <v>4274</v>
      </c>
      <c r="AX172" s="3173" t="s">
        <v>4619</v>
      </c>
      <c r="AY172" s="3173">
        <v>68.02</v>
      </c>
      <c r="AZ172" s="3173" t="s">
        <v>672</v>
      </c>
      <c r="BA172" s="3173"/>
      <c r="BB172" s="3174">
        <v>45364</v>
      </c>
      <c r="BC172" s="3173" t="s">
        <v>4277</v>
      </c>
      <c r="BD172" s="3173" t="s">
        <v>4278</v>
      </c>
      <c r="BE172" s="3173" t="s">
        <v>4279</v>
      </c>
      <c r="BF172" s="3173" t="s">
        <v>4280</v>
      </c>
    </row>
    <row r="173" spans="45:58" ht="54">
      <c r="AS173" s="3173">
        <v>172</v>
      </c>
      <c r="AT173" s="3173">
        <v>20240070009</v>
      </c>
      <c r="AU173" s="3173"/>
      <c r="AV173" s="3173"/>
      <c r="AW173" s="3173" t="s">
        <v>4274</v>
      </c>
      <c r="AX173" s="3173" t="s">
        <v>4620</v>
      </c>
      <c r="AY173" s="3173">
        <v>57.99</v>
      </c>
      <c r="AZ173" s="3173" t="s">
        <v>672</v>
      </c>
      <c r="BA173" s="3173"/>
      <c r="BB173" s="3174">
        <v>45364</v>
      </c>
      <c r="BC173" s="3173" t="s">
        <v>4277</v>
      </c>
      <c r="BD173" s="3173" t="s">
        <v>4278</v>
      </c>
      <c r="BE173" s="3173" t="s">
        <v>4279</v>
      </c>
      <c r="BF173" s="3173" t="s">
        <v>4280</v>
      </c>
    </row>
    <row r="174" spans="45:58" ht="54">
      <c r="AS174" s="3173">
        <v>173</v>
      </c>
      <c r="AT174" s="3173">
        <v>20240070009</v>
      </c>
      <c r="AU174" s="3173"/>
      <c r="AV174" s="3173"/>
      <c r="AW174" s="3173" t="s">
        <v>4274</v>
      </c>
      <c r="AX174" s="3173" t="s">
        <v>4621</v>
      </c>
      <c r="AY174" s="3173">
        <v>61.1</v>
      </c>
      <c r="AZ174" s="3173" t="s">
        <v>672</v>
      </c>
      <c r="BA174" s="3173"/>
      <c r="BB174" s="3174">
        <v>45364</v>
      </c>
      <c r="BC174" s="3173" t="s">
        <v>4277</v>
      </c>
      <c r="BD174" s="3173" t="s">
        <v>4278</v>
      </c>
      <c r="BE174" s="3173" t="s">
        <v>4279</v>
      </c>
      <c r="BF174" s="3173" t="s">
        <v>4280</v>
      </c>
    </row>
    <row r="175" spans="45:58" ht="54">
      <c r="AS175" s="3173">
        <v>174</v>
      </c>
      <c r="AT175" s="3173">
        <v>20240070009</v>
      </c>
      <c r="AU175" s="3173"/>
      <c r="AV175" s="3173"/>
      <c r="AW175" s="3173" t="s">
        <v>4274</v>
      </c>
      <c r="AX175" s="3173" t="s">
        <v>4622</v>
      </c>
      <c r="AY175" s="3173">
        <v>43.01</v>
      </c>
      <c r="AZ175" s="3173" t="s">
        <v>672</v>
      </c>
      <c r="BA175" s="3173"/>
      <c r="BB175" s="3174">
        <v>45364</v>
      </c>
      <c r="BC175" s="3173" t="s">
        <v>4277</v>
      </c>
      <c r="BD175" s="3173" t="s">
        <v>4278</v>
      </c>
      <c r="BE175" s="3173" t="s">
        <v>4279</v>
      </c>
      <c r="BF175" s="3173" t="s">
        <v>4280</v>
      </c>
    </row>
    <row r="176" spans="45:58" ht="54">
      <c r="AS176" s="3173">
        <v>175</v>
      </c>
      <c r="AT176" s="3173">
        <v>20240070009</v>
      </c>
      <c r="AU176" s="3173"/>
      <c r="AV176" s="3173"/>
      <c r="AW176" s="3173" t="s">
        <v>4274</v>
      </c>
      <c r="AX176" s="3173" t="s">
        <v>4623</v>
      </c>
      <c r="AY176" s="3173">
        <v>58.77</v>
      </c>
      <c r="AZ176" s="3173" t="s">
        <v>672</v>
      </c>
      <c r="BA176" s="3173"/>
      <c r="BB176" s="3174">
        <v>45364</v>
      </c>
      <c r="BC176" s="3173" t="s">
        <v>4277</v>
      </c>
      <c r="BD176" s="3173" t="s">
        <v>4278</v>
      </c>
      <c r="BE176" s="3173" t="s">
        <v>4279</v>
      </c>
      <c r="BF176" s="3173" t="s">
        <v>4280</v>
      </c>
    </row>
    <row r="177" spans="45:58" ht="54">
      <c r="AS177" s="3173">
        <v>176</v>
      </c>
      <c r="AT177" s="3173">
        <v>20240070009</v>
      </c>
      <c r="AU177" s="3173"/>
      <c r="AV177" s="3173"/>
      <c r="AW177" s="3173" t="s">
        <v>4274</v>
      </c>
      <c r="AX177" s="3173" t="s">
        <v>4624</v>
      </c>
      <c r="AY177" s="3173">
        <v>58.75</v>
      </c>
      <c r="AZ177" s="3173" t="s">
        <v>672</v>
      </c>
      <c r="BA177" s="3173"/>
      <c r="BB177" s="3174">
        <v>45364</v>
      </c>
      <c r="BC177" s="3173" t="s">
        <v>4277</v>
      </c>
      <c r="BD177" s="3173" t="s">
        <v>4278</v>
      </c>
      <c r="BE177" s="3173" t="s">
        <v>4279</v>
      </c>
      <c r="BF177" s="3173" t="s">
        <v>4280</v>
      </c>
    </row>
    <row r="178" spans="45:58" ht="54">
      <c r="AS178" s="3173">
        <v>177</v>
      </c>
      <c r="AT178" s="3173">
        <v>20240070009</v>
      </c>
      <c r="AU178" s="3173"/>
      <c r="AV178" s="3173"/>
      <c r="AW178" s="3173" t="s">
        <v>4274</v>
      </c>
      <c r="AX178" s="3173" t="s">
        <v>4625</v>
      </c>
      <c r="AY178" s="3173">
        <v>65.81</v>
      </c>
      <c r="AZ178" s="3173" t="s">
        <v>672</v>
      </c>
      <c r="BA178" s="3173"/>
      <c r="BB178" s="3174">
        <v>45364</v>
      </c>
      <c r="BC178" s="3173" t="s">
        <v>4277</v>
      </c>
      <c r="BD178" s="3173" t="s">
        <v>4278</v>
      </c>
      <c r="BE178" s="3173" t="s">
        <v>4279</v>
      </c>
      <c r="BF178" s="3173" t="s">
        <v>4280</v>
      </c>
    </row>
    <row r="179" spans="45:58" ht="54">
      <c r="AS179" s="3173">
        <v>178</v>
      </c>
      <c r="AT179" s="3173">
        <v>20240070009</v>
      </c>
      <c r="AU179" s="3173"/>
      <c r="AV179" s="3173"/>
      <c r="AW179" s="3173" t="s">
        <v>4274</v>
      </c>
      <c r="AX179" s="3173" t="s">
        <v>4626</v>
      </c>
      <c r="AY179" s="3173">
        <v>26.2</v>
      </c>
      <c r="AZ179" s="3173" t="s">
        <v>672</v>
      </c>
      <c r="BA179" s="3173"/>
      <c r="BB179" s="3174">
        <v>45364</v>
      </c>
      <c r="BC179" s="3173" t="s">
        <v>4279</v>
      </c>
      <c r="BD179" s="3173" t="s">
        <v>4278</v>
      </c>
      <c r="BE179" s="3173" t="s">
        <v>4279</v>
      </c>
      <c r="BF179" s="3173" t="s">
        <v>4280</v>
      </c>
    </row>
    <row r="180" spans="45:58" ht="54">
      <c r="AS180" s="3173">
        <v>179</v>
      </c>
      <c r="AT180" s="3173">
        <v>20240070009</v>
      </c>
      <c r="AU180" s="3173"/>
      <c r="AV180" s="3173"/>
      <c r="AW180" s="3173" t="s">
        <v>4274</v>
      </c>
      <c r="AX180" s="3173" t="s">
        <v>4627</v>
      </c>
      <c r="AY180" s="3173">
        <v>26.65</v>
      </c>
      <c r="AZ180" s="3173" t="s">
        <v>672</v>
      </c>
      <c r="BA180" s="3173"/>
      <c r="BB180" s="3174">
        <v>45364</v>
      </c>
      <c r="BC180" s="3173" t="s">
        <v>4277</v>
      </c>
      <c r="BD180" s="3173" t="s">
        <v>4278</v>
      </c>
      <c r="BE180" s="3173" t="s">
        <v>4279</v>
      </c>
      <c r="BF180" s="3173" t="s">
        <v>4280</v>
      </c>
    </row>
    <row r="181" spans="45:58" ht="54">
      <c r="AS181" s="3173">
        <v>180</v>
      </c>
      <c r="AT181" s="3173">
        <v>20240070009</v>
      </c>
      <c r="AU181" s="3173"/>
      <c r="AV181" s="3173"/>
      <c r="AW181" s="3173" t="s">
        <v>4274</v>
      </c>
      <c r="AX181" s="3173" t="s">
        <v>4628</v>
      </c>
      <c r="AY181" s="3173">
        <v>20.96</v>
      </c>
      <c r="AZ181" s="3173" t="s">
        <v>672</v>
      </c>
      <c r="BA181" s="3173"/>
      <c r="BB181" s="3174">
        <v>45364</v>
      </c>
      <c r="BC181" s="3173" t="s">
        <v>4277</v>
      </c>
      <c r="BD181" s="3173" t="s">
        <v>4278</v>
      </c>
      <c r="BE181" s="3173" t="s">
        <v>4279</v>
      </c>
      <c r="BF181" s="3173" t="s">
        <v>4280</v>
      </c>
    </row>
    <row r="182" spans="45:58" ht="54">
      <c r="AS182" s="3173">
        <v>181</v>
      </c>
      <c r="AT182" s="3173">
        <v>20240070009</v>
      </c>
      <c r="AU182" s="3173"/>
      <c r="AV182" s="3173"/>
      <c r="AW182" s="3173" t="s">
        <v>4274</v>
      </c>
      <c r="AX182" s="3173" t="s">
        <v>4629</v>
      </c>
      <c r="AY182" s="3173">
        <v>26.65</v>
      </c>
      <c r="AZ182" s="3173" t="s">
        <v>672</v>
      </c>
      <c r="BA182" s="3173"/>
      <c r="BB182" s="3174">
        <v>45364</v>
      </c>
      <c r="BC182" s="3173" t="s">
        <v>4277</v>
      </c>
      <c r="BD182" s="3173" t="s">
        <v>4278</v>
      </c>
      <c r="BE182" s="3173" t="s">
        <v>4279</v>
      </c>
      <c r="BF182" s="3173" t="s">
        <v>4280</v>
      </c>
    </row>
    <row r="183" spans="45:58" ht="54">
      <c r="AS183" s="3173">
        <v>182</v>
      </c>
      <c r="AT183" s="3173">
        <v>20240070009</v>
      </c>
      <c r="AU183" s="3173"/>
      <c r="AV183" s="3173"/>
      <c r="AW183" s="3173" t="s">
        <v>4274</v>
      </c>
      <c r="AX183" s="3173" t="s">
        <v>4630</v>
      </c>
      <c r="AY183" s="3173">
        <v>53.8</v>
      </c>
      <c r="AZ183" s="3173" t="s">
        <v>672</v>
      </c>
      <c r="BA183" s="3173"/>
      <c r="BB183" s="3174">
        <v>45364</v>
      </c>
      <c r="BC183" s="3173" t="s">
        <v>4277</v>
      </c>
      <c r="BD183" s="3173" t="s">
        <v>4278</v>
      </c>
      <c r="BE183" s="3173" t="s">
        <v>4279</v>
      </c>
      <c r="BF183" s="3173" t="s">
        <v>4280</v>
      </c>
    </row>
    <row r="184" spans="45:58" ht="54">
      <c r="AS184" s="3173">
        <v>183</v>
      </c>
      <c r="AT184" s="3173">
        <v>20240070009</v>
      </c>
      <c r="AU184" s="3173"/>
      <c r="AV184" s="3173"/>
      <c r="AW184" s="3173" t="s">
        <v>4274</v>
      </c>
      <c r="AX184" s="3173" t="s">
        <v>4631</v>
      </c>
      <c r="AY184" s="3173">
        <v>62.12</v>
      </c>
      <c r="AZ184" s="3173" t="s">
        <v>672</v>
      </c>
      <c r="BA184" s="3173"/>
      <c r="BB184" s="3174">
        <v>45364</v>
      </c>
      <c r="BC184" s="3173" t="s">
        <v>4277</v>
      </c>
      <c r="BD184" s="3173" t="s">
        <v>4278</v>
      </c>
      <c r="BE184" s="3173" t="s">
        <v>4279</v>
      </c>
      <c r="BF184" s="3173" t="s">
        <v>4280</v>
      </c>
    </row>
    <row r="185" spans="45:58" ht="54">
      <c r="AS185" s="3173">
        <v>184</v>
      </c>
      <c r="AT185" s="3173">
        <v>20240070009</v>
      </c>
      <c r="AU185" s="3173"/>
      <c r="AV185" s="3173"/>
      <c r="AW185" s="3173" t="s">
        <v>4274</v>
      </c>
      <c r="AX185" s="3173" t="s">
        <v>4632</v>
      </c>
      <c r="AY185" s="3173">
        <v>55.27</v>
      </c>
      <c r="AZ185" s="3173" t="s">
        <v>672</v>
      </c>
      <c r="BA185" s="3173"/>
      <c r="BB185" s="3174">
        <v>45364</v>
      </c>
      <c r="BC185" s="3173" t="s">
        <v>4277</v>
      </c>
      <c r="BD185" s="3173" t="s">
        <v>4278</v>
      </c>
      <c r="BE185" s="3173" t="s">
        <v>4279</v>
      </c>
      <c r="BF185" s="3173" t="s">
        <v>4280</v>
      </c>
    </row>
    <row r="186" spans="45:58" ht="54">
      <c r="AS186" s="3173">
        <v>185</v>
      </c>
      <c r="AT186" s="3173">
        <v>20240070009</v>
      </c>
      <c r="AU186" s="3173"/>
      <c r="AV186" s="3173"/>
      <c r="AW186" s="3173" t="s">
        <v>4274</v>
      </c>
      <c r="AX186" s="3173" t="s">
        <v>4633</v>
      </c>
      <c r="AY186" s="3173">
        <v>52.13</v>
      </c>
      <c r="AZ186" s="3173" t="s">
        <v>672</v>
      </c>
      <c r="BA186" s="3173"/>
      <c r="BB186" s="3174">
        <v>45364</v>
      </c>
      <c r="BC186" s="3173" t="s">
        <v>4277</v>
      </c>
      <c r="BD186" s="3173" t="s">
        <v>4278</v>
      </c>
      <c r="BE186" s="3173" t="s">
        <v>4279</v>
      </c>
      <c r="BF186" s="3173" t="s">
        <v>4280</v>
      </c>
    </row>
    <row r="187" spans="45:58" ht="54">
      <c r="AS187" s="3173">
        <v>186</v>
      </c>
      <c r="AT187" s="3173">
        <v>20240070009</v>
      </c>
      <c r="AU187" s="3173"/>
      <c r="AV187" s="3173"/>
      <c r="AW187" s="3173" t="s">
        <v>4274</v>
      </c>
      <c r="AX187" s="3173" t="s">
        <v>4634</v>
      </c>
      <c r="AY187" s="3173">
        <v>75.459999999999994</v>
      </c>
      <c r="AZ187" s="3173" t="s">
        <v>672</v>
      </c>
      <c r="BA187" s="3173"/>
      <c r="BB187" s="3174">
        <v>45364</v>
      </c>
      <c r="BC187" s="3173" t="s">
        <v>4277</v>
      </c>
      <c r="BD187" s="3173" t="s">
        <v>4278</v>
      </c>
      <c r="BE187" s="3173" t="s">
        <v>4279</v>
      </c>
      <c r="BF187" s="3173" t="s">
        <v>4280</v>
      </c>
    </row>
    <row r="188" spans="45:58" ht="54">
      <c r="AS188" s="3173">
        <v>187</v>
      </c>
      <c r="AT188" s="3173">
        <v>20240070009</v>
      </c>
      <c r="AU188" s="3173"/>
      <c r="AV188" s="3173"/>
      <c r="AW188" s="3173" t="s">
        <v>4274</v>
      </c>
      <c r="AX188" s="3173" t="s">
        <v>4635</v>
      </c>
      <c r="AY188" s="3173">
        <v>59.13</v>
      </c>
      <c r="AZ188" s="3173" t="s">
        <v>672</v>
      </c>
      <c r="BA188" s="3173"/>
      <c r="BB188" s="3174">
        <v>45364</v>
      </c>
      <c r="BC188" s="3173" t="s">
        <v>4277</v>
      </c>
      <c r="BD188" s="3173" t="s">
        <v>4278</v>
      </c>
      <c r="BE188" s="3173" t="s">
        <v>4279</v>
      </c>
      <c r="BF188" s="3173" t="s">
        <v>4280</v>
      </c>
    </row>
    <row r="189" spans="45:58" ht="54">
      <c r="AS189" s="3173">
        <v>188</v>
      </c>
      <c r="AT189" s="3173">
        <v>20240070009</v>
      </c>
      <c r="AU189" s="3173"/>
      <c r="AV189" s="3173"/>
      <c r="AW189" s="3173" t="s">
        <v>4274</v>
      </c>
      <c r="AX189" s="3173" t="s">
        <v>4636</v>
      </c>
      <c r="AY189" s="3173">
        <v>13.22</v>
      </c>
      <c r="AZ189" s="3173" t="s">
        <v>4637</v>
      </c>
      <c r="BA189" s="3173"/>
      <c r="BB189" s="3174">
        <v>45364</v>
      </c>
      <c r="BC189" s="3173" t="s">
        <v>4277</v>
      </c>
      <c r="BD189" s="3173" t="s">
        <v>4278</v>
      </c>
      <c r="BE189" s="3173" t="s">
        <v>4279</v>
      </c>
      <c r="BF189" s="3173" t="s">
        <v>4280</v>
      </c>
    </row>
    <row r="190" spans="45:58" ht="54">
      <c r="AS190" s="3173">
        <v>189</v>
      </c>
      <c r="AT190" s="3173">
        <v>20240070009</v>
      </c>
      <c r="AU190" s="3173"/>
      <c r="AV190" s="3173"/>
      <c r="AW190" s="3173" t="s">
        <v>4274</v>
      </c>
      <c r="AX190" s="3173" t="s">
        <v>4638</v>
      </c>
      <c r="AY190" s="3173">
        <v>69.16</v>
      </c>
      <c r="AZ190" s="3173" t="s">
        <v>672</v>
      </c>
      <c r="BA190" s="3173"/>
      <c r="BB190" s="3174">
        <v>45364</v>
      </c>
      <c r="BC190" s="3173" t="s">
        <v>4277</v>
      </c>
      <c r="BD190" s="3173" t="s">
        <v>4297</v>
      </c>
      <c r="BE190" s="3173" t="s">
        <v>4279</v>
      </c>
      <c r="BF190" s="3173" t="s">
        <v>4280</v>
      </c>
    </row>
    <row r="191" spans="45:58" ht="54">
      <c r="AS191" s="3173">
        <v>190</v>
      </c>
      <c r="AT191" s="3173">
        <v>20240070009</v>
      </c>
      <c r="AU191" s="3173"/>
      <c r="AV191" s="3173"/>
      <c r="AW191" s="3173" t="s">
        <v>4274</v>
      </c>
      <c r="AX191" s="3173" t="s">
        <v>4639</v>
      </c>
      <c r="AY191" s="3173">
        <v>59.05</v>
      </c>
      <c r="AZ191" s="3173" t="s">
        <v>672</v>
      </c>
      <c r="BA191" s="3173"/>
      <c r="BB191" s="3174">
        <v>45364</v>
      </c>
      <c r="BC191" s="3173" t="s">
        <v>4277</v>
      </c>
      <c r="BD191" s="3173" t="s">
        <v>4297</v>
      </c>
      <c r="BE191" s="3173" t="s">
        <v>4279</v>
      </c>
      <c r="BF191" s="3173" t="s">
        <v>4280</v>
      </c>
    </row>
    <row r="192" spans="45:58" ht="54">
      <c r="AS192" s="3173">
        <v>191</v>
      </c>
      <c r="AT192" s="3173">
        <v>20240070009</v>
      </c>
      <c r="AU192" s="3173"/>
      <c r="AV192" s="3173"/>
      <c r="AW192" s="3173" t="s">
        <v>4274</v>
      </c>
      <c r="AX192" s="3173" t="s">
        <v>4640</v>
      </c>
      <c r="AY192" s="3173">
        <v>62.16</v>
      </c>
      <c r="AZ192" s="3173" t="s">
        <v>672</v>
      </c>
      <c r="BA192" s="3173"/>
      <c r="BB192" s="3174">
        <v>45364</v>
      </c>
      <c r="BC192" s="3173" t="s">
        <v>4277</v>
      </c>
      <c r="BD192" s="3173" t="s">
        <v>4297</v>
      </c>
      <c r="BE192" s="3173" t="s">
        <v>4279</v>
      </c>
      <c r="BF192" s="3173" t="s">
        <v>4280</v>
      </c>
    </row>
    <row r="193" spans="45:58" ht="54">
      <c r="AS193" s="3173">
        <v>192</v>
      </c>
      <c r="AT193" s="3173">
        <v>20240070009</v>
      </c>
      <c r="AU193" s="3173"/>
      <c r="AV193" s="3173"/>
      <c r="AW193" s="3173" t="s">
        <v>4274</v>
      </c>
      <c r="AX193" s="3173" t="s">
        <v>4641</v>
      </c>
      <c r="AY193" s="3173">
        <v>43.01</v>
      </c>
      <c r="AZ193" s="3173" t="s">
        <v>672</v>
      </c>
      <c r="BA193" s="3173"/>
      <c r="BB193" s="3174">
        <v>45364</v>
      </c>
      <c r="BC193" s="3173" t="s">
        <v>4277</v>
      </c>
      <c r="BD193" s="3173" t="s">
        <v>4297</v>
      </c>
      <c r="BE193" s="3173" t="s">
        <v>4279</v>
      </c>
      <c r="BF193" s="3173" t="s">
        <v>4280</v>
      </c>
    </row>
    <row r="194" spans="45:58" ht="54">
      <c r="AS194" s="3173">
        <v>193</v>
      </c>
      <c r="AT194" s="3173">
        <v>20240070009</v>
      </c>
      <c r="AU194" s="3173"/>
      <c r="AV194" s="3173"/>
      <c r="AW194" s="3173" t="s">
        <v>4274</v>
      </c>
      <c r="AX194" s="3173" t="s">
        <v>4642</v>
      </c>
      <c r="AY194" s="3173">
        <v>59.83</v>
      </c>
      <c r="AZ194" s="3173" t="s">
        <v>672</v>
      </c>
      <c r="BA194" s="3173"/>
      <c r="BB194" s="3174">
        <v>45364</v>
      </c>
      <c r="BC194" s="3173" t="s">
        <v>4277</v>
      </c>
      <c r="BD194" s="3173" t="s">
        <v>4297</v>
      </c>
      <c r="BE194" s="3173" t="s">
        <v>4279</v>
      </c>
      <c r="BF194" s="3173" t="s">
        <v>4280</v>
      </c>
    </row>
    <row r="195" spans="45:58" ht="54">
      <c r="AS195" s="3173">
        <v>194</v>
      </c>
      <c r="AT195" s="3173">
        <v>20240070009</v>
      </c>
      <c r="AU195" s="3173"/>
      <c r="AV195" s="3173"/>
      <c r="AW195" s="3173" t="s">
        <v>4274</v>
      </c>
      <c r="AX195" s="3173" t="s">
        <v>4643</v>
      </c>
      <c r="AY195" s="3173">
        <v>59.83</v>
      </c>
      <c r="AZ195" s="3173" t="s">
        <v>672</v>
      </c>
      <c r="BA195" s="3173"/>
      <c r="BB195" s="3174">
        <v>45364</v>
      </c>
      <c r="BC195" s="3173" t="s">
        <v>4277</v>
      </c>
      <c r="BD195" s="3173" t="s">
        <v>4644</v>
      </c>
      <c r="BE195" s="3173" t="s">
        <v>4279</v>
      </c>
      <c r="BF195" s="3173" t="s">
        <v>4280</v>
      </c>
    </row>
    <row r="196" spans="45:58" ht="54">
      <c r="AS196" s="3173">
        <v>195</v>
      </c>
      <c r="AT196" s="3173">
        <v>20240070009</v>
      </c>
      <c r="AU196" s="3173"/>
      <c r="AV196" s="3173"/>
      <c r="AW196" s="3173" t="s">
        <v>4274</v>
      </c>
      <c r="AX196" s="3173" t="s">
        <v>4645</v>
      </c>
      <c r="AY196" s="3173">
        <v>66.89</v>
      </c>
      <c r="AZ196" s="3173" t="s">
        <v>672</v>
      </c>
      <c r="BA196" s="3173"/>
      <c r="BB196" s="3174">
        <v>45364</v>
      </c>
      <c r="BC196" s="3173" t="s">
        <v>4277</v>
      </c>
      <c r="BD196" s="3173" t="s">
        <v>4644</v>
      </c>
      <c r="BE196" s="3173" t="s">
        <v>4279</v>
      </c>
      <c r="BF196" s="3173" t="s">
        <v>4280</v>
      </c>
    </row>
    <row r="197" spans="45:58" ht="54">
      <c r="AS197" s="3173">
        <v>196</v>
      </c>
      <c r="AT197" s="3173">
        <v>20240070009</v>
      </c>
      <c r="AU197" s="3173"/>
      <c r="AV197" s="3173"/>
      <c r="AW197" s="3173" t="s">
        <v>4274</v>
      </c>
      <c r="AX197" s="3173" t="s">
        <v>4646</v>
      </c>
      <c r="AY197" s="3173">
        <v>27.39</v>
      </c>
      <c r="AZ197" s="3173" t="s">
        <v>672</v>
      </c>
      <c r="BA197" s="3173"/>
      <c r="BB197" s="3174">
        <v>45364</v>
      </c>
      <c r="BC197" s="3173" t="s">
        <v>4277</v>
      </c>
      <c r="BD197" s="3173" t="s">
        <v>4644</v>
      </c>
      <c r="BE197" s="3173" t="s">
        <v>4279</v>
      </c>
      <c r="BF197" s="3173" t="s">
        <v>4280</v>
      </c>
    </row>
    <row r="198" spans="45:58" ht="54">
      <c r="AS198" s="3173">
        <v>197</v>
      </c>
      <c r="AT198" s="3173">
        <v>20240070009</v>
      </c>
      <c r="AU198" s="3173"/>
      <c r="AV198" s="3173"/>
      <c r="AW198" s="3173" t="s">
        <v>4274</v>
      </c>
      <c r="AX198" s="3173" t="s">
        <v>4647</v>
      </c>
      <c r="AY198" s="3173">
        <v>21.5</v>
      </c>
      <c r="AZ198" s="3173" t="s">
        <v>672</v>
      </c>
      <c r="BA198" s="3173"/>
      <c r="BB198" s="3174">
        <v>45364</v>
      </c>
      <c r="BC198" s="3173" t="s">
        <v>4277</v>
      </c>
      <c r="BD198" s="3173" t="s">
        <v>4297</v>
      </c>
      <c r="BE198" s="3173" t="s">
        <v>4279</v>
      </c>
      <c r="BF198" s="3173" t="s">
        <v>4280</v>
      </c>
    </row>
    <row r="199" spans="45:58" ht="54">
      <c r="AS199" s="3173">
        <v>198</v>
      </c>
      <c r="AT199" s="3173">
        <v>20240070009</v>
      </c>
      <c r="AU199" s="3173"/>
      <c r="AV199" s="3173"/>
      <c r="AW199" s="3173" t="s">
        <v>4274</v>
      </c>
      <c r="AX199" s="3173" t="s">
        <v>4648</v>
      </c>
      <c r="AY199" s="3173">
        <v>26.65</v>
      </c>
      <c r="AZ199" s="3173" t="s">
        <v>672</v>
      </c>
      <c r="BA199" s="3173"/>
      <c r="BB199" s="3174">
        <v>45364</v>
      </c>
      <c r="BC199" s="3173" t="s">
        <v>4277</v>
      </c>
      <c r="BD199" s="3173" t="s">
        <v>4644</v>
      </c>
      <c r="BE199" s="3173" t="s">
        <v>4279</v>
      </c>
      <c r="BF199" s="3173" t="s">
        <v>4280</v>
      </c>
    </row>
    <row r="200" spans="45:58" ht="54">
      <c r="AS200" s="3173">
        <v>199</v>
      </c>
      <c r="AT200" s="3173">
        <v>20240070009</v>
      </c>
      <c r="AU200" s="3173"/>
      <c r="AV200" s="3173"/>
      <c r="AW200" s="3173" t="s">
        <v>4274</v>
      </c>
      <c r="AX200" s="3173" t="s">
        <v>4649</v>
      </c>
      <c r="AY200" s="3173">
        <v>30.52</v>
      </c>
      <c r="AZ200" s="3173" t="s">
        <v>672</v>
      </c>
      <c r="BA200" s="3173"/>
      <c r="BB200" s="3174">
        <v>45364</v>
      </c>
      <c r="BC200" s="3173" t="s">
        <v>4277</v>
      </c>
      <c r="BD200" s="3173" t="s">
        <v>4278</v>
      </c>
      <c r="BE200" s="3173" t="s">
        <v>4279</v>
      </c>
      <c r="BF200" s="3173" t="s">
        <v>4280</v>
      </c>
    </row>
    <row r="201" spans="45:58" ht="54">
      <c r="AS201" s="3173">
        <v>200</v>
      </c>
      <c r="AT201" s="3173">
        <v>20240070009</v>
      </c>
      <c r="AU201" s="3173"/>
      <c r="AV201" s="3173"/>
      <c r="AW201" s="3173" t="s">
        <v>4274</v>
      </c>
      <c r="AX201" s="3173" t="s">
        <v>4650</v>
      </c>
      <c r="AY201" s="3173">
        <v>26.65</v>
      </c>
      <c r="AZ201" s="3173" t="s">
        <v>672</v>
      </c>
      <c r="BA201" s="3173"/>
      <c r="BB201" s="3174">
        <v>45364</v>
      </c>
      <c r="BC201" s="3173" t="s">
        <v>4277</v>
      </c>
      <c r="BD201" s="3173" t="s">
        <v>4278</v>
      </c>
      <c r="BE201" s="3173" t="s">
        <v>4279</v>
      </c>
      <c r="BF201" s="3173" t="s">
        <v>4280</v>
      </c>
    </row>
    <row r="202" spans="45:58" ht="54">
      <c r="AS202" s="3173">
        <v>201</v>
      </c>
      <c r="AT202" s="3173">
        <v>20240070009</v>
      </c>
      <c r="AU202" s="3173"/>
      <c r="AV202" s="3173"/>
      <c r="AW202" s="3173" t="s">
        <v>4274</v>
      </c>
      <c r="AX202" s="3173" t="s">
        <v>4651</v>
      </c>
      <c r="AY202" s="3173">
        <v>56.18</v>
      </c>
      <c r="AZ202" s="3173" t="s">
        <v>672</v>
      </c>
      <c r="BA202" s="3173"/>
      <c r="BB202" s="3174">
        <v>45364</v>
      </c>
      <c r="BC202" s="3173" t="s">
        <v>4277</v>
      </c>
      <c r="BD202" s="3173" t="s">
        <v>4278</v>
      </c>
      <c r="BE202" s="3173" t="s">
        <v>4279</v>
      </c>
      <c r="BF202" s="3173" t="s">
        <v>4280</v>
      </c>
    </row>
    <row r="203" spans="45:58" ht="54">
      <c r="AS203" s="3173">
        <v>202</v>
      </c>
      <c r="AT203" s="3173">
        <v>20240070009</v>
      </c>
      <c r="AU203" s="3173"/>
      <c r="AV203" s="3173"/>
      <c r="AW203" s="3173" t="s">
        <v>4274</v>
      </c>
      <c r="AX203" s="3173" t="s">
        <v>4652</v>
      </c>
      <c r="AY203" s="3173">
        <v>53.03</v>
      </c>
      <c r="AZ203" s="3173" t="s">
        <v>672</v>
      </c>
      <c r="BA203" s="3173"/>
      <c r="BB203" s="3174">
        <v>45364</v>
      </c>
      <c r="BC203" s="3173" t="s">
        <v>4277</v>
      </c>
      <c r="BD203" s="3173" t="s">
        <v>4278</v>
      </c>
      <c r="BE203" s="3173" t="s">
        <v>4279</v>
      </c>
      <c r="BF203" s="3173" t="s">
        <v>4280</v>
      </c>
    </row>
    <row r="204" spans="45:58" ht="54">
      <c r="AS204" s="3173">
        <v>203</v>
      </c>
      <c r="AT204" s="3173">
        <v>20240070009</v>
      </c>
      <c r="AU204" s="3173"/>
      <c r="AV204" s="3173"/>
      <c r="AW204" s="3173" t="s">
        <v>4274</v>
      </c>
      <c r="AX204" s="3173" t="s">
        <v>4653</v>
      </c>
      <c r="AY204" s="3173">
        <v>74.010000000000005</v>
      </c>
      <c r="AZ204" s="3173" t="s">
        <v>672</v>
      </c>
      <c r="BA204" s="3173"/>
      <c r="BB204" s="3174">
        <v>45364</v>
      </c>
      <c r="BC204" s="3173" t="s">
        <v>4277</v>
      </c>
      <c r="BD204" s="3173" t="s">
        <v>4278</v>
      </c>
      <c r="BE204" s="3173" t="s">
        <v>4279</v>
      </c>
      <c r="BF204" s="3173" t="s">
        <v>4280</v>
      </c>
    </row>
    <row r="205" spans="45:58" ht="54">
      <c r="AS205" s="3173">
        <v>204</v>
      </c>
      <c r="AT205" s="3173">
        <v>20240070009</v>
      </c>
      <c r="AU205" s="3173"/>
      <c r="AV205" s="3173"/>
      <c r="AW205" s="3173" t="s">
        <v>4274</v>
      </c>
      <c r="AX205" s="3173" t="s">
        <v>4654</v>
      </c>
      <c r="AY205" s="3173">
        <v>57.92</v>
      </c>
      <c r="AZ205" s="3173" t="s">
        <v>672</v>
      </c>
      <c r="BA205" s="3173"/>
      <c r="BB205" s="3174">
        <v>45364</v>
      </c>
      <c r="BC205" s="3173" t="s">
        <v>4277</v>
      </c>
      <c r="BD205" s="3173" t="s">
        <v>4278</v>
      </c>
      <c r="BE205" s="3173" t="s">
        <v>4279</v>
      </c>
      <c r="BF205" s="3173" t="s">
        <v>4280</v>
      </c>
    </row>
    <row r="206" spans="45:58" ht="54">
      <c r="AS206" s="3173">
        <v>205</v>
      </c>
      <c r="AT206" s="3173">
        <v>20240070009</v>
      </c>
      <c r="AU206" s="3173"/>
      <c r="AV206" s="3173"/>
      <c r="AW206" s="3173" t="s">
        <v>4274</v>
      </c>
      <c r="AX206" s="3173" t="s">
        <v>4655</v>
      </c>
      <c r="AY206" s="3173">
        <v>13.22</v>
      </c>
      <c r="AZ206" s="3173" t="s">
        <v>4637</v>
      </c>
      <c r="BA206" s="3173"/>
      <c r="BB206" s="3174">
        <v>45364</v>
      </c>
      <c r="BC206" s="3173" t="s">
        <v>4277</v>
      </c>
      <c r="BD206" s="3173" t="s">
        <v>4297</v>
      </c>
      <c r="BE206" s="3173" t="s">
        <v>4279</v>
      </c>
      <c r="BF206" s="3173" t="s">
        <v>4280</v>
      </c>
    </row>
    <row r="207" spans="45:58" ht="54">
      <c r="AS207" s="3173">
        <v>206</v>
      </c>
      <c r="AT207" s="3173">
        <v>20240070009</v>
      </c>
      <c r="AU207" s="3173"/>
      <c r="AV207" s="3173"/>
      <c r="AW207" s="3173" t="s">
        <v>4274</v>
      </c>
      <c r="AX207" s="3173" t="s">
        <v>4656</v>
      </c>
      <c r="AY207" s="3173">
        <v>69.16</v>
      </c>
      <c r="AZ207" s="3173" t="s">
        <v>672</v>
      </c>
      <c r="BA207" s="3173"/>
      <c r="BB207" s="3174">
        <v>45364</v>
      </c>
      <c r="BC207" s="3173" t="s">
        <v>4277</v>
      </c>
      <c r="BD207" s="3173" t="s">
        <v>4278</v>
      </c>
      <c r="BE207" s="3173" t="s">
        <v>4279</v>
      </c>
      <c r="BF207" s="3173" t="s">
        <v>4280</v>
      </c>
    </row>
    <row r="208" spans="45:58" ht="54">
      <c r="AS208" s="3173">
        <v>207</v>
      </c>
      <c r="AT208" s="3173">
        <v>20240070009</v>
      </c>
      <c r="AU208" s="3173"/>
      <c r="AV208" s="3173"/>
      <c r="AW208" s="3173" t="s">
        <v>4274</v>
      </c>
      <c r="AX208" s="3173" t="s">
        <v>4657</v>
      </c>
      <c r="AY208" s="3173">
        <v>79.47</v>
      </c>
      <c r="AZ208" s="3173" t="s">
        <v>672</v>
      </c>
      <c r="BA208" s="3173"/>
      <c r="BB208" s="3174">
        <v>45364</v>
      </c>
      <c r="BC208" s="3173" t="s">
        <v>4277</v>
      </c>
      <c r="BD208" s="3173" t="s">
        <v>4278</v>
      </c>
      <c r="BE208" s="3173" t="s">
        <v>4279</v>
      </c>
      <c r="BF208" s="3173" t="s">
        <v>4280</v>
      </c>
    </row>
    <row r="209" spans="45:58" ht="54">
      <c r="AS209" s="3173">
        <v>208</v>
      </c>
      <c r="AT209" s="3173">
        <v>20240070009</v>
      </c>
      <c r="AU209" s="3173"/>
      <c r="AV209" s="3173"/>
      <c r="AW209" s="3173" t="s">
        <v>4274</v>
      </c>
      <c r="AX209" s="3173" t="s">
        <v>4658</v>
      </c>
      <c r="AY209" s="3173">
        <v>59.05</v>
      </c>
      <c r="AZ209" s="3173" t="s">
        <v>672</v>
      </c>
      <c r="BA209" s="3173"/>
      <c r="BB209" s="3174">
        <v>45364</v>
      </c>
      <c r="BC209" s="3173" t="s">
        <v>4277</v>
      </c>
      <c r="BD209" s="3173" t="s">
        <v>4278</v>
      </c>
      <c r="BE209" s="3173" t="s">
        <v>4279</v>
      </c>
      <c r="BF209" s="3173" t="s">
        <v>4280</v>
      </c>
    </row>
    <row r="210" spans="45:58" ht="54">
      <c r="AS210" s="3173">
        <v>209</v>
      </c>
      <c r="AT210" s="3173">
        <v>20240070009</v>
      </c>
      <c r="AU210" s="3173"/>
      <c r="AV210" s="3173"/>
      <c r="AW210" s="3173" t="s">
        <v>4274</v>
      </c>
      <c r="AX210" s="3173" t="s">
        <v>4659</v>
      </c>
      <c r="AY210" s="3173">
        <v>62.16</v>
      </c>
      <c r="AZ210" s="3173" t="s">
        <v>672</v>
      </c>
      <c r="BA210" s="3173"/>
      <c r="BB210" s="3174">
        <v>45364</v>
      </c>
      <c r="BC210" s="3173" t="s">
        <v>4277</v>
      </c>
      <c r="BD210" s="3173" t="s">
        <v>4278</v>
      </c>
      <c r="BE210" s="3173" t="s">
        <v>4279</v>
      </c>
      <c r="BF210" s="3173" t="s">
        <v>4280</v>
      </c>
    </row>
    <row r="211" spans="45:58" ht="54">
      <c r="AS211" s="3173">
        <v>210</v>
      </c>
      <c r="AT211" s="3173">
        <v>20240070009</v>
      </c>
      <c r="AU211" s="3173"/>
      <c r="AV211" s="3173"/>
      <c r="AW211" s="3173" t="s">
        <v>4274</v>
      </c>
      <c r="AX211" s="3173" t="s">
        <v>4660</v>
      </c>
      <c r="AY211" s="3173">
        <v>43.01</v>
      </c>
      <c r="AZ211" s="3173" t="s">
        <v>672</v>
      </c>
      <c r="BA211" s="3173"/>
      <c r="BB211" s="3174">
        <v>45364</v>
      </c>
      <c r="BC211" s="3173" t="s">
        <v>4277</v>
      </c>
      <c r="BD211" s="3173" t="s">
        <v>4278</v>
      </c>
      <c r="BE211" s="3173" t="s">
        <v>4279</v>
      </c>
      <c r="BF211" s="3173" t="s">
        <v>4280</v>
      </c>
    </row>
    <row r="212" spans="45:58" ht="54">
      <c r="AS212" s="3173">
        <v>211</v>
      </c>
      <c r="AT212" s="3173">
        <v>20240070009</v>
      </c>
      <c r="AU212" s="3173"/>
      <c r="AV212" s="3173"/>
      <c r="AW212" s="3173" t="s">
        <v>4274</v>
      </c>
      <c r="AX212" s="3173" t="s">
        <v>4661</v>
      </c>
      <c r="AY212" s="3173">
        <v>59.83</v>
      </c>
      <c r="AZ212" s="3173" t="s">
        <v>672</v>
      </c>
      <c r="BA212" s="3173"/>
      <c r="BB212" s="3174">
        <v>45364</v>
      </c>
      <c r="BC212" s="3173" t="s">
        <v>4277</v>
      </c>
      <c r="BD212" s="3173" t="s">
        <v>4278</v>
      </c>
      <c r="BE212" s="3173" t="s">
        <v>4279</v>
      </c>
      <c r="BF212" s="3173" t="s">
        <v>4280</v>
      </c>
    </row>
    <row r="213" spans="45:58" ht="54">
      <c r="AS213" s="3173">
        <v>212</v>
      </c>
      <c r="AT213" s="3173">
        <v>20240070009</v>
      </c>
      <c r="AU213" s="3173"/>
      <c r="AV213" s="3173"/>
      <c r="AW213" s="3173" t="s">
        <v>4274</v>
      </c>
      <c r="AX213" s="3173" t="s">
        <v>4662</v>
      </c>
      <c r="AY213" s="3173">
        <v>59.83</v>
      </c>
      <c r="AZ213" s="3173" t="s">
        <v>672</v>
      </c>
      <c r="BA213" s="3173"/>
      <c r="BB213" s="3174">
        <v>45364</v>
      </c>
      <c r="BC213" s="3173" t="s">
        <v>4277</v>
      </c>
      <c r="BD213" s="3173" t="s">
        <v>4278</v>
      </c>
      <c r="BE213" s="3173" t="s">
        <v>4279</v>
      </c>
      <c r="BF213" s="3173" t="s">
        <v>4280</v>
      </c>
    </row>
    <row r="214" spans="45:58" ht="54">
      <c r="AS214" s="3173">
        <v>213</v>
      </c>
      <c r="AT214" s="3173">
        <v>20240070009</v>
      </c>
      <c r="AU214" s="3173"/>
      <c r="AV214" s="3173"/>
      <c r="AW214" s="3173" t="s">
        <v>4274</v>
      </c>
      <c r="AX214" s="3173" t="s">
        <v>4663</v>
      </c>
      <c r="AY214" s="3173">
        <v>66.89</v>
      </c>
      <c r="AZ214" s="3173" t="s">
        <v>672</v>
      </c>
      <c r="BA214" s="3173"/>
      <c r="BB214" s="3174">
        <v>45364</v>
      </c>
      <c r="BC214" s="3173" t="s">
        <v>4277</v>
      </c>
      <c r="BD214" s="3173" t="s">
        <v>4278</v>
      </c>
      <c r="BE214" s="3173" t="s">
        <v>4279</v>
      </c>
      <c r="BF214" s="3173" t="s">
        <v>4280</v>
      </c>
    </row>
    <row r="215" spans="45:58" ht="54">
      <c r="AS215" s="3173">
        <v>214</v>
      </c>
      <c r="AT215" s="3173">
        <v>20240070009</v>
      </c>
      <c r="AU215" s="3173"/>
      <c r="AV215" s="3173"/>
      <c r="AW215" s="3173" t="s">
        <v>4274</v>
      </c>
      <c r="AX215" s="3173" t="s">
        <v>4664</v>
      </c>
      <c r="AY215" s="3173">
        <v>21.5</v>
      </c>
      <c r="AZ215" s="3173" t="s">
        <v>672</v>
      </c>
      <c r="BA215" s="3173"/>
      <c r="BB215" s="3174">
        <v>45364</v>
      </c>
      <c r="BC215" s="3173" t="s">
        <v>4277</v>
      </c>
      <c r="BD215" s="3173" t="s">
        <v>4297</v>
      </c>
      <c r="BE215" s="3173" t="s">
        <v>4279</v>
      </c>
      <c r="BF215" s="3173" t="s">
        <v>4280</v>
      </c>
    </row>
    <row r="216" spans="45:58" ht="54">
      <c r="AS216" s="3173">
        <v>215</v>
      </c>
      <c r="AT216" s="3173">
        <v>20240070009</v>
      </c>
      <c r="AU216" s="3173"/>
      <c r="AV216" s="3173"/>
      <c r="AW216" s="3173" t="s">
        <v>4274</v>
      </c>
      <c r="AX216" s="3173" t="s">
        <v>4665</v>
      </c>
      <c r="AY216" s="3173">
        <v>26.65</v>
      </c>
      <c r="AZ216" s="3173" t="s">
        <v>672</v>
      </c>
      <c r="BA216" s="3173"/>
      <c r="BB216" s="3174">
        <v>45364</v>
      </c>
      <c r="BC216" s="3173" t="s">
        <v>4277</v>
      </c>
      <c r="BD216" s="3173" t="s">
        <v>4297</v>
      </c>
      <c r="BE216" s="3173" t="s">
        <v>4279</v>
      </c>
      <c r="BF216" s="3173" t="s">
        <v>4280</v>
      </c>
    </row>
    <row r="217" spans="45:58" ht="54">
      <c r="AS217" s="3173">
        <v>216</v>
      </c>
      <c r="AT217" s="3173">
        <v>20240070009</v>
      </c>
      <c r="AU217" s="3173"/>
      <c r="AV217" s="3173"/>
      <c r="AW217" s="3173" t="s">
        <v>4274</v>
      </c>
      <c r="AX217" s="3173" t="s">
        <v>4666</v>
      </c>
      <c r="AY217" s="3173">
        <v>32.049999999999997</v>
      </c>
      <c r="AZ217" s="3173" t="s">
        <v>672</v>
      </c>
      <c r="BA217" s="3173"/>
      <c r="BB217" s="3174">
        <v>45364</v>
      </c>
      <c r="BC217" s="3173" t="s">
        <v>4277</v>
      </c>
      <c r="BD217" s="3173" t="s">
        <v>4297</v>
      </c>
      <c r="BE217" s="3173" t="s">
        <v>4279</v>
      </c>
      <c r="BF217" s="3173" t="s">
        <v>4280</v>
      </c>
    </row>
    <row r="218" spans="45:58" ht="54">
      <c r="AS218" s="3173">
        <v>217</v>
      </c>
      <c r="AT218" s="3173">
        <v>20240070009</v>
      </c>
      <c r="AU218" s="3173"/>
      <c r="AV218" s="3173"/>
      <c r="AW218" s="3173" t="s">
        <v>4274</v>
      </c>
      <c r="AX218" s="3173" t="s">
        <v>4667</v>
      </c>
      <c r="AY218" s="3173">
        <v>21.5</v>
      </c>
      <c r="AZ218" s="3173" t="s">
        <v>672</v>
      </c>
      <c r="BA218" s="3173"/>
      <c r="BB218" s="3174">
        <v>45364</v>
      </c>
      <c r="BC218" s="3173" t="s">
        <v>4277</v>
      </c>
      <c r="BD218" s="3173" t="s">
        <v>4297</v>
      </c>
      <c r="BE218" s="3173" t="s">
        <v>4279</v>
      </c>
      <c r="BF218" s="3173" t="s">
        <v>4280</v>
      </c>
    </row>
    <row r="219" spans="45:58" ht="54">
      <c r="AS219" s="3173">
        <v>218</v>
      </c>
      <c r="AT219" s="3173">
        <v>20240070009</v>
      </c>
      <c r="AU219" s="3173"/>
      <c r="AV219" s="3173"/>
      <c r="AW219" s="3173" t="s">
        <v>4274</v>
      </c>
      <c r="AX219" s="3173" t="s">
        <v>4668</v>
      </c>
      <c r="AY219" s="3173">
        <v>56.19</v>
      </c>
      <c r="AZ219" s="3173" t="s">
        <v>672</v>
      </c>
      <c r="BA219" s="3173"/>
      <c r="BB219" s="3174">
        <v>45364</v>
      </c>
      <c r="BC219" s="3173" t="s">
        <v>4277</v>
      </c>
      <c r="BD219" s="3173" t="s">
        <v>4278</v>
      </c>
      <c r="BE219" s="3173" t="s">
        <v>4279</v>
      </c>
      <c r="BF219" s="3173" t="s">
        <v>4280</v>
      </c>
    </row>
    <row r="220" spans="45:58" ht="54">
      <c r="AS220" s="3173">
        <v>219</v>
      </c>
      <c r="AT220" s="3173">
        <v>20240070009</v>
      </c>
      <c r="AU220" s="3173"/>
      <c r="AV220" s="3173"/>
      <c r="AW220" s="3173" t="s">
        <v>4274</v>
      </c>
      <c r="AX220" s="3173" t="s">
        <v>4669</v>
      </c>
      <c r="AY220" s="3173">
        <v>63.02</v>
      </c>
      <c r="AZ220" s="3173" t="s">
        <v>672</v>
      </c>
      <c r="BA220" s="3173"/>
      <c r="BB220" s="3174">
        <v>45364</v>
      </c>
      <c r="BC220" s="3173" t="s">
        <v>4277</v>
      </c>
      <c r="BD220" s="3173" t="s">
        <v>4278</v>
      </c>
      <c r="BE220" s="3173" t="s">
        <v>4279</v>
      </c>
      <c r="BF220" s="3173" t="s">
        <v>4280</v>
      </c>
    </row>
    <row r="221" spans="45:58" ht="54">
      <c r="AS221" s="3173">
        <v>220</v>
      </c>
      <c r="AT221" s="3173">
        <v>20240070009</v>
      </c>
      <c r="AU221" s="3173"/>
      <c r="AV221" s="3173"/>
      <c r="AW221" s="3173" t="s">
        <v>4274</v>
      </c>
      <c r="AX221" s="3173" t="s">
        <v>4670</v>
      </c>
      <c r="AY221" s="3173">
        <v>54.55</v>
      </c>
      <c r="AZ221" s="3173" t="s">
        <v>672</v>
      </c>
      <c r="BA221" s="3173"/>
      <c r="BB221" s="3174">
        <v>45364</v>
      </c>
      <c r="BC221" s="3173" t="s">
        <v>4277</v>
      </c>
      <c r="BD221" s="3173" t="s">
        <v>4278</v>
      </c>
      <c r="BE221" s="3173" t="s">
        <v>4279</v>
      </c>
      <c r="BF221" s="3173" t="s">
        <v>4280</v>
      </c>
    </row>
    <row r="222" spans="45:58" ht="54">
      <c r="AS222" s="3173">
        <v>221</v>
      </c>
      <c r="AT222" s="3173">
        <v>20240070009</v>
      </c>
      <c r="AU222" s="3173"/>
      <c r="AV222" s="3173"/>
      <c r="AW222" s="3173" t="s">
        <v>4274</v>
      </c>
      <c r="AX222" s="3173" t="s">
        <v>4671</v>
      </c>
      <c r="AY222" s="3173">
        <v>54.66</v>
      </c>
      <c r="AZ222" s="3173" t="s">
        <v>672</v>
      </c>
      <c r="BA222" s="3173"/>
      <c r="BB222" s="3174">
        <v>45364</v>
      </c>
      <c r="BC222" s="3173" t="s">
        <v>4277</v>
      </c>
      <c r="BD222" s="3173" t="s">
        <v>4278</v>
      </c>
      <c r="BE222" s="3173" t="s">
        <v>4279</v>
      </c>
      <c r="BF222" s="3173" t="s">
        <v>4280</v>
      </c>
    </row>
    <row r="223" spans="45:58" ht="54">
      <c r="AS223" s="3173">
        <v>222</v>
      </c>
      <c r="AT223" s="3173">
        <v>20240070009</v>
      </c>
      <c r="AU223" s="3173"/>
      <c r="AV223" s="3173"/>
      <c r="AW223" s="3173" t="s">
        <v>4274</v>
      </c>
      <c r="AX223" s="3173" t="s">
        <v>4672</v>
      </c>
      <c r="AY223" s="3173">
        <v>75.459999999999994</v>
      </c>
      <c r="AZ223" s="3173" t="s">
        <v>672</v>
      </c>
      <c r="BA223" s="3173"/>
      <c r="BB223" s="3174">
        <v>45364</v>
      </c>
      <c r="BC223" s="3173" t="s">
        <v>4277</v>
      </c>
      <c r="BD223" s="3173" t="s">
        <v>4278</v>
      </c>
      <c r="BE223" s="3173" t="s">
        <v>4279</v>
      </c>
      <c r="BF223" s="3173" t="s">
        <v>4280</v>
      </c>
    </row>
    <row r="224" spans="45:58" ht="54">
      <c r="AS224" s="3173">
        <v>223</v>
      </c>
      <c r="AT224" s="3173">
        <v>20240070009</v>
      </c>
      <c r="AU224" s="3173"/>
      <c r="AV224" s="3173"/>
      <c r="AW224" s="3173" t="s">
        <v>4274</v>
      </c>
      <c r="AX224" s="3173" t="s">
        <v>4673</v>
      </c>
      <c r="AY224" s="3173">
        <v>59.13</v>
      </c>
      <c r="AZ224" s="3173" t="s">
        <v>672</v>
      </c>
      <c r="BA224" s="3173"/>
      <c r="BB224" s="3174">
        <v>45364</v>
      </c>
      <c r="BC224" s="3173" t="s">
        <v>4277</v>
      </c>
      <c r="BD224" s="3173" t="s">
        <v>4278</v>
      </c>
      <c r="BE224" s="3173" t="s">
        <v>4279</v>
      </c>
      <c r="BF224" s="3173" t="s">
        <v>4280</v>
      </c>
    </row>
  </sheetData>
  <autoFilter ref="A1:BF107" xr:uid="{6F8CAB66-0668-4689-9A3D-AA1D8F7591C4}"/>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59" t="str">
        <f>项目基本情况!S2</f>
        <v>房地产</v>
      </c>
      <c r="B2" s="3360"/>
      <c r="C2" s="3360"/>
      <c r="D2" s="3360"/>
      <c r="E2" s="3360"/>
      <c r="F2" s="3360"/>
      <c r="G2" s="3360"/>
      <c r="H2" s="3360"/>
      <c r="I2" s="3361"/>
    </row>
    <row r="3" spans="1:12" ht="12.75">
      <c r="A3" s="3363" t="s">
        <v>1262</v>
      </c>
      <c r="B3" s="3364"/>
      <c r="C3" s="3364"/>
      <c r="D3" s="3364"/>
      <c r="E3" s="3364"/>
      <c r="F3" s="3364"/>
      <c r="G3" s="3364"/>
      <c r="H3" s="3364"/>
      <c r="I3" s="3364"/>
    </row>
    <row r="4" spans="1:12" ht="14.25">
      <c r="A4" s="1624" t="s">
        <v>1263</v>
      </c>
      <c r="B4" s="1625" t="s">
        <v>1264</v>
      </c>
      <c r="C4" s="1626" t="s">
        <v>4764</v>
      </c>
      <c r="D4" s="1626" t="s">
        <v>4916</v>
      </c>
      <c r="E4" s="3368" t="s">
        <v>1265</v>
      </c>
      <c r="F4" s="3369"/>
      <c r="G4" s="3369"/>
      <c r="H4" s="3369"/>
      <c r="I4" s="3370"/>
      <c r="K4" s="138" t="str">
        <f>IF(ISNUMBER(FIND("比较法",'结果表-1层商业'!C4)),"比较法",IF(ISNUMBER(FIND("成本法",'结果表-1层商业'!C4)),"成本法",IF(ISNUMBER(FIND("假设开发法",'结果表-1层商业'!C4)),"假设开发法",IF(ISNUMBER(FIND("收益法",'结果表-1层商业'!C4)),"收益法","基准地价系数修正法"))))</f>
        <v>收益法</v>
      </c>
      <c r="L4" s="138" t="str">
        <f>IF(ISNUMBER(FIND("比较法",'结果表-1层商业'!D4)),"比较法",IF(ISNUMBER(FIND("成本法",'结果表-1层商业'!D4)),"成本法",IF(ISNUMBER(FIND("假设开发法",'结果表-1层商业'!D4)),"假设开发法",IF(ISNUMBER(FIND("收益法",'结果表-1层商业'!D4)),"收益法","基准地价系数修正法"))))</f>
        <v>比较法</v>
      </c>
    </row>
    <row r="5" spans="1:12" ht="12.75">
      <c r="A5" s="3307" t="s">
        <v>1266</v>
      </c>
      <c r="B5" s="3362">
        <v>25</v>
      </c>
      <c r="C5" s="3365"/>
      <c r="D5" s="3353"/>
      <c r="E5" s="123" t="s">
        <v>1267</v>
      </c>
      <c r="F5" s="1627"/>
      <c r="G5" s="1627"/>
      <c r="H5" s="1627"/>
      <c r="I5" s="1281"/>
    </row>
    <row r="6" spans="1:12" ht="12.75">
      <c r="A6" s="3307"/>
      <c r="B6" s="3362"/>
      <c r="C6" s="3367"/>
      <c r="D6" s="3353"/>
      <c r="E6" s="123" t="s">
        <v>1268</v>
      </c>
      <c r="F6" s="1627"/>
      <c r="G6" s="1627"/>
      <c r="H6" s="1627"/>
      <c r="I6" s="1281"/>
    </row>
    <row r="7" spans="1:12" ht="12.75">
      <c r="A7" s="3307"/>
      <c r="B7" s="3362"/>
      <c r="C7" s="3366"/>
      <c r="D7" s="3353"/>
      <c r="E7" s="123" t="s">
        <v>1269</v>
      </c>
      <c r="F7" s="1627"/>
      <c r="G7" s="1627"/>
      <c r="H7" s="1627"/>
      <c r="I7" s="1281"/>
    </row>
    <row r="8" spans="1:12" ht="12.75">
      <c r="A8" s="3307" t="s">
        <v>1270</v>
      </c>
      <c r="B8" s="3362">
        <v>15</v>
      </c>
      <c r="C8" s="3365"/>
      <c r="D8" s="3353"/>
      <c r="E8" s="123" t="s">
        <v>1271</v>
      </c>
      <c r="F8" s="1627"/>
      <c r="G8" s="1627"/>
      <c r="H8" s="1627"/>
      <c r="I8" s="1281"/>
    </row>
    <row r="9" spans="1:12" ht="12.75">
      <c r="A9" s="3307"/>
      <c r="B9" s="3362"/>
      <c r="C9" s="3366"/>
      <c r="D9" s="3353"/>
      <c r="E9" s="123" t="s">
        <v>1272</v>
      </c>
      <c r="F9" s="1627"/>
      <c r="G9" s="1627"/>
      <c r="H9" s="1627"/>
      <c r="I9" s="1281"/>
    </row>
    <row r="10" spans="1:12" ht="12.75">
      <c r="A10" s="3307" t="s">
        <v>1273</v>
      </c>
      <c r="B10" s="3362">
        <v>15</v>
      </c>
      <c r="C10" s="3365"/>
      <c r="D10" s="3353"/>
      <c r="E10" s="123" t="s">
        <v>1274</v>
      </c>
      <c r="F10" s="1627"/>
      <c r="G10" s="1627"/>
      <c r="H10" s="1627"/>
      <c r="I10" s="1281"/>
    </row>
    <row r="11" spans="1:12" ht="12.75">
      <c r="A11" s="3307"/>
      <c r="B11" s="3362"/>
      <c r="C11" s="3366"/>
      <c r="D11" s="3353"/>
      <c r="E11" s="123" t="s">
        <v>1275</v>
      </c>
      <c r="F11" s="1627"/>
      <c r="G11" s="1627"/>
      <c r="H11" s="1627"/>
      <c r="I11" s="1281"/>
    </row>
    <row r="12" spans="1:12" ht="12.75">
      <c r="A12" s="3307" t="s">
        <v>1276</v>
      </c>
      <c r="B12" s="3362">
        <v>15</v>
      </c>
      <c r="C12" s="3365"/>
      <c r="D12" s="3353"/>
      <c r="E12" s="123" t="s">
        <v>1277</v>
      </c>
      <c r="F12" s="1627"/>
      <c r="G12" s="1627"/>
      <c r="H12" s="1627"/>
      <c r="I12" s="1281"/>
    </row>
    <row r="13" spans="1:12" ht="12.75">
      <c r="A13" s="3307"/>
      <c r="B13" s="3362"/>
      <c r="C13" s="3366"/>
      <c r="D13" s="3353"/>
      <c r="E13" s="123" t="s">
        <v>1278</v>
      </c>
      <c r="F13" s="1627"/>
      <c r="G13" s="1627"/>
      <c r="H13" s="1627"/>
      <c r="I13" s="1281"/>
    </row>
    <row r="14" spans="1:12" ht="12.75">
      <c r="A14" s="3307" t="s">
        <v>1279</v>
      </c>
      <c r="B14" s="3362">
        <v>30</v>
      </c>
      <c r="C14" s="3365">
        <v>6</v>
      </c>
      <c r="D14" s="3353">
        <f>10-C14</f>
        <v>4</v>
      </c>
      <c r="E14" s="123" t="s">
        <v>1280</v>
      </c>
      <c r="F14" s="1627"/>
      <c r="G14" s="1627"/>
      <c r="H14" s="1627"/>
      <c r="I14" s="1281"/>
    </row>
    <row r="15" spans="1:12" ht="12.75">
      <c r="A15" s="3307"/>
      <c r="B15" s="3362"/>
      <c r="C15" s="3367"/>
      <c r="D15" s="3353"/>
      <c r="E15" s="123" t="s">
        <v>1281</v>
      </c>
      <c r="F15" s="1627"/>
      <c r="G15" s="1627"/>
      <c r="H15" s="1627"/>
      <c r="I15" s="1281"/>
    </row>
    <row r="16" spans="1:12" ht="12.75">
      <c r="A16" s="3307"/>
      <c r="B16" s="3362"/>
      <c r="C16" s="3366"/>
      <c r="D16" s="3353"/>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384" t="s">
        <v>2129</v>
      </c>
      <c r="F18" s="3385"/>
      <c r="G18" s="3385"/>
      <c r="H18" s="3385"/>
      <c r="I18" s="3385"/>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SUMIF(INDIRECT("'"&amp;C4&amp;"'"&amp;"!A:A"),'结果表-1层商业'!B19,INDIRECT("'"&amp;C4&amp;"'"&amp;"!B:B"))</f>
        <v>280.43669999999997</v>
      </c>
      <c r="D19" s="127">
        <f ca="1">SUMIF(INDIRECT("'"&amp;D4&amp;"'"&amp;"!A:A"),'结果表-1层商业'!B19,INDIRECT("'"&amp;D4&amp;"'"&amp;"!B:B"))</f>
        <v>420.52980000000002</v>
      </c>
      <c r="E19" s="1630" t="s">
        <v>1290</v>
      </c>
      <c r="F19" s="1631" t="s">
        <v>1289</v>
      </c>
      <c r="G19" s="128">
        <f ca="1">ROUND(C19*$C$18+D19*$D$18,0)</f>
        <v>336</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SUMIF(INDIRECT("'"&amp;C4&amp;"'"&amp;"!A:A"),'结果表-1层商业'!B20,INDIRECT("'"&amp;C4&amp;"'"&amp;"!B:B"))</f>
        <v>16177</v>
      </c>
      <c r="D20" s="130">
        <f ca="1">SUMIF(INDIRECT("'"&amp;D4&amp;"'"&amp;"!A:A"),'结果表-1层商业'!B20,INDIRECT("'"&amp;D4&amp;"'"&amp;"!B:B"))</f>
        <v>24259</v>
      </c>
      <c r="E20" s="1633"/>
      <c r="F20" s="43" t="s">
        <v>1293</v>
      </c>
      <c r="G20" s="131">
        <f ca="1">ROUND(C20*$C$18+D20*$D$18,0)</f>
        <v>19410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0.49955337514669118</v>
      </c>
      <c r="E22" s="121"/>
      <c r="F22" s="121"/>
      <c r="G22" s="121"/>
      <c r="H22" s="121"/>
      <c r="I22" s="121"/>
    </row>
    <row r="23" spans="1:36" ht="13.5" thickBot="1">
      <c r="A23" s="646"/>
      <c r="B23" s="646"/>
      <c r="C23" s="646"/>
      <c r="D23" s="646"/>
      <c r="E23" s="121"/>
      <c r="F23" s="121"/>
      <c r="G23" s="121"/>
      <c r="H23" s="121"/>
      <c r="I23" s="121"/>
    </row>
    <row r="24" spans="1:36" ht="14.25">
      <c r="A24" s="3377" t="s">
        <v>1297</v>
      </c>
      <c r="B24" s="1631" t="s">
        <v>1289</v>
      </c>
      <c r="C24" s="128">
        <f>IF(B30=0,0,D30)</f>
        <v>0</v>
      </c>
      <c r="D24" s="1637"/>
      <c r="E24" s="121"/>
      <c r="F24" s="121"/>
      <c r="G24" s="121"/>
      <c r="H24" s="121"/>
      <c r="I24" s="121"/>
    </row>
    <row r="25" spans="1:36" ht="14.25">
      <c r="A25" s="337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19410</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54" t="s">
        <v>1310</v>
      </c>
      <c r="B36" s="1652" t="s">
        <v>1311</v>
      </c>
      <c r="C36" s="137"/>
      <c r="D36" s="1653"/>
      <c r="E36" s="1567"/>
      <c r="F36" s="1654"/>
      <c r="G36" s="121"/>
      <c r="H36" s="121"/>
      <c r="I36" s="121"/>
    </row>
    <row r="37" spans="1:15" ht="15.75" thickBot="1">
      <c r="A37" s="3355"/>
      <c r="B37" s="1555" t="s">
        <v>1312</v>
      </c>
      <c r="C37" s="139"/>
      <c r="D37" s="1071"/>
      <c r="E37" s="1071"/>
      <c r="F37" s="1654"/>
      <c r="G37" s="121"/>
      <c r="H37" s="121"/>
      <c r="I37" s="121"/>
    </row>
    <row r="38" spans="1:15" ht="15.75" thickBot="1">
      <c r="A38" s="3356"/>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4" t="s">
        <v>1324</v>
      </c>
      <c r="B45" s="3375"/>
      <c r="C45" s="3376"/>
      <c r="D45" s="147" t="e">
        <f ca="1">ROUND(H101*F45,0)</f>
        <v>#REF!</v>
      </c>
      <c r="E45" s="148" t="s">
        <v>1325</v>
      </c>
      <c r="F45" s="149">
        <v>1</v>
      </c>
      <c r="G45" s="150" t="s">
        <v>1326</v>
      </c>
      <c r="H45" s="121"/>
      <c r="I45" s="121"/>
      <c r="J45" s="3294" t="s">
        <v>1327</v>
      </c>
      <c r="K45" s="3294"/>
      <c r="L45" s="3294"/>
      <c r="M45" s="3294"/>
      <c r="N45" s="3294"/>
      <c r="O45" s="3294"/>
    </row>
    <row r="46" spans="1:15" ht="14.25" customHeight="1">
      <c r="A46" s="3371" t="s">
        <v>1328</v>
      </c>
      <c r="B46" s="3372"/>
      <c r="C46" s="3372"/>
      <c r="D46" s="3372"/>
      <c r="E46" s="3372"/>
      <c r="F46" s="3372"/>
      <c r="G46" s="3373"/>
      <c r="H46" s="1668"/>
      <c r="I46" s="151"/>
      <c r="J46" s="2310">
        <v>1</v>
      </c>
      <c r="K46" s="3295" t="s">
        <v>1329</v>
      </c>
      <c r="L46" s="3295"/>
      <c r="M46" s="3296"/>
      <c r="N46" s="3296"/>
      <c r="O46" s="3296"/>
    </row>
    <row r="47" spans="1:15" ht="12" customHeight="1">
      <c r="A47" s="152" t="s">
        <v>1330</v>
      </c>
      <c r="B47" s="153"/>
      <c r="C47" s="154"/>
      <c r="D47" s="1024" t="s">
        <v>1331</v>
      </c>
      <c r="E47" s="294" t="s">
        <v>1332</v>
      </c>
      <c r="F47" s="155" t="s">
        <v>1333</v>
      </c>
      <c r="G47" s="2333" t="s">
        <v>1334</v>
      </c>
      <c r="H47" s="2334"/>
      <c r="I47" s="151"/>
      <c r="J47" s="2310">
        <v>2</v>
      </c>
      <c r="K47" s="3295" t="s">
        <v>1335</v>
      </c>
      <c r="L47" s="3295"/>
      <c r="M47" s="3297">
        <f>'数据-取费表'!B2</f>
        <v>45974</v>
      </c>
      <c r="N47" s="3297"/>
      <c r="O47" s="3297"/>
    </row>
    <row r="48" spans="1:15" ht="25.5">
      <c r="A48" s="3357"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5" t="s">
        <v>1338</v>
      </c>
      <c r="L48" s="3295"/>
      <c r="M48" s="3298" t="e">
        <f ca="1">H101</f>
        <v>#REF!</v>
      </c>
      <c r="N48" s="3298"/>
      <c r="O48" s="3298"/>
    </row>
    <row r="49" spans="1:35" ht="25.5" customHeight="1">
      <c r="A49" s="2152" t="s">
        <v>1339</v>
      </c>
      <c r="B49" s="3343" t="s">
        <v>1340</v>
      </c>
      <c r="C49" s="3343"/>
      <c r="D49" s="1478">
        <v>0</v>
      </c>
      <c r="E49" s="316" t="s">
        <v>1341</v>
      </c>
      <c r="F49" s="2233" t="s">
        <v>28</v>
      </c>
      <c r="G49" s="3326"/>
      <c r="H49" s="2134" t="s">
        <v>2132</v>
      </c>
      <c r="I49" s="2135"/>
      <c r="J49" s="2310">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8"/>
      <c r="B50" s="3343" t="s">
        <v>1342</v>
      </c>
      <c r="C50" s="3343"/>
      <c r="D50" s="2189"/>
      <c r="E50" s="323"/>
      <c r="F50" s="2233"/>
      <c r="G50" s="3327"/>
      <c r="H50" s="2136" t="s">
        <v>2133</v>
      </c>
      <c r="I50" s="2135"/>
      <c r="J50" s="3294" t="s">
        <v>1343</v>
      </c>
      <c r="K50" s="3294"/>
      <c r="L50" s="3294"/>
      <c r="M50" s="3294"/>
      <c r="N50" s="3294"/>
      <c r="O50" s="3294"/>
    </row>
    <row r="51" spans="1:35" ht="20.45" customHeight="1">
      <c r="A51" s="2339"/>
      <c r="B51" s="3343" t="s">
        <v>1344</v>
      </c>
      <c r="C51" s="3343"/>
      <c r="D51" s="1024"/>
      <c r="E51" s="319"/>
      <c r="F51" s="2233"/>
      <c r="G51" s="3328"/>
      <c r="H51" s="2136" t="s">
        <v>2134</v>
      </c>
      <c r="I51" s="2135"/>
      <c r="J51" s="2311" t="s">
        <v>1345</v>
      </c>
      <c r="K51" s="3295" t="s">
        <v>1346</v>
      </c>
      <c r="L51" s="3295"/>
      <c r="M51" s="2311" t="s">
        <v>1347</v>
      </c>
      <c r="N51" s="2311" t="s">
        <v>1348</v>
      </c>
      <c r="O51" s="2311" t="s">
        <v>1349</v>
      </c>
    </row>
    <row r="52" spans="1:35" ht="24" customHeight="1">
      <c r="A52" s="2153" t="s">
        <v>1350</v>
      </c>
      <c r="B52" s="3343" t="s">
        <v>1351</v>
      </c>
      <c r="C52" s="3343"/>
      <c r="D52" s="1024" t="e">
        <f ca="1">ROUND(D45*'数据-取费表'!B41/(1+'数据-取费表'!C42),0)</f>
        <v>#REF!</v>
      </c>
      <c r="E52" s="1256" t="s">
        <v>1352</v>
      </c>
      <c r="F52" s="2340">
        <f>'数据-取费表'!B41</f>
        <v>5.6000000000000001E-2</v>
      </c>
      <c r="G52" s="2341"/>
      <c r="H52" s="2331"/>
      <c r="I52" s="1669"/>
      <c r="J52" s="2310">
        <v>1</v>
      </c>
      <c r="K52" s="3320" t="s">
        <v>1353</v>
      </c>
      <c r="L52" s="3320"/>
      <c r="M52" s="2312" t="b">
        <f>D48</f>
        <v>0</v>
      </c>
      <c r="N52" s="2310" t="str">
        <f>E48</f>
        <v>销售额×税（费）率</v>
      </c>
      <c r="O52" s="2313">
        <f>F48</f>
        <v>5.6000000000000001E-2</v>
      </c>
    </row>
    <row r="53" spans="1:35" ht="12" customHeight="1">
      <c r="A53" s="2153" t="s">
        <v>1354</v>
      </c>
      <c r="B53" s="3344" t="s">
        <v>2289</v>
      </c>
      <c r="C53" s="3345"/>
      <c r="D53" s="1024" t="e">
        <f ca="1">ROUND(D45*'数据-取费表'!B41/(1+'数据-取费表'!C42),0)</f>
        <v>#REF!</v>
      </c>
      <c r="E53" s="1256" t="s">
        <v>1352</v>
      </c>
      <c r="F53" s="2340">
        <f>'数据-取费表'!B41</f>
        <v>5.6000000000000001E-2</v>
      </c>
      <c r="G53" s="2341"/>
      <c r="H53" s="2331"/>
      <c r="I53" s="1669"/>
      <c r="J53" s="2310">
        <v>2</v>
      </c>
      <c r="K53" s="3320" t="s">
        <v>1355</v>
      </c>
      <c r="L53" s="3320"/>
      <c r="M53" s="2312" t="e">
        <f t="shared" ref="M53:O54" ca="1" si="0">D55</f>
        <v>#REF!</v>
      </c>
      <c r="N53" s="2310" t="str">
        <f t="shared" si="0"/>
        <v>销售额×税（费）率</v>
      </c>
      <c r="O53" s="2313" t="str">
        <f t="shared" si="0"/>
        <v>免征</v>
      </c>
    </row>
    <row r="54" spans="1:35" ht="12" customHeight="1">
      <c r="A54" s="2153" t="s">
        <v>1356</v>
      </c>
      <c r="B54" s="3344" t="s">
        <v>2290</v>
      </c>
      <c r="C54" s="3345"/>
      <c r="D54" s="1024" t="e">
        <f ca="1">C68</f>
        <v>#REF!</v>
      </c>
      <c r="E54" s="319" t="s">
        <v>1357</v>
      </c>
      <c r="F54" s="2340">
        <f>'数据-取费表'!B41</f>
        <v>5.6000000000000001E-2</v>
      </c>
      <c r="G54" s="2341"/>
      <c r="H54" s="2342"/>
      <c r="I54" s="1669"/>
      <c r="J54" s="2310">
        <v>3</v>
      </c>
      <c r="K54" s="3320" t="s">
        <v>1358</v>
      </c>
      <c r="L54" s="3320"/>
      <c r="M54" s="2312" t="e">
        <f t="shared" ca="1" si="0"/>
        <v>#REF!</v>
      </c>
      <c r="N54" s="2310" t="str">
        <f t="shared" si="0"/>
        <v>增值额×税（费）率</v>
      </c>
      <c r="O54" s="2314" t="str">
        <f t="shared" si="0"/>
        <v>免征</v>
      </c>
    </row>
    <row r="55" spans="1:35" ht="24" customHeight="1">
      <c r="A55" s="3380"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t="e">
        <f ca="1">D59</f>
        <v>#REF!</v>
      </c>
      <c r="N55" s="1883" t="str">
        <f>E59</f>
        <v>差额计税</v>
      </c>
      <c r="O55" s="2316">
        <f>F59</f>
        <v>0.01</v>
      </c>
    </row>
    <row r="56" spans="1:35" ht="24.75">
      <c r="A56" s="3380"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301" t="str">
        <f>IF(项目基本情况!K6="上海银行","其他处置费用","")</f>
        <v/>
      </c>
      <c r="L56" s="3302"/>
      <c r="M56" s="2312" t="str">
        <f>IF(项目基本情况!K6="上海银行",M69,"")</f>
        <v/>
      </c>
      <c r="N56" s="3301" t="str">
        <f>IF(项目基本情况!K6="上海银行","包含处置中涉及的律师、诉讼、拍卖、评估等费用","")</f>
        <v/>
      </c>
      <c r="O56" s="3304"/>
    </row>
    <row r="57" spans="1:35" ht="12.75">
      <c r="A57" s="2153" t="s">
        <v>1339</v>
      </c>
      <c r="B57" s="3344" t="s">
        <v>1364</v>
      </c>
      <c r="C57" s="3345"/>
      <c r="D57" s="1478">
        <v>0</v>
      </c>
      <c r="E57" s="316" t="s">
        <v>1341</v>
      </c>
      <c r="F57" s="294"/>
      <c r="G57" s="2341"/>
      <c r="H57" s="2345"/>
      <c r="I57" s="1670"/>
      <c r="J57" s="3320">
        <f>IF(AND(J55="",J56=""),4,IF(项目基本情况!K6="上海银行",'结果表-1层商业'!J56+1,'结果表-1层商业'!J55+1))</f>
        <v>5</v>
      </c>
      <c r="K57" s="3320" t="s">
        <v>1365</v>
      </c>
      <c r="L57" s="2317" t="s">
        <v>1366</v>
      </c>
      <c r="M57" s="2318"/>
      <c r="N57" s="2319">
        <f ca="1">SUMIF(M52:M56,"&lt;9e307")</f>
        <v>0</v>
      </c>
      <c r="O57" s="2320"/>
      <c r="P57" s="2465" t="e">
        <f ca="1">N57/M49</f>
        <v>#VALUE!</v>
      </c>
    </row>
    <row r="58" spans="1:35" ht="24.75">
      <c r="A58" s="2153" t="s">
        <v>1350</v>
      </c>
      <c r="B58" s="3344" t="s">
        <v>1367</v>
      </c>
      <c r="C58" s="3343"/>
      <c r="D58" s="12" t="e">
        <f ca="1">IF(H58="转让取得",C81,C97)</f>
        <v>#REF!</v>
      </c>
      <c r="E58" s="1256" t="s">
        <v>1362</v>
      </c>
      <c r="F58" s="294" t="s">
        <v>28</v>
      </c>
      <c r="G58" s="2341"/>
      <c r="H58" s="2344"/>
      <c r="I58" s="1670"/>
      <c r="J58" s="3320"/>
      <c r="K58" s="3320"/>
      <c r="L58" s="2317" t="s">
        <v>1368</v>
      </c>
      <c r="M58" s="2321"/>
      <c r="N58" s="2322" t="str">
        <f ca="1">NUMBERSTRING(INT(N57*10000),2)&amp;"元整"</f>
        <v>零元整</v>
      </c>
      <c r="O58" s="2323"/>
    </row>
    <row r="59" spans="1:35" ht="24.75" thickBot="1">
      <c r="A59" s="3324" t="s">
        <v>1369</v>
      </c>
      <c r="B59" s="3325"/>
      <c r="C59" s="332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2">
        <f>J57+1</f>
        <v>6</v>
      </c>
      <c r="K59" s="3320" t="s">
        <v>1370</v>
      </c>
      <c r="L59" s="2310" t="s">
        <v>1366</v>
      </c>
      <c r="M59" s="2324"/>
      <c r="N59" s="2325" t="e">
        <f ca="1">M49-N57</f>
        <v>#VALUE!</v>
      </c>
      <c r="O59" s="2326"/>
    </row>
    <row r="60" spans="1:35" ht="12" customHeight="1">
      <c r="A60" s="1671"/>
      <c r="B60" s="646"/>
      <c r="C60" s="646"/>
      <c r="D60" s="646"/>
      <c r="E60" s="1466"/>
      <c r="F60" s="1670"/>
      <c r="G60" s="1670"/>
      <c r="H60" s="151"/>
      <c r="I60" s="121"/>
      <c r="J60" s="3323"/>
      <c r="K60" s="3320"/>
      <c r="L60" s="2317" t="s">
        <v>1368</v>
      </c>
      <c r="M60" s="2321"/>
      <c r="N60" s="2322" t="e">
        <f ca="1">NUMBERSTRING(INT(N59*10000),2)&amp;"元整"</f>
        <v>#VALUE!</v>
      </c>
      <c r="O60" s="2323"/>
    </row>
    <row r="61" spans="1:35" ht="13.5" thickBot="1">
      <c r="A61" s="3379" t="s">
        <v>1371</v>
      </c>
      <c r="B61" s="3379"/>
      <c r="C61" s="3379"/>
      <c r="D61" s="3379"/>
      <c r="E61" s="3379"/>
      <c r="F61" s="1670"/>
      <c r="G61" s="1670"/>
      <c r="H61" s="151"/>
      <c r="I61" s="121"/>
      <c r="J61" s="2310">
        <f>J59+1</f>
        <v>7</v>
      </c>
      <c r="K61" s="3320" t="s">
        <v>1372</v>
      </c>
      <c r="L61" s="3320"/>
      <c r="M61" s="2327"/>
      <c r="N61" s="2328" t="e">
        <f ca="1">ROUND(N59*10000/'数据-汇总表'!E3,0)</f>
        <v>#VALUE!</v>
      </c>
      <c r="O61" s="2329"/>
    </row>
    <row r="62" spans="1:35" ht="12.75">
      <c r="A62" s="3339" t="s">
        <v>1373</v>
      </c>
      <c r="B62" s="3340"/>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03"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03"/>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03"/>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03"/>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03"/>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03"/>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03"/>
      <c r="K69" s="1245" t="s">
        <v>1391</v>
      </c>
      <c r="L69" s="1245"/>
      <c r="M69" s="294" t="e">
        <f>ROUND(SUM(M63:M68),0)</f>
        <v>#VALUE!</v>
      </c>
      <c r="N69" s="2332" t="e">
        <f>M69/M49</f>
        <v>#VALUE!</v>
      </c>
      <c r="Z69" s="1623"/>
      <c r="AI69" s="1561"/>
    </row>
    <row r="70" spans="1:35" s="642" customFormat="1" ht="15" thickBot="1">
      <c r="A70" s="3347" t="s">
        <v>1392</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1373</v>
      </c>
      <c r="B71" s="334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44" t="s">
        <v>1400</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36" t="s">
        <v>1404</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1408</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1373</v>
      </c>
      <c r="B84" s="334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05" t="s">
        <v>2127</v>
      </c>
      <c r="H90" s="3306"/>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36" t="s">
        <v>1417</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36" t="s">
        <v>1420</v>
      </c>
      <c r="F92" s="3337"/>
      <c r="G92" s="3337"/>
      <c r="H92" s="3338"/>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36" t="s">
        <v>1404</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81" t="s">
        <v>1424</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6" t="s">
        <v>1426</v>
      </c>
      <c r="B100" s="3287"/>
      <c r="C100" s="3287"/>
      <c r="D100" s="3321"/>
      <c r="E100" s="3287" t="s">
        <v>1427</v>
      </c>
      <c r="F100" s="3287"/>
      <c r="G100" s="3287"/>
      <c r="H100" s="3321"/>
      <c r="I100" s="121"/>
    </row>
    <row r="101" spans="1:35" ht="18.75" customHeight="1">
      <c r="A101" s="3329" t="s">
        <v>1428</v>
      </c>
      <c r="B101" s="3330"/>
      <c r="C101" s="2371" t="str">
        <f>C4</f>
        <v>收益法 (元)-商业</v>
      </c>
      <c r="D101" s="2372" t="str">
        <f>D4</f>
        <v>比较法-商业</v>
      </c>
      <c r="E101" s="3299" t="s">
        <v>1429</v>
      </c>
      <c r="F101" s="3300"/>
      <c r="G101" s="1687" t="s">
        <v>1430</v>
      </c>
      <c r="H101" s="2381" t="e">
        <f ca="1">H118</f>
        <v>#REF!</v>
      </c>
      <c r="I101" s="121"/>
    </row>
    <row r="102" spans="1:35" ht="18.75" customHeight="1">
      <c r="A102" s="3331" t="s">
        <v>1431</v>
      </c>
      <c r="B102" s="2370" t="s">
        <v>1430</v>
      </c>
      <c r="C102" s="2371">
        <f ca="1">IF(D32="楼面单价",ROUND(C19,0),C19)</f>
        <v>280.43669999999997</v>
      </c>
      <c r="D102" s="2372">
        <f ca="1">IF(D32="楼面单价",ROUND(D19,0),D19)</f>
        <v>420.52980000000002</v>
      </c>
      <c r="E102" s="3299"/>
      <c r="F102" s="3300"/>
      <c r="G102" s="1687" t="s">
        <v>1432</v>
      </c>
      <c r="H102" s="2341" t="e">
        <f ca="1">I118</f>
        <v>#REF!</v>
      </c>
      <c r="I102" s="121"/>
    </row>
    <row r="103" spans="1:35" ht="42.75" customHeight="1">
      <c r="A103" s="3331"/>
      <c r="B103" s="2370" t="s">
        <v>1432</v>
      </c>
      <c r="C103" s="2373">
        <f ca="1">C20</f>
        <v>16177</v>
      </c>
      <c r="D103" s="2374">
        <f ca="1">D20</f>
        <v>24259</v>
      </c>
      <c r="E103" s="3292" t="s">
        <v>1433</v>
      </c>
      <c r="F103" s="3293"/>
      <c r="G103" s="1688" t="s">
        <v>1434</v>
      </c>
      <c r="H103" s="2381">
        <f>IF(D36="正常操作",H104+H105+H106,H105+H106)</f>
        <v>0</v>
      </c>
      <c r="I103" s="121"/>
    </row>
    <row r="104" spans="1:35" ht="18.75" customHeight="1">
      <c r="A104" s="333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41"/>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2" t="str">
        <f>IF(项目基本情况!E8="已注销","——","3.房地产抵押价值")</f>
        <v>3.房地产抵押价值</v>
      </c>
      <c r="F107" s="3300"/>
      <c r="G107" s="1687" t="s">
        <v>1430</v>
      </c>
      <c r="H107" s="2381" t="e">
        <f ca="1">IF(E107="——","——",H101-H103)</f>
        <v>#REF!</v>
      </c>
      <c r="I107" s="121"/>
    </row>
    <row r="108" spans="1:35" ht="18.75" customHeight="1">
      <c r="A108" s="121"/>
      <c r="B108" s="121"/>
      <c r="C108" s="121"/>
      <c r="D108" s="121"/>
      <c r="E108" s="3332"/>
      <c r="F108" s="3300"/>
      <c r="G108" s="1687" t="s">
        <v>1432</v>
      </c>
      <c r="H108" s="2341">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1430</v>
      </c>
      <c r="H109" s="2384" t="str">
        <f>IF(E109="——","——",H101-H105-H106)</f>
        <v>——</v>
      </c>
      <c r="I109" s="121"/>
    </row>
    <row r="110" spans="1:35" ht="18.75" customHeight="1">
      <c r="A110" s="121"/>
      <c r="B110" s="121"/>
      <c r="C110" s="121"/>
      <c r="D110" s="121"/>
      <c r="E110" s="3332"/>
      <c r="F110" s="3300"/>
      <c r="G110" s="1687" t="s">
        <v>1432</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1430</v>
      </c>
      <c r="H111" s="2381" t="str">
        <f>IF(E111="——","——",N59)</f>
        <v>——</v>
      </c>
      <c r="I111" s="121"/>
    </row>
    <row r="112" spans="1:35" ht="18.75" customHeight="1" thickBot="1">
      <c r="A112" s="121"/>
      <c r="B112" s="121"/>
      <c r="C112" s="121"/>
      <c r="D112" s="121"/>
      <c r="E112" s="3334"/>
      <c r="F112" s="3335"/>
      <c r="G112" s="1690" t="s">
        <v>1432</v>
      </c>
      <c r="H112" s="2385" t="str">
        <f>IF(E111="——","——",N61)</f>
        <v>——</v>
      </c>
      <c r="I112" s="121"/>
    </row>
    <row r="113" spans="1:27" ht="18.75" customHeight="1">
      <c r="A113" s="121"/>
      <c r="B113" s="121"/>
      <c r="C113" s="121"/>
      <c r="D113" s="121"/>
      <c r="E113" s="3342" t="s">
        <v>1438</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1440</v>
      </c>
      <c r="B115" s="3351"/>
      <c r="C115" s="3351"/>
      <c r="D115" s="3351"/>
      <c r="E115" s="3351"/>
      <c r="F115" s="3351"/>
      <c r="G115" s="3351"/>
      <c r="H115" s="3351"/>
      <c r="I115" s="3352"/>
    </row>
    <row r="116" spans="1:27" ht="27" customHeight="1">
      <c r="A116" s="3307" t="s">
        <v>1441</v>
      </c>
      <c r="B116" s="3311" t="s">
        <v>1442</v>
      </c>
      <c r="C116" s="3311" t="s">
        <v>1443</v>
      </c>
      <c r="D116" s="3317" t="s">
        <v>1444</v>
      </c>
      <c r="E116" s="3318"/>
      <c r="F116" s="3349" t="s">
        <v>1445</v>
      </c>
      <c r="G116" s="3349"/>
      <c r="H116" s="3307" t="s">
        <v>1446</v>
      </c>
      <c r="I116" s="3307"/>
    </row>
    <row r="117" spans="1:27" ht="18.75" customHeight="1">
      <c r="A117" s="3307"/>
      <c r="B117" s="3312"/>
      <c r="C117" s="331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7" t="s">
        <v>1450</v>
      </c>
      <c r="B119" s="3307"/>
      <c r="C119" s="3307"/>
      <c r="D119" s="3313" t="e">
        <f ca="1">NUMBERSTRING(INT(D118*10000),2)&amp;"元整"</f>
        <v>#REF!</v>
      </c>
      <c r="E119" s="3314"/>
      <c r="F119" s="3313" t="e">
        <f ca="1">NUMBERSTRING(INT(F118*10000),2)&amp;"元整"</f>
        <v>#REF!</v>
      </c>
      <c r="G119" s="3314"/>
      <c r="H119" s="3313" t="e">
        <f ca="1">NUMBERSTRING(INT(H118*10000),2)&amp;"元整"</f>
        <v>#REF!</v>
      </c>
      <c r="I119" s="3314"/>
    </row>
    <row r="120" spans="1:27" ht="18.75" customHeight="1">
      <c r="A120" s="3308" t="str">
        <f>IF(项目基本情况!B9="房地产市场价值","",MID(E103,3,LEN(E103)-2))</f>
        <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3" t="s">
        <v>1450</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
      </c>
      <c r="B122" s="3319"/>
      <c r="C122" s="3319"/>
      <c r="D122" s="3308" t="e">
        <f ca="1">H107</f>
        <v>#REF!</v>
      </c>
      <c r="E122" s="3309"/>
      <c r="F122" s="3309"/>
      <c r="G122" s="3309"/>
      <c r="H122" s="3309"/>
      <c r="I122" s="3310"/>
      <c r="AA122" s="684"/>
    </row>
    <row r="123" spans="1:27" ht="18.75" customHeight="1">
      <c r="A123" s="3307" t="s">
        <v>1450</v>
      </c>
      <c r="B123" s="3307"/>
      <c r="C123" s="3307"/>
      <c r="D123" s="3313" t="e">
        <f ca="1">NUMBERSTRING(INT(D122*10000),2)&amp;"元整"</f>
        <v>#REF!</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1450</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1450</v>
      </c>
      <c r="B127" s="3307"/>
      <c r="C127" s="3307"/>
      <c r="D127" s="3313" t="e">
        <f>NUMBERSTRING(INT(D126*10000),2)&amp;"元整"</f>
        <v>#VALUE!</v>
      </c>
      <c r="E127" s="3315"/>
      <c r="F127" s="3315"/>
      <c r="G127" s="3315"/>
      <c r="H127" s="3315"/>
      <c r="I127" s="3314"/>
      <c r="AA127" s="684"/>
    </row>
    <row r="128" spans="1:27" ht="21.75" customHeight="1">
      <c r="A128" s="3316" t="s">
        <v>1451</v>
      </c>
      <c r="B128" s="3316"/>
      <c r="C128" s="3316"/>
      <c r="D128" s="3316"/>
      <c r="E128" s="3316"/>
      <c r="F128" s="3316"/>
      <c r="G128" s="3316"/>
      <c r="H128" s="3316"/>
      <c r="I128" s="331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10" stopIfTrue="1" operator="equal">
      <formula>25</formula>
    </cfRule>
  </conditionalFormatting>
  <conditionalFormatting sqref="C8:D13">
    <cfRule type="cellIs" dxfId="167" priority="8" stopIfTrue="1" operator="equal">
      <formula>15</formula>
    </cfRule>
  </conditionalFormatting>
  <conditionalFormatting sqref="C14:D16">
    <cfRule type="cellIs" dxfId="166" priority="6" stopIfTrue="1" operator="equal">
      <formula>30</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4" t="str">
        <f>项目基本情况!B1</f>
        <v>房地产市场价值预评估</v>
      </c>
      <c r="C37" s="3204"/>
      <c r="D37" s="3204"/>
      <c r="E37" s="3204"/>
      <c r="F37" s="3204"/>
      <c r="G37" s="3204"/>
      <c r="H37" s="3204"/>
      <c r="I37" s="320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11</v>
      </c>
    </row>
    <row r="2" spans="1:9" s="192" customFormat="1" ht="18" customHeight="1">
      <c r="A2" s="193" t="s">
        <v>1460</v>
      </c>
      <c r="B2" s="194">
        <f ca="1">IF(D2="——",C52,C52-E2)</f>
        <v>4670</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3944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246</v>
      </c>
      <c r="F9" s="213"/>
      <c r="G9" s="1715"/>
      <c r="H9" s="1070"/>
      <c r="I9" s="1716" t="s">
        <v>1477</v>
      </c>
    </row>
    <row r="10" spans="1:9" s="206" customFormat="1" ht="13.5" customHeight="1">
      <c r="A10" s="733" t="s">
        <v>356</v>
      </c>
      <c r="B10" s="216" t="s">
        <v>1478</v>
      </c>
      <c r="C10" s="217">
        <f ca="1">ROUND(D10*E10/10000,0)</f>
        <v>291</v>
      </c>
      <c r="D10" s="795">
        <f ca="1">IF(B1="",'数据-汇总表'!E6,IF(INDIRECT("'数据-取费表'!c"&amp;$G$1)="住宅",INDIRECT("'数据-取费表'!s"&amp;$G$1),INDIRECT("'数据-取费表'!k"&amp;$G$1)+INDIRECT("'数据-取费表'!s"&amp;$G$1)))</f>
        <v>11841.610000000006</v>
      </c>
      <c r="E10" s="217">
        <f>'数据-取费表'!B28</f>
        <v>246</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237</v>
      </c>
      <c r="D19" s="204">
        <f ca="1">D9+D10</f>
        <v>11841.610000000006</v>
      </c>
      <c r="E19" s="203">
        <f>'数据-取费表'!B31</f>
        <v>200</v>
      </c>
      <c r="F19" s="223"/>
      <c r="G19" s="1714"/>
    </row>
    <row r="20" spans="1:7" s="206" customFormat="1" ht="13.5" customHeight="1">
      <c r="A20" s="247" t="s">
        <v>1491</v>
      </c>
      <c r="B20" s="202" t="s">
        <v>1492</v>
      </c>
      <c r="C20" s="224">
        <f ca="1">ROUND((C5+C19)*F20,0)</f>
        <v>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15</v>
      </c>
      <c r="D22" s="227">
        <f ca="1">C26</f>
        <v>8.9999999999999998E-4</v>
      </c>
      <c r="E22" s="228" t="s">
        <v>1496</v>
      </c>
      <c r="F22" s="229">
        <f ca="1">'数据-取费表'!B40</f>
        <v>3.1300000000000001E-2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15</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17</v>
      </c>
      <c r="D27" s="227">
        <f ca="1">C29</f>
        <v>2.0999999999999999E-3</v>
      </c>
      <c r="E27" s="228" t="s">
        <v>1512</v>
      </c>
      <c r="F27" s="238">
        <f ca="1">IF(B1="",'数据-取费表'!Q16,INDIRECT("'数据-取费表'!q"&amp;$G$1))</f>
        <v>7.0000000000000007E-2</v>
      </c>
      <c r="G27" s="239" t="s">
        <v>1513</v>
      </c>
    </row>
    <row r="28" spans="1:7" s="206" customFormat="1" ht="13.5" customHeight="1">
      <c r="A28" s="734" t="s">
        <v>346</v>
      </c>
      <c r="B28" s="240" t="s">
        <v>1514</v>
      </c>
      <c r="C28" s="241">
        <f ca="1">ROUND((C5+C19+C20)*F27*'数据-取费表'!B21/'数据-取费表'!B20,0)</f>
        <v>17</v>
      </c>
      <c r="D28" s="227"/>
      <c r="E28" s="228"/>
      <c r="F28" s="238"/>
      <c r="G28" s="239"/>
    </row>
    <row r="29" spans="1:7" s="206" customFormat="1" ht="13.5" customHeight="1">
      <c r="A29" s="734" t="s">
        <v>347</v>
      </c>
      <c r="B29" s="240" t="s">
        <v>1515</v>
      </c>
      <c r="C29" s="230">
        <f ca="1">ROUND(C21*F27*'数据-取费表'!B21/'数据-取费表'!B20,4)</f>
        <v>2.0999999999999999E-3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297</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4227</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3678</v>
      </c>
      <c r="D34" s="209"/>
      <c r="E34" s="212"/>
      <c r="F34" s="249">
        <f ca="1">IF('数据-取费表'!B24=0,1,IF(B1="",'数据-取费表'!N16,INDIRECT("'数据-取费表'!n"&amp;$G$1)))</f>
        <v>1</v>
      </c>
      <c r="G34" s="211" t="s">
        <v>1524</v>
      </c>
    </row>
    <row r="35" spans="1:7" ht="13.5" customHeight="1">
      <c r="A35" s="734" t="s">
        <v>351</v>
      </c>
      <c r="B35" s="207" t="s">
        <v>1525</v>
      </c>
      <c r="C35" s="212">
        <f ca="1">ROUND(C34*F35,0)</f>
        <v>184</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1528</v>
      </c>
    </row>
    <row r="37" spans="1:7" s="250" customFormat="1" ht="13.5" customHeight="1">
      <c r="A37" s="734" t="s">
        <v>353</v>
      </c>
      <c r="B37" s="207" t="s">
        <v>1529</v>
      </c>
      <c r="C37" s="241">
        <f ca="1">ROUND(E37*D37*F34/10000,0)</f>
        <v>291</v>
      </c>
      <c r="D37" s="209">
        <f ca="1">D19</f>
        <v>11841.610000000006</v>
      </c>
      <c r="E37" s="241">
        <f>'数据-取费表'!B35</f>
        <v>246</v>
      </c>
      <c r="F37" s="251"/>
      <c r="G37" s="253" t="s">
        <v>1530</v>
      </c>
    </row>
    <row r="38" spans="1:7" ht="13.5" customHeight="1">
      <c r="A38" s="734" t="s">
        <v>354</v>
      </c>
      <c r="B38" s="207" t="s">
        <v>1531</v>
      </c>
      <c r="C38" s="212">
        <f ca="1">ROUND(C34*F38,0)</f>
        <v>74</v>
      </c>
      <c r="D38" s="212"/>
      <c r="E38" s="212"/>
      <c r="F38" s="251">
        <f>'数据-取费表'!B36</f>
        <v>0.02</v>
      </c>
      <c r="G38" s="211" t="s">
        <v>1526</v>
      </c>
    </row>
    <row r="39" spans="1:7" s="206" customFormat="1" ht="13.5" customHeight="1">
      <c r="A39" s="247" t="s">
        <v>1532</v>
      </c>
      <c r="B39" s="202" t="s">
        <v>1533</v>
      </c>
      <c r="C39" s="224">
        <f ca="1">ROUND(C33*F20,0)</f>
        <v>42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133</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132</v>
      </c>
      <c r="D42" s="230"/>
      <c r="E42" s="230"/>
      <c r="F42" s="231"/>
      <c r="G42" s="3386" t="s">
        <v>1542</v>
      </c>
    </row>
    <row r="43" spans="1:7" ht="13.5" customHeight="1">
      <c r="A43" s="734" t="s">
        <v>347</v>
      </c>
      <c r="B43" s="207" t="s">
        <v>1543</v>
      </c>
      <c r="C43" s="230">
        <f ca="1">ROUND(IF('数据-取费表'!B22&lt;=1,C39*F22*'数据-取费表'!B21/2,C39*(POWER((1+F22),'数据-取费表'!B21/2)-1)),0)</f>
        <v>1</v>
      </c>
      <c r="D43" s="230"/>
      <c r="E43" s="230"/>
      <c r="F43" s="231"/>
      <c r="G43" s="3387"/>
    </row>
    <row r="44" spans="1:7" ht="13.5" customHeight="1">
      <c r="A44" s="734" t="s">
        <v>348</v>
      </c>
      <c r="B44" s="207" t="s">
        <v>1544</v>
      </c>
      <c r="C44" s="230">
        <f ca="1">ROUND(IF('数据-取费表'!B22&lt;=1,C40*F22*'数据-取费表'!B21/2,C40*(POWER((1+F22),'数据-取费表'!B21/2)-1)),4)</f>
        <v>8.9999999999999998E-4</v>
      </c>
      <c r="D44" s="230"/>
      <c r="E44" s="230"/>
      <c r="F44" s="231"/>
      <c r="G44" s="3388"/>
    </row>
    <row r="45" spans="1:7" s="206" customFormat="1" ht="13.5" customHeight="1">
      <c r="A45" s="247" t="s">
        <v>1545</v>
      </c>
      <c r="B45" s="236" t="s">
        <v>1511</v>
      </c>
      <c r="C45" s="237">
        <f ca="1">C46</f>
        <v>299</v>
      </c>
      <c r="D45" s="227">
        <f ca="1">C47</f>
        <v>2.0999999999999999E-3</v>
      </c>
      <c r="E45" s="228" t="s">
        <v>1537</v>
      </c>
      <c r="F45" s="238">
        <f ca="1">F27</f>
        <v>7.0000000000000007E-2</v>
      </c>
      <c r="G45" s="239" t="s">
        <v>1546</v>
      </c>
    </row>
    <row r="46" spans="1:7" s="206" customFormat="1" ht="13.5" customHeight="1">
      <c r="A46" s="734" t="s">
        <v>346</v>
      </c>
      <c r="B46" s="240" t="s">
        <v>1547</v>
      </c>
      <c r="C46" s="241">
        <f ca="1">ROUND((C33+C39)*F27,0)</f>
        <v>299</v>
      </c>
      <c r="D46" s="255"/>
      <c r="E46" s="228"/>
      <c r="F46" s="238"/>
      <c r="G46" s="239"/>
    </row>
    <row r="47" spans="1:7" s="206" customFormat="1" ht="13.5" customHeight="1">
      <c r="A47" s="734" t="s">
        <v>347</v>
      </c>
      <c r="B47" s="240" t="s">
        <v>1548</v>
      </c>
      <c r="C47" s="230">
        <f ca="1">ROUND(C40*F27,4)</f>
        <v>2.0999999999999999E-3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5145</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4373</v>
      </c>
      <c r="D51" s="224"/>
      <c r="E51" s="224"/>
      <c r="F51" s="256"/>
      <c r="G51" s="226" t="s">
        <v>1558</v>
      </c>
    </row>
    <row r="52" spans="1:7" s="200" customFormat="1" ht="16.5" thickBot="1">
      <c r="A52" s="257" t="s">
        <v>1559</v>
      </c>
      <c r="B52" s="258"/>
      <c r="C52" s="259">
        <f ca="1">C31+C51</f>
        <v>4670</v>
      </c>
      <c r="D52" s="258"/>
      <c r="E52" s="258"/>
      <c r="F52" s="258"/>
      <c r="G52" s="260"/>
    </row>
    <row r="55" spans="1:7" ht="15">
      <c r="B55" s="262" t="s">
        <v>1560</v>
      </c>
      <c r="C55" s="263"/>
    </row>
    <row r="56" spans="1:7">
      <c r="B56" s="265" t="s">
        <v>801</v>
      </c>
      <c r="C56" s="267">
        <f ca="1">1-C57</f>
        <v>6.3999999999999946E-2</v>
      </c>
    </row>
    <row r="57" spans="1:7">
      <c r="B57" s="265" t="s">
        <v>802</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11</v>
      </c>
    </row>
    <row r="2" spans="1:33" ht="18" customHeight="1">
      <c r="A2" s="193" t="s">
        <v>1460</v>
      </c>
      <c r="B2" s="196">
        <f ca="1">C32</f>
        <v>-306</v>
      </c>
      <c r="C2" s="268" t="s">
        <v>1593</v>
      </c>
      <c r="D2" s="268"/>
      <c r="E2" s="2568"/>
      <c r="F2" s="2568"/>
      <c r="G2" s="2568"/>
      <c r="H2" s="2568"/>
      <c r="I2" s="2568"/>
      <c r="J2" s="2568"/>
      <c r="K2" s="2568"/>
    </row>
    <row r="3" spans="1:33" ht="18" customHeight="1" thickBot="1">
      <c r="A3" s="195" t="s">
        <v>1462</v>
      </c>
      <c r="B3" s="196">
        <f ca="1">ROUND(B2*10000/IF(C1="",'数据-汇总表'!E3,INDIRECT("'数据-取费表'!K"&amp;$K$1)),0)</f>
        <v>-258</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0.05</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11841.610000000006</v>
      </c>
      <c r="E14" s="21">
        <f>'数据-取费表'!B35</f>
        <v>246</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11841.610000000006</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291</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246</v>
      </c>
      <c r="F19" s="756"/>
      <c r="G19" s="12"/>
      <c r="H19" s="1108"/>
      <c r="I19" s="761"/>
      <c r="J19" s="761"/>
      <c r="K19" s="762"/>
    </row>
    <row r="20" spans="1:33" s="755" customFormat="1" ht="13.5" customHeight="1">
      <c r="A20" s="752" t="s">
        <v>361</v>
      </c>
      <c r="B20" s="753" t="s">
        <v>1625</v>
      </c>
      <c r="C20" s="21">
        <f ca="1">ROUND(D20*E20/10000,0)</f>
        <v>291</v>
      </c>
      <c r="D20" s="796">
        <f ca="1">IF(C1="",'数据-汇总表'!E6,IF(INDIRECT("'数据-取费表'!c"&amp;$K$1)="住宅",INDIRECT("'数据-取费表'!s"&amp;$K$1),INDIRECT("'数据-取费表'!k"&amp;$K$1)+INDIRECT("'数据-取费表'!s"&amp;$K$1)))</f>
        <v>11841.610000000006</v>
      </c>
      <c r="E20" s="21">
        <f>'数据-取费表'!B28</f>
        <v>246</v>
      </c>
      <c r="F20" s="756"/>
      <c r="G20" s="12"/>
      <c r="H20" s="761"/>
      <c r="I20" s="761"/>
      <c r="J20" s="761"/>
      <c r="K20" s="762"/>
    </row>
    <row r="21" spans="1:33" s="755" customFormat="1" ht="13.5" customHeight="1">
      <c r="A21" s="744" t="s">
        <v>357</v>
      </c>
      <c r="B21" s="765" t="s">
        <v>1626</v>
      </c>
      <c r="C21" s="766">
        <f ca="1">C16+C17+C18</f>
        <v>291</v>
      </c>
      <c r="D21" s="767"/>
      <c r="E21" s="273"/>
      <c r="F21" s="273"/>
      <c r="G21" s="123" t="s">
        <v>1627</v>
      </c>
      <c r="H21" s="759"/>
      <c r="I21" s="759"/>
      <c r="J21" s="759"/>
      <c r="K21" s="760"/>
    </row>
    <row r="22" spans="1:33" s="755" customFormat="1" ht="13.5" customHeight="1">
      <c r="A22" s="744" t="s">
        <v>1599</v>
      </c>
      <c r="B22" s="765" t="s">
        <v>1628</v>
      </c>
      <c r="C22" s="766">
        <f ca="1">ROUND(C21*F22,0)</f>
        <v>3</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21</v>
      </c>
      <c r="D28" s="272">
        <f ca="1">C29</f>
        <v>0</v>
      </c>
      <c r="E28" s="274" t="s">
        <v>12</v>
      </c>
      <c r="F28" s="280">
        <f ca="1">IF(C1="",'数据-取费表'!Q16,INDIRECT("'数据-取费表'!q"&amp;$K$1))</f>
        <v>7.0000000000000007E-2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21</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-306</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11</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9"/>
      <c r="H2" s="2469"/>
      <c r="I2" s="2469"/>
      <c r="J2" s="2469"/>
      <c r="K2" s="2470"/>
      <c r="L2" s="2469"/>
      <c r="M2" s="2469"/>
    </row>
    <row r="3" spans="1:37" ht="18" customHeight="1" thickBot="1">
      <c r="A3" s="1297" t="s">
        <v>805</v>
      </c>
      <c r="B3" s="1298">
        <f ca="1">IF(ISERROR(B2*10000/F43),0,ROUND(B2*10000/F43,0))</f>
        <v>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91" t="s">
        <v>693</v>
      </c>
      <c r="C6" s="1011">
        <f ca="1">ROUND(F6*F8*F7*(1-F9)/10000,0)</f>
        <v>0</v>
      </c>
      <c r="D6" s="147" t="s">
        <v>2107</v>
      </c>
      <c r="E6" s="294" t="s">
        <v>695</v>
      </c>
      <c r="F6" s="295">
        <f ca="1">INDIRECT("'数据-取费表'!u"&amp;$G$1)</f>
        <v>0</v>
      </c>
      <c r="G6" s="1292"/>
      <c r="H6" s="1006" t="s">
        <v>398</v>
      </c>
      <c r="I6" s="3391" t="s">
        <v>693</v>
      </c>
      <c r="J6" s="293">
        <f ca="1">ROUND(M6*M8*M7*(1-M9)/10000,0)</f>
        <v>0</v>
      </c>
      <c r="K6" s="147" t="s">
        <v>2106</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0</v>
      </c>
      <c r="G7" s="1292"/>
      <c r="H7" s="296"/>
      <c r="I7" s="3392"/>
      <c r="J7" s="298"/>
      <c r="K7" s="299"/>
      <c r="L7" s="294" t="s">
        <v>696</v>
      </c>
      <c r="M7" s="295">
        <f ca="1">F7</f>
        <v>0</v>
      </c>
    </row>
    <row r="8" spans="1:37" ht="18" customHeight="1">
      <c r="A8" s="296"/>
      <c r="B8" s="3392"/>
      <c r="C8" s="298"/>
      <c r="D8" s="299"/>
      <c r="E8" s="294" t="s">
        <v>697</v>
      </c>
      <c r="F8" s="295">
        <f ca="1">INDIRECT("'数据-取费表'!ai"&amp;$G$1)</f>
        <v>0</v>
      </c>
      <c r="G8" s="1292"/>
      <c r="H8" s="296"/>
      <c r="I8" s="3392"/>
      <c r="J8" s="298"/>
      <c r="K8" s="299"/>
      <c r="L8" s="294" t="s">
        <v>697</v>
      </c>
      <c r="M8" s="295">
        <f ca="1">INDIRECT("'数据-取费表'!ai"&amp;$G$1)</f>
        <v>0</v>
      </c>
    </row>
    <row r="9" spans="1:37" ht="18" customHeight="1">
      <c r="A9" s="296"/>
      <c r="B9" s="3393"/>
      <c r="C9" s="298"/>
      <c r="D9" s="299"/>
      <c r="E9" s="294" t="s">
        <v>698</v>
      </c>
      <c r="F9" s="304">
        <f ca="1">INDIRECT("'数据-取费表'!w"&amp;$G$1)</f>
        <v>0</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246</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3332</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0.01</v>
      </c>
      <c r="G20" s="1303"/>
      <c r="H20" s="928" t="s">
        <v>679</v>
      </c>
      <c r="I20" s="147" t="s">
        <v>729</v>
      </c>
      <c r="J20" s="22">
        <f ca="1">ROUND(M20*M21/10000,2)</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IF(项目基本情况!B11="自然人","——",ROUND(F34*F35/10000,2))</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ROUND(C29*F36,2)</f>
        <v>0</v>
      </c>
      <c r="D36" s="1256" t="s">
        <v>770</v>
      </c>
      <c r="E36" s="294" t="s">
        <v>711</v>
      </c>
      <c r="F36" s="320">
        <f ca="1">INDIRECT("'数据-取费表'!Ak"&amp;$G$1)</f>
        <v>0</v>
      </c>
      <c r="G36" s="1292"/>
      <c r="H36" s="2474"/>
      <c r="I36" s="1305"/>
      <c r="J36" s="1306"/>
      <c r="K36" s="2331"/>
      <c r="L36" s="2474"/>
      <c r="M36" s="2474"/>
    </row>
    <row r="37" spans="1:18" ht="18" customHeight="1">
      <c r="A37" s="928" t="s">
        <v>437</v>
      </c>
      <c r="B37" s="294" t="s">
        <v>741</v>
      </c>
      <c r="C37" s="21">
        <f ca="1">ROUND(C13*F37,2)</f>
        <v>0</v>
      </c>
      <c r="D37" s="1256" t="s">
        <v>742</v>
      </c>
      <c r="E37" s="294" t="s">
        <v>743</v>
      </c>
      <c r="F37" s="321">
        <f ca="1">INDIRECT("'数据-取费表'!Al"&amp;$G$1)</f>
        <v>0</v>
      </c>
      <c r="G37" s="1292"/>
      <c r="H37" s="2474"/>
      <c r="I37" s="1305"/>
      <c r="J37" s="1306"/>
      <c r="K37" s="2331"/>
      <c r="L37" s="2474"/>
      <c r="M37" s="2474"/>
    </row>
    <row r="38" spans="1:18" ht="18" customHeight="1" thickBot="1">
      <c r="A38" s="1026" t="s">
        <v>683</v>
      </c>
      <c r="B38" s="1027" t="s">
        <v>727</v>
      </c>
      <c r="C38" s="1028">
        <f ca="1">ROUND(C5*F38,2)</f>
        <v>0</v>
      </c>
      <c r="D38" s="1029" t="s">
        <v>747</v>
      </c>
      <c r="E38" s="1027" t="s">
        <v>743</v>
      </c>
      <c r="F38" s="1023">
        <f ca="1">INDIRECT("'数据-取费表'!Am"&amp;$G$1)</f>
        <v>0</v>
      </c>
      <c r="G38" s="1292"/>
      <c r="H38" s="2474"/>
      <c r="I38" s="1305"/>
      <c r="J38" s="1306"/>
      <c r="K38" s="2472"/>
      <c r="L38" s="2474"/>
      <c r="M38" s="2474"/>
    </row>
    <row r="39" spans="1:18" ht="24.6" customHeight="1" thickTop="1">
      <c r="A39" s="1016" t="s">
        <v>394</v>
      </c>
      <c r="B39" s="1031" t="s">
        <v>771</v>
      </c>
      <c r="C39" s="302">
        <f ca="1">C5-C30</f>
        <v>0</v>
      </c>
      <c r="D39" s="1032" t="s">
        <v>772</v>
      </c>
      <c r="E39" s="1033"/>
      <c r="F39" s="1034"/>
      <c r="G39" s="1292"/>
      <c r="H39" s="2474"/>
      <c r="I39" s="1305"/>
      <c r="J39" s="1306"/>
      <c r="K39" s="2472"/>
      <c r="L39" s="2474"/>
      <c r="M39" s="2474"/>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389" t="s">
        <v>836</v>
      </c>
      <c r="L53" s="3390"/>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0</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4" priority="3">
      <formula>$F$10="自定义"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J11">
    <cfRule type="expression" dxfId="161" priority="2">
      <formula>$M$10="自定义"</formula>
    </cfRule>
  </conditionalFormatting>
  <conditionalFormatting sqref="K55 K60">
    <cfRule type="expression" dxfId="1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E24" sqref="E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4912</v>
      </c>
      <c r="D1" s="1271" t="s">
        <v>43</v>
      </c>
      <c r="E1" s="1272" t="s">
        <v>677</v>
      </c>
      <c r="F1" s="999">
        <f ca="1">J53</f>
        <v>25.5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4">
        <f ca="1">ROUND(D2/10000,4)</f>
        <v>280.43669999999997</v>
      </c>
      <c r="C2" s="1289" t="s">
        <v>878</v>
      </c>
      <c r="D2" s="1375">
        <f ca="1">C40+J29+L46</f>
        <v>2804367</v>
      </c>
      <c r="E2" s="1295" t="s">
        <v>879</v>
      </c>
      <c r="F2" s="1296"/>
      <c r="G2" s="2479"/>
      <c r="H2" s="2469"/>
      <c r="I2" s="2469"/>
      <c r="J2" s="2469"/>
      <c r="K2" s="2470"/>
      <c r="L2" s="2469"/>
      <c r="M2" s="2469"/>
    </row>
    <row r="3" spans="1:37" ht="18" customHeight="1" thickBot="1">
      <c r="A3" s="1297" t="s">
        <v>880</v>
      </c>
      <c r="B3" s="1298">
        <f ca="1">IF(ISERROR(D2/F43),0,ROUND(D2/F43,0))</f>
        <v>16177</v>
      </c>
      <c r="C3" s="1289" t="s">
        <v>881</v>
      </c>
      <c r="D3" s="1289"/>
      <c r="E3" s="1295"/>
      <c r="F3" s="1296"/>
      <c r="G3" s="2479"/>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215396</v>
      </c>
      <c r="D5" s="1273" t="s">
        <v>888</v>
      </c>
      <c r="E5" s="1008"/>
      <c r="F5" s="1009"/>
      <c r="G5" s="1292"/>
      <c r="H5" s="291">
        <v>1</v>
      </c>
      <c r="I5" s="292" t="s">
        <v>887</v>
      </c>
      <c r="J5" s="1007">
        <f ca="1">J6+J10+J12</f>
        <v>0</v>
      </c>
      <c r="K5" s="1273" t="s">
        <v>888</v>
      </c>
      <c r="L5" s="1008"/>
      <c r="M5" s="1009"/>
    </row>
    <row r="6" spans="1:37" ht="18" customHeight="1">
      <c r="A6" s="1006" t="s">
        <v>398</v>
      </c>
      <c r="B6" s="3391" t="s">
        <v>693</v>
      </c>
      <c r="C6" s="1011">
        <f ca="1">ROUND(F6*F8*F7*(1-F9),0)</f>
        <v>215127</v>
      </c>
      <c r="D6" s="147" t="s">
        <v>2104</v>
      </c>
      <c r="E6" s="294" t="s">
        <v>695</v>
      </c>
      <c r="F6" s="295">
        <f ca="1">INDIRECT("'数据-取费表'!u"&amp;$G$1)</f>
        <v>4</v>
      </c>
      <c r="G6" s="1292"/>
      <c r="H6" s="1006" t="s">
        <v>398</v>
      </c>
      <c r="I6" s="3391" t="s">
        <v>693</v>
      </c>
      <c r="J6" s="293">
        <f ca="1">ROUND(M6*M8*M7*(1-M9),0)</f>
        <v>0</v>
      </c>
      <c r="K6" s="1284" t="s">
        <v>2105</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173.35</v>
      </c>
      <c r="G7" s="1292"/>
      <c r="H7" s="296"/>
      <c r="I7" s="3392"/>
      <c r="J7" s="298"/>
      <c r="K7" s="299"/>
      <c r="L7" s="294" t="s">
        <v>696</v>
      </c>
      <c r="M7" s="295">
        <f ca="1">F7</f>
        <v>173.35</v>
      </c>
    </row>
    <row r="8" spans="1:37" ht="18" customHeight="1">
      <c r="A8" s="296"/>
      <c r="B8" s="3392"/>
      <c r="C8" s="298"/>
      <c r="D8" s="299"/>
      <c r="E8" s="294" t="s">
        <v>697</v>
      </c>
      <c r="F8" s="295">
        <f ca="1">INDIRECT("'数据-取费表'!ai"&amp;$G$1)</f>
        <v>365</v>
      </c>
      <c r="G8" s="1292"/>
      <c r="H8" s="296"/>
      <c r="I8" s="3392"/>
      <c r="J8" s="298"/>
      <c r="K8" s="299"/>
      <c r="L8" s="294" t="s">
        <v>697</v>
      </c>
      <c r="M8" s="295">
        <f ca="1">INDIRECT("'数据-取费表'!ai"&amp;$G$1)</f>
        <v>365</v>
      </c>
    </row>
    <row r="9" spans="1:37" ht="18" customHeight="1">
      <c r="A9" s="296"/>
      <c r="B9" s="3393"/>
      <c r="C9" s="298"/>
      <c r="D9" s="299"/>
      <c r="E9" s="294" t="s">
        <v>698</v>
      </c>
      <c r="F9" s="304">
        <f ca="1">INDIRECT("'数据-取费表'!w"&amp;$G$1)</f>
        <v>0.15</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269</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637442</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520050</v>
      </c>
      <c r="D14" s="1257" t="s">
        <v>707</v>
      </c>
      <c r="E14" s="1255"/>
      <c r="F14" s="311"/>
      <c r="G14" s="1292"/>
      <c r="H14" s="928" t="s">
        <v>398</v>
      </c>
      <c r="I14" s="294" t="s">
        <v>708</v>
      </c>
      <c r="J14" s="21">
        <f ca="1">C29</f>
        <v>749932</v>
      </c>
      <c r="K14" s="12"/>
      <c r="L14" s="759"/>
      <c r="M14" s="760"/>
    </row>
    <row r="15" spans="1:37" s="1304" customFormat="1" ht="18" customHeight="1" thickBot="1">
      <c r="A15" s="928" t="s">
        <v>399</v>
      </c>
      <c r="B15" s="294" t="s">
        <v>709</v>
      </c>
      <c r="C15" s="21">
        <f ca="1">ROUND(C14*F15,0)</f>
        <v>26003</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1500</v>
      </c>
      <c r="K16" s="1024" t="s">
        <v>714</v>
      </c>
      <c r="L16" s="1025"/>
      <c r="M16" s="1009"/>
    </row>
    <row r="17" spans="1:37" s="1304" customFormat="1" ht="18" customHeight="1">
      <c r="A17" s="928" t="s">
        <v>680</v>
      </c>
      <c r="B17" s="294" t="s">
        <v>715</v>
      </c>
      <c r="C17" s="21">
        <f ca="1">ROUND(F17*(F43+INDIRECT("'数据-取费表'!S"&amp;$G$1)),0)</f>
        <v>42644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10401</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599098</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5991</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1500</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18940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-1500</v>
      </c>
      <c r="K25" s="1032" t="s">
        <v>752</v>
      </c>
      <c r="L25" s="1033"/>
      <c r="M25" s="1034"/>
    </row>
    <row r="26" spans="1:37" ht="18" customHeight="1">
      <c r="A26" s="928" t="s">
        <v>397</v>
      </c>
      <c r="B26" s="294" t="s">
        <v>753</v>
      </c>
      <c r="C26" s="21">
        <f ca="1">ROUND((C19+C20)*F26,0)</f>
        <v>60509</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749932</v>
      </c>
      <c r="D29" s="1029"/>
      <c r="E29" s="1027"/>
      <c r="F29" s="1030"/>
      <c r="G29" s="1303"/>
      <c r="H29" s="325" t="s">
        <v>396</v>
      </c>
      <c r="I29" s="326" t="s">
        <v>767</v>
      </c>
      <c r="J29" s="327">
        <f ca="1">ROUND(J26/(1+F40)^F41,0)</f>
        <v>0</v>
      </c>
      <c r="K29" s="328" t="s">
        <v>768</v>
      </c>
      <c r="L29" s="329"/>
      <c r="M29" s="330">
        <f ca="1">INDIRECT("'数据-取费表'!k"&amp;$G$1)</f>
        <v>173.35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40350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36059</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11473</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24586</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1500</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637</v>
      </c>
      <c r="D37" s="1256" t="s">
        <v>742</v>
      </c>
      <c r="E37" s="294" t="s">
        <v>743</v>
      </c>
      <c r="F37" s="321">
        <f ca="1">INDIRECT("'数据-取费表'!Al"&amp;$G$1)</f>
        <v>1E-3</v>
      </c>
      <c r="G37" s="1292"/>
      <c r="H37" s="2474"/>
      <c r="I37" s="1305"/>
      <c r="J37" s="1306"/>
      <c r="K37" s="2331"/>
      <c r="L37" s="2474"/>
      <c r="M37" s="2474"/>
    </row>
    <row r="38" spans="1:18" ht="18" customHeight="1" thickBot="1">
      <c r="A38" s="1026" t="s">
        <v>683</v>
      </c>
      <c r="B38" s="1027" t="s">
        <v>727</v>
      </c>
      <c r="C38" s="1028">
        <f ca="1">ROUND(C5*F38,0)</f>
        <v>2154</v>
      </c>
      <c r="D38" s="1029" t="s">
        <v>747</v>
      </c>
      <c r="E38" s="1027" t="s">
        <v>743</v>
      </c>
      <c r="F38" s="1023">
        <f ca="1">INDIRECT("'数据-取费表'!Am"&amp;$G$1)</f>
        <v>0.01</v>
      </c>
      <c r="G38" s="1292"/>
      <c r="H38" s="2474"/>
      <c r="I38" s="1305"/>
      <c r="J38" s="1306"/>
      <c r="K38" s="2472"/>
      <c r="L38" s="2474"/>
      <c r="M38" s="2474"/>
    </row>
    <row r="39" spans="1:18" ht="24.6" customHeight="1" thickTop="1">
      <c r="A39" s="1016" t="s">
        <v>394</v>
      </c>
      <c r="B39" s="1031" t="s">
        <v>771</v>
      </c>
      <c r="C39" s="302">
        <f ca="1">C5-C30</f>
        <v>175046</v>
      </c>
      <c r="D39" s="1032" t="s">
        <v>772</v>
      </c>
      <c r="E39" s="1033"/>
      <c r="F39" s="1034"/>
      <c r="G39" s="1292"/>
      <c r="H39" s="2474"/>
      <c r="I39" s="1305"/>
      <c r="J39" s="1306"/>
      <c r="K39" s="2472"/>
      <c r="L39" s="2474"/>
      <c r="M39" s="2474"/>
    </row>
    <row r="40" spans="1:18" ht="18" customHeight="1">
      <c r="A40" s="291" t="s">
        <v>395</v>
      </c>
      <c r="B40" s="292" t="s">
        <v>773</v>
      </c>
      <c r="C40" s="293">
        <f ca="1">ROUND(C39*(1-((1+F42)/(1+F40))^F41)/(F40-F42),0)</f>
        <v>2742953</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25.5</v>
      </c>
      <c r="G41" s="1292"/>
      <c r="H41" s="121"/>
      <c r="I41" s="1305"/>
      <c r="J41" s="1306"/>
      <c r="K41" s="2331"/>
      <c r="L41" s="121"/>
      <c r="M41" s="121"/>
    </row>
    <row r="42" spans="1:18" ht="18" customHeight="1">
      <c r="A42" s="300"/>
      <c r="B42" s="301"/>
      <c r="C42" s="302"/>
      <c r="D42" s="319"/>
      <c r="E42" s="294" t="s">
        <v>765</v>
      </c>
      <c r="F42" s="304">
        <f ca="1">INDIRECT("'数据-取费表'!v"&amp;$G$1)</f>
        <v>1.4999999999999999E-2</v>
      </c>
      <c r="G42" s="1292"/>
      <c r="H42" s="121"/>
      <c r="I42" s="1305"/>
      <c r="J42" s="1306"/>
      <c r="K42" s="2331"/>
      <c r="L42" s="121"/>
      <c r="M42" s="121"/>
    </row>
    <row r="43" spans="1:18" ht="18" customHeight="1" thickBot="1">
      <c r="A43" s="325" t="s">
        <v>396</v>
      </c>
      <c r="B43" s="326" t="s">
        <v>775</v>
      </c>
      <c r="C43" s="327">
        <f ca="1">ROUND(C40/F43,0)</f>
        <v>15823</v>
      </c>
      <c r="D43" s="328" t="s">
        <v>776</v>
      </c>
      <c r="E43" s="329" t="s">
        <v>777</v>
      </c>
      <c r="F43" s="330">
        <f ca="1">INDIRECT("'数据-取费表'!k"&amp;$G$1)</f>
        <v>173.35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-277.18880000000001</v>
      </c>
      <c r="D45" s="3131" t="s">
        <v>3349</v>
      </c>
      <c r="E45" s="1307"/>
      <c r="F45" s="1307"/>
      <c r="O45" s="1310" t="s">
        <v>807</v>
      </c>
      <c r="P45" s="1366"/>
      <c r="Q45" s="1366"/>
      <c r="R45" s="1366"/>
    </row>
    <row r="46" spans="1:18" s="1292" customFormat="1" ht="13.5" thickBot="1">
      <c r="A46" s="1311" t="s">
        <v>808</v>
      </c>
      <c r="C46" s="1312">
        <f ca="1">ROUND(C45,0)</f>
        <v>-277</v>
      </c>
      <c r="D46" s="1313" t="str">
        <f>C2</f>
        <v>万元</v>
      </c>
      <c r="I46" s="1314" t="s">
        <v>809</v>
      </c>
      <c r="J46" s="1315"/>
      <c r="K46" s="1316"/>
      <c r="L46" s="1317">
        <f ca="1">IF(M47="住宅",0,IF(L48&gt;J51,L60,J60))</f>
        <v>61414</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40</v>
      </c>
      <c r="M47" s="1288" t="str">
        <f>IF(ISNUMBER(FIND("住宅",C1)),"住宅","非住宅")</f>
        <v>非住宅</v>
      </c>
      <c r="O47" s="1325" t="s">
        <v>403</v>
      </c>
      <c r="P47" s="1326" t="s">
        <v>816</v>
      </c>
      <c r="Q47" s="1327">
        <f ca="1">C40+J29</f>
        <v>2742953</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25.5</v>
      </c>
      <c r="O48" s="1325" t="s">
        <v>404</v>
      </c>
      <c r="P48" s="1326" t="s">
        <v>820</v>
      </c>
      <c r="Q48" s="1327">
        <f ca="1">J60</f>
        <v>61414</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749932</v>
      </c>
      <c r="R49" s="1327" t="s">
        <v>817</v>
      </c>
    </row>
    <row r="50" spans="1:18" s="1292" customFormat="1" ht="13.5" thickBot="1">
      <c r="A50" s="922"/>
      <c r="B50" s="925"/>
      <c r="C50" s="926"/>
      <c r="D50" s="899"/>
      <c r="E50" s="993" t="s">
        <v>696</v>
      </c>
      <c r="F50" s="994">
        <f ca="1">F7</f>
        <v>173.35</v>
      </c>
      <c r="H50" s="682"/>
      <c r="I50" s="1328" t="s">
        <v>825</v>
      </c>
      <c r="J50" s="1335">
        <f>SUMPRODUCT((I63:I65=J47)*(J62:L62=J48)*(J63:L65))</f>
        <v>60</v>
      </c>
      <c r="K50" s="1330" t="s">
        <v>826</v>
      </c>
      <c r="L50" s="1333"/>
      <c r="M50" s="1336"/>
      <c r="O50" s="1334" t="s">
        <v>406</v>
      </c>
      <c r="P50" s="1326" t="s">
        <v>827</v>
      </c>
      <c r="Q50" s="1337">
        <f ca="1">J58</f>
        <v>0.40799999999999997</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2497401</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25.5</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25.5</v>
      </c>
      <c r="K53" s="3389" t="s">
        <v>836</v>
      </c>
      <c r="L53" s="3390"/>
      <c r="O53" s="1325" t="s">
        <v>409</v>
      </c>
      <c r="P53" s="1326" t="s">
        <v>837</v>
      </c>
      <c r="Q53" s="1327">
        <f ca="1">Q47+Q48</f>
        <v>2804367</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0.40799999999999997</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637442</v>
      </c>
      <c r="D56" s="1352"/>
      <c r="E56" s="1353"/>
      <c r="F56" s="1345"/>
      <c r="I56" s="1354" t="s">
        <v>841</v>
      </c>
      <c r="J56" s="1355" t="s">
        <v>4789</v>
      </c>
      <c r="K56" s="1328" t="s">
        <v>842</v>
      </c>
      <c r="L56" s="1331" t="str">
        <f ca="1">IF(L48&lt;J51,"——",L48-J51)</f>
        <v>——</v>
      </c>
      <c r="O56" s="1325" t="s">
        <v>403</v>
      </c>
      <c r="P56" s="1326" t="s">
        <v>816</v>
      </c>
      <c r="Q56" s="1327">
        <f ca="1">C40+J29</f>
        <v>2742953</v>
      </c>
      <c r="R56" s="1327" t="s">
        <v>817</v>
      </c>
    </row>
    <row r="57" spans="1:18" s="1292" customFormat="1" ht="24.75" thickBot="1">
      <c r="A57" s="1356"/>
      <c r="B57" s="896" t="s">
        <v>766</v>
      </c>
      <c r="C57" s="230">
        <f ca="1">C29</f>
        <v>749932</v>
      </c>
      <c r="D57" s="1357"/>
      <c r="E57" s="1358"/>
      <c r="F57" s="1359"/>
      <c r="I57" s="1360" t="s">
        <v>843</v>
      </c>
      <c r="J57" s="1361">
        <f ca="1">IF(OR(M47="住宅",J51&lt;L48,J56="是"),"——",J51-L48)</f>
        <v>24.5</v>
      </c>
      <c r="K57" s="1328" t="s">
        <v>891</v>
      </c>
      <c r="L57" s="1331" t="str">
        <f ca="1">IF(L48&lt;J51,"——",IF(L55="比较法",L49,IF(L55="基准地价",L50,L51)))</f>
        <v>——</v>
      </c>
      <c r="O57" s="1325" t="s">
        <v>404</v>
      </c>
      <c r="P57" s="1326" t="s">
        <v>892</v>
      </c>
      <c r="Q57" s="1327">
        <f ca="1">L60</f>
        <v>0</v>
      </c>
      <c r="R57" s="1327" t="s">
        <v>893</v>
      </c>
    </row>
    <row r="58" spans="1:18" s="1292" customFormat="1" ht="24.75" thickBot="1">
      <c r="A58" s="307" t="s">
        <v>393</v>
      </c>
      <c r="B58" s="904" t="s">
        <v>713</v>
      </c>
      <c r="C58" s="308">
        <f ca="1">ROUND(C59+C64+C65+C66,0)</f>
        <v>2137</v>
      </c>
      <c r="D58" s="906" t="s">
        <v>714</v>
      </c>
      <c r="E58" s="907"/>
      <c r="F58" s="908"/>
      <c r="I58" s="1360" t="s">
        <v>847</v>
      </c>
      <c r="J58" s="1362">
        <f ca="1">IF(J55&lt;0.4,0.4,J55)</f>
        <v>0.40799999999999997</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305972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61414</v>
      </c>
      <c r="K60" s="1365" t="s">
        <v>853</v>
      </c>
      <c r="L60" s="1364">
        <f ca="1">IF(OR(M47="住宅",L48&lt;J51),0,ROUND(L57*(L58/L59-1),0))</f>
        <v>0</v>
      </c>
      <c r="M60" s="1292" t="s">
        <v>4763</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IF(项目基本情况!B11="自然人","——",IF(D61="按租金收入计税",ROUND(C49*F61/(1+'数据-取费表'!C42),0),IF(D61="按房产原值计税",ROUND(C57*F61*0.7,0),INDIRECT("'数据-取费表'!Aj"&amp;$G$1))))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IF(项目基本情况!B11="自然人","——",ROUND(F62*F63,0))</f>
        <v>0</v>
      </c>
      <c r="D62" s="911" t="s">
        <v>785</v>
      </c>
      <c r="E62" s="896" t="s">
        <v>786</v>
      </c>
      <c r="F62" s="317">
        <f t="shared" si="0"/>
        <v>0</v>
      </c>
      <c r="I62" s="1367" t="s">
        <v>857</v>
      </c>
      <c r="J62" s="610" t="s">
        <v>858</v>
      </c>
      <c r="K62" s="610" t="s">
        <v>859</v>
      </c>
      <c r="L62" s="610" t="s">
        <v>860</v>
      </c>
      <c r="M62" s="1368" t="s">
        <v>861</v>
      </c>
      <c r="O62" s="1325" t="s">
        <v>409</v>
      </c>
      <c r="P62" s="1326" t="s">
        <v>862</v>
      </c>
      <c r="Q62" s="1327">
        <f ca="1">Q56+Q57</f>
        <v>2742953</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1500</v>
      </c>
      <c r="D64" s="910" t="s">
        <v>790</v>
      </c>
      <c r="E64" s="896" t="s">
        <v>782</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637</v>
      </c>
      <c r="D65" s="910" t="s">
        <v>742</v>
      </c>
      <c r="E65" s="896" t="s">
        <v>743</v>
      </c>
      <c r="F65" s="321">
        <f t="shared" ca="1" si="0"/>
        <v>1E-3</v>
      </c>
      <c r="I65" s="1367" t="s">
        <v>866</v>
      </c>
      <c r="J65" s="610">
        <v>40</v>
      </c>
      <c r="K65" s="610">
        <v>30</v>
      </c>
      <c r="L65" s="610">
        <v>50</v>
      </c>
      <c r="M65" s="1369">
        <v>0.02</v>
      </c>
      <c r="O65" s="1325" t="s">
        <v>403</v>
      </c>
      <c r="P65" s="1326" t="s">
        <v>867</v>
      </c>
      <c r="Q65" s="1327">
        <f ca="1">C40+J29</f>
        <v>2742953</v>
      </c>
      <c r="R65" s="1327" t="s">
        <v>817</v>
      </c>
    </row>
    <row r="66" spans="1:18" s="1292" customFormat="1" ht="16.5"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-2137</v>
      </c>
      <c r="D67" s="909" t="s">
        <v>752</v>
      </c>
      <c r="E67" s="914"/>
      <c r="F67" s="915"/>
      <c r="O67" s="1334" t="s">
        <v>405</v>
      </c>
      <c r="P67" s="1326" t="s">
        <v>849</v>
      </c>
      <c r="Q67" s="1370">
        <f ca="1">L51</f>
        <v>2497401</v>
      </c>
      <c r="R67" s="1327" t="s">
        <v>869</v>
      </c>
    </row>
    <row r="68" spans="1:18" s="1292" customFormat="1" ht="16.5" thickBot="1">
      <c r="A68" s="893" t="s">
        <v>395</v>
      </c>
      <c r="B68" s="894" t="s">
        <v>773</v>
      </c>
      <c r="C68" s="293">
        <f ca="1">ROUND(C67*(1-((1+F70)/(1+F68))^F69)/(F68-F70),0)</f>
        <v>-28935</v>
      </c>
      <c r="D68" s="911" t="s">
        <v>757</v>
      </c>
      <c r="E68" s="896" t="s">
        <v>758</v>
      </c>
      <c r="F68" s="304">
        <f ca="1">F40</f>
        <v>5.5E-2</v>
      </c>
      <c r="O68" s="1334" t="s">
        <v>406</v>
      </c>
      <c r="P68" s="1371" t="s">
        <v>870</v>
      </c>
      <c r="Q68" s="1327">
        <f ca="1">ROUND(Q69-Q70*Q71,0)</f>
        <v>136799</v>
      </c>
      <c r="R68" s="1327" t="s">
        <v>414</v>
      </c>
    </row>
    <row r="69" spans="1:18" s="1292" customFormat="1" ht="13.5" thickBot="1">
      <c r="A69" s="897"/>
      <c r="B69" s="898"/>
      <c r="C69" s="298"/>
      <c r="D69" s="916" t="s">
        <v>761</v>
      </c>
      <c r="E69" s="896" t="s">
        <v>762</v>
      </c>
      <c r="F69" s="324">
        <f ca="1">F41</f>
        <v>25.5</v>
      </c>
      <c r="O69" s="1334" t="s">
        <v>411</v>
      </c>
      <c r="P69" s="1371" t="s">
        <v>871</v>
      </c>
      <c r="Q69" s="1327">
        <f ca="1">C39</f>
        <v>175046</v>
      </c>
      <c r="R69" s="1327" t="s">
        <v>817</v>
      </c>
    </row>
    <row r="70" spans="1:18" s="1292" customFormat="1" ht="13.5" thickBot="1">
      <c r="A70" s="900"/>
      <c r="B70" s="901"/>
      <c r="C70" s="302"/>
      <c r="D70" s="912"/>
      <c r="E70" s="896" t="s">
        <v>765</v>
      </c>
      <c r="F70" s="991"/>
      <c r="O70" s="1334" t="s">
        <v>412</v>
      </c>
      <c r="P70" s="1371" t="s">
        <v>872</v>
      </c>
      <c r="Q70" s="1327">
        <f ca="1">C13</f>
        <v>637442</v>
      </c>
      <c r="R70" s="1327" t="s">
        <v>817</v>
      </c>
    </row>
    <row r="71" spans="1:18" s="1292" customFormat="1" ht="13.5" thickBot="1">
      <c r="A71" s="917" t="s">
        <v>396</v>
      </c>
      <c r="B71" s="918" t="s">
        <v>775</v>
      </c>
      <c r="C71" s="327">
        <f ca="1">ROUND(C68/F71,0)</f>
        <v>-167</v>
      </c>
      <c r="D71" s="919" t="s">
        <v>776</v>
      </c>
      <c r="E71" s="920" t="s">
        <v>777</v>
      </c>
      <c r="F71" s="330">
        <f ca="1">F43</f>
        <v>173.35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38247</v>
      </c>
      <c r="D75" s="1292"/>
      <c r="E75" s="1292"/>
      <c r="F75" s="1292"/>
      <c r="K75" s="1309"/>
      <c r="L75" s="1292"/>
      <c r="O75" s="1325" t="s">
        <v>409</v>
      </c>
      <c r="P75" s="1326" t="s">
        <v>837</v>
      </c>
      <c r="Q75" s="1327">
        <f ca="1">Q65+Q66</f>
        <v>2742953</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0.78200000000000003</v>
      </c>
    </row>
    <row r="80" spans="1:18">
      <c r="B80" s="331" t="s">
        <v>799</v>
      </c>
      <c r="C80" s="266">
        <f ca="1">ROUND(C75/C39,3)</f>
        <v>0.218</v>
      </c>
    </row>
    <row r="81" spans="2:3">
      <c r="B81" s="262" t="s">
        <v>800</v>
      </c>
      <c r="C81" s="230"/>
    </row>
    <row r="82" spans="2:3">
      <c r="B82" s="265" t="s">
        <v>801</v>
      </c>
      <c r="C82" s="267">
        <f ca="1">1-C83</f>
        <v>0.76800000000000002</v>
      </c>
    </row>
    <row r="83" spans="2:3">
      <c r="B83" s="265" t="s">
        <v>802</v>
      </c>
      <c r="C83" s="266">
        <f ca="1">ROUND(C13/C40,3)</f>
        <v>0.23200000000000001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J11">
    <cfRule type="expression" dxfId="156" priority="2">
      <formula>$M$10="自定义"</formula>
    </cfRule>
  </conditionalFormatting>
  <conditionalFormatting sqref="K55 K60">
    <cfRule type="expression" dxfId="15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3355</v>
      </c>
      <c r="E2" s="3140"/>
      <c r="F2" s="2598"/>
      <c r="G2" s="2599"/>
      <c r="H2" s="2600"/>
      <c r="I2" s="2601"/>
      <c r="J2" s="3394" t="s">
        <v>2315</v>
      </c>
      <c r="K2" s="3395"/>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396" t="s">
        <v>2325</v>
      </c>
      <c r="K3" s="3397"/>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396" t="s">
        <v>2327</v>
      </c>
      <c r="K4" s="3397"/>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398" t="s">
        <v>2331</v>
      </c>
      <c r="B6" s="3399"/>
      <c r="C6" s="3400"/>
      <c r="D6" s="2622"/>
      <c r="E6" s="2623"/>
      <c r="F6" s="2624"/>
      <c r="G6" s="2625"/>
      <c r="H6" s="2600"/>
      <c r="I6" s="2601"/>
      <c r="J6" s="3401">
        <v>1</v>
      </c>
      <c r="K6" s="3402"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401"/>
      <c r="K7" s="3403"/>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405" t="s">
        <v>2345</v>
      </c>
      <c r="C8" s="3406"/>
      <c r="D8" s="2641" t="s">
        <v>2346</v>
      </c>
      <c r="E8" s="2642" t="s">
        <v>2347</v>
      </c>
      <c r="F8" s="2643" t="s">
        <v>2348</v>
      </c>
      <c r="G8" s="2644"/>
      <c r="H8" s="2600"/>
      <c r="I8" s="2601"/>
      <c r="J8" s="3401"/>
      <c r="K8" s="3403"/>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405" t="s">
        <v>2351</v>
      </c>
      <c r="C9" s="3406"/>
      <c r="D9" s="2641">
        <f>ROUND(D6*E9,0)</f>
        <v>0</v>
      </c>
      <c r="E9" s="2645"/>
      <c r="F9" s="2646" t="s">
        <v>2352</v>
      </c>
      <c r="G9" s="2625"/>
      <c r="H9" s="2600"/>
      <c r="I9" s="2601"/>
      <c r="J9" s="3401"/>
      <c r="K9" s="3403"/>
      <c r="L9" s="2635" t="s">
        <v>2353</v>
      </c>
      <c r="M9" s="2636"/>
      <c r="N9" s="2612"/>
      <c r="O9" s="2637"/>
      <c r="P9" s="2637"/>
      <c r="Q9" s="2638">
        <v>365</v>
      </c>
      <c r="R9" s="2639">
        <f t="shared" si="0"/>
        <v>0</v>
      </c>
      <c r="S9" s="2593"/>
      <c r="T9" s="2593"/>
      <c r="U9" s="2593"/>
      <c r="V9" s="2601"/>
    </row>
    <row r="10" spans="1:22" s="2605" customFormat="1" ht="13.15" customHeight="1">
      <c r="A10" s="2640">
        <v>2</v>
      </c>
      <c r="B10" s="3405" t="s">
        <v>2354</v>
      </c>
      <c r="C10" s="3406"/>
      <c r="D10" s="2641">
        <f>ROUND(D6*E10,0)</f>
        <v>0</v>
      </c>
      <c r="E10" s="2645"/>
      <c r="F10" s="2646" t="s">
        <v>2355</v>
      </c>
      <c r="G10" s="2625"/>
      <c r="H10" s="2600"/>
      <c r="I10" s="2601"/>
      <c r="J10" s="3401"/>
      <c r="K10" s="3403"/>
      <c r="L10" s="2635" t="s">
        <v>2356</v>
      </c>
      <c r="M10" s="2636"/>
      <c r="N10" s="2612"/>
      <c r="O10" s="2637"/>
      <c r="P10" s="2637"/>
      <c r="Q10" s="2638">
        <v>365</v>
      </c>
      <c r="R10" s="2639">
        <f t="shared" si="0"/>
        <v>0</v>
      </c>
      <c r="S10" s="2593"/>
      <c r="T10" s="2593"/>
      <c r="U10" s="2593"/>
      <c r="V10" s="2601"/>
    </row>
    <row r="11" spans="1:22" s="2605" customFormat="1" ht="13.15" customHeight="1">
      <c r="A11" s="2640">
        <v>3</v>
      </c>
      <c r="B11" s="3405" t="s">
        <v>2357</v>
      </c>
      <c r="C11" s="3406"/>
      <c r="D11" s="2641">
        <f>D12+D14+D15+D16</f>
        <v>0</v>
      </c>
      <c r="E11" s="2647" t="e">
        <f>D11/D6</f>
        <v>#DIV/0!</v>
      </c>
      <c r="F11" s="2643"/>
      <c r="G11" s="2644"/>
      <c r="H11" s="2600"/>
      <c r="I11" s="2601"/>
      <c r="J11" s="3401"/>
      <c r="K11" s="3403"/>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407" t="s">
        <v>2360</v>
      </c>
      <c r="C12" s="3408"/>
      <c r="D12" s="2649">
        <f>ROUND(D13*1.2%*(1-30%),0)</f>
        <v>0</v>
      </c>
      <c r="E12" s="2650">
        <v>1.2E-2</v>
      </c>
      <c r="F12" s="2643" t="s">
        <v>2361</v>
      </c>
      <c r="G12" s="2644"/>
      <c r="H12" s="2600"/>
      <c r="I12" s="2601"/>
      <c r="J12" s="3401"/>
      <c r="K12" s="3403"/>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401"/>
      <c r="K13" s="3403"/>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407" t="s">
        <v>2366</v>
      </c>
      <c r="C14" s="3408"/>
      <c r="D14" s="2649">
        <f>ROUND(E14*B5/10000,0)</f>
        <v>0</v>
      </c>
      <c r="E14" s="2638"/>
      <c r="F14" s="2643" t="s">
        <v>2367</v>
      </c>
      <c r="G14" s="2644"/>
      <c r="H14" s="2600"/>
      <c r="I14" s="2601"/>
      <c r="J14" s="3401"/>
      <c r="K14" s="3404"/>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407" t="s">
        <v>2370</v>
      </c>
      <c r="C15" s="3408"/>
      <c r="D15" s="2649">
        <f>ROUND(D6*E15,0)</f>
        <v>0</v>
      </c>
      <c r="E15" s="2650">
        <v>5.5E-2</v>
      </c>
      <c r="F15" s="2643" t="s">
        <v>2371</v>
      </c>
      <c r="G15" s="2625"/>
      <c r="H15" s="2600"/>
      <c r="I15" s="2601"/>
      <c r="J15" s="3401">
        <v>2</v>
      </c>
      <c r="K15" s="3402"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407" t="s">
        <v>2379</v>
      </c>
      <c r="C16" s="3408"/>
      <c r="D16" s="2660">
        <f>D6*E16</f>
        <v>0</v>
      </c>
      <c r="E16" s="2661"/>
      <c r="F16" s="2646" t="s">
        <v>2380</v>
      </c>
      <c r="G16" s="2625"/>
      <c r="H16" s="2600"/>
      <c r="I16" s="2601"/>
      <c r="J16" s="3401"/>
      <c r="K16" s="3403"/>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409" t="s">
        <v>2382</v>
      </c>
      <c r="C17" s="3410"/>
      <c r="D17" s="2663">
        <f>ROUND(D6*E17,0)</f>
        <v>0</v>
      </c>
      <c r="E17" s="2664"/>
      <c r="F17" s="2665" t="s">
        <v>2383</v>
      </c>
      <c r="G17" s="2625"/>
      <c r="H17" s="2600"/>
      <c r="I17" s="2601"/>
      <c r="J17" s="3401"/>
      <c r="K17" s="3403"/>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401"/>
      <c r="K18" s="3403"/>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401"/>
      <c r="K19" s="3404"/>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1">
        <v>3</v>
      </c>
      <c r="K20" s="3402"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401"/>
      <c r="K21" s="3403"/>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401"/>
      <c r="K22" s="3403"/>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401"/>
      <c r="K23" s="3403"/>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401"/>
      <c r="K24" s="3404"/>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411">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41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394" t="s">
        <v>2315</v>
      </c>
      <c r="K32" s="3395"/>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396" t="s">
        <v>2325</v>
      </c>
      <c r="K33" s="3397"/>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396" t="s">
        <v>2327</v>
      </c>
      <c r="K34" s="339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401">
        <v>1</v>
      </c>
      <c r="K36" s="3402"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401"/>
      <c r="K37" s="3403"/>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1"/>
      <c r="K38" s="3403"/>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401"/>
      <c r="K39" s="3403"/>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401"/>
      <c r="K40" s="3404"/>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1">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41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115" zoomScaleNormal="70" zoomScaleSheetLayoutView="115" workbookViewId="0">
      <selection activeCell="D102" sqref="D10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4912</v>
      </c>
      <c r="E1" s="3125" t="s">
        <v>4914</v>
      </c>
      <c r="F1" s="1735" t="s">
        <v>4915</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420.52980000000002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24259</v>
      </c>
      <c r="C3" s="344" t="s">
        <v>1766</v>
      </c>
      <c r="D3" s="343">
        <f>IF(D1="",'数据-汇总表'!E3,SUMIF('数据-汇总表'!$C19:$C33,D1,'数据-汇总表'!$E19:$E33))</f>
        <v>173.35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45" t="s">
        <v>1770</v>
      </c>
      <c r="AC4" s="3415" t="s">
        <v>1771</v>
      </c>
    </row>
    <row r="5" spans="1:29" ht="15">
      <c r="A5" s="348"/>
      <c r="B5" s="349"/>
      <c r="C5" s="3426" t="s">
        <v>1671</v>
      </c>
      <c r="D5" s="3427"/>
      <c r="E5" s="3424" t="s">
        <v>1672</v>
      </c>
      <c r="F5" s="3425"/>
      <c r="G5" s="3426" t="s">
        <v>1673</v>
      </c>
      <c r="H5" s="3427"/>
      <c r="I5" s="3426" t="s">
        <v>1674</v>
      </c>
      <c r="J5" s="3427"/>
      <c r="K5" s="537"/>
      <c r="L5" s="2487"/>
      <c r="M5" s="2488"/>
      <c r="N5" s="2488"/>
      <c r="O5" s="2488"/>
      <c r="P5" s="3439"/>
      <c r="Q5" s="3440"/>
      <c r="R5" s="3422"/>
      <c r="S5" s="3423"/>
      <c r="T5" s="3422"/>
      <c r="U5" s="3423"/>
      <c r="V5" s="3445"/>
      <c r="W5" s="3445"/>
      <c r="X5" s="1265"/>
      <c r="Y5" s="3422"/>
      <c r="Z5" s="3423"/>
      <c r="AA5" s="3416"/>
      <c r="AB5" s="3445"/>
      <c r="AC5" s="3416"/>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41"/>
      <c r="Q6" s="3442"/>
      <c r="R6" s="3422"/>
      <c r="S6" s="3423"/>
      <c r="T6" s="3443"/>
      <c r="U6" s="3444"/>
      <c r="V6" s="3445"/>
      <c r="W6" s="3445"/>
      <c r="X6" s="1265"/>
      <c r="Y6" s="3443"/>
      <c r="Z6" s="3444"/>
      <c r="AA6" s="3417"/>
      <c r="AB6" s="3445"/>
      <c r="AC6" s="3417"/>
    </row>
    <row r="7" spans="1:29" s="102" customFormat="1" ht="15.75" thickBot="1">
      <c r="A7" s="352" t="s">
        <v>1677</v>
      </c>
      <c r="B7" s="353"/>
      <c r="C7" s="354">
        <f>'数据-取费表'!B2</f>
        <v>45974</v>
      </c>
      <c r="D7" s="355">
        <v>100</v>
      </c>
      <c r="E7" s="356" t="str">
        <f>市场售价案例!D3</f>
        <v>2025-04</v>
      </c>
      <c r="F7" s="357">
        <f>SUMIF(58:58,YEAR(E7)&amp;"-"&amp;MONTH(E7),59:59)</f>
        <v>100</v>
      </c>
      <c r="G7" s="356" t="str">
        <f>市场售价案例!Q28</f>
        <v>2025-06</v>
      </c>
      <c r="H7" s="355">
        <f>SUMIF(58:58,YEAR(G7)&amp;"-"&amp;MONTH(G7),59:59)</f>
        <v>100</v>
      </c>
      <c r="I7" s="356" t="str">
        <f>市场售价案例!Q44</f>
        <v>2025-09</v>
      </c>
      <c r="J7" s="355">
        <f>SUMIF(58:58,YEAR(I7)&amp;"-"&amp;MONTH(I7),59:59)</f>
        <v>100</v>
      </c>
      <c r="K7" s="38"/>
      <c r="L7" s="2489"/>
      <c r="M7" s="2440"/>
      <c r="N7" s="2440"/>
      <c r="O7" s="2440"/>
      <c r="P7" s="3418" t="s">
        <v>1678</v>
      </c>
      <c r="Q7" s="3446"/>
      <c r="R7" s="664" t="s">
        <v>14</v>
      </c>
      <c r="S7" s="665">
        <f t="shared" ref="S7:S15" si="0">F7</f>
        <v>100</v>
      </c>
      <c r="T7" s="664" t="s">
        <v>14</v>
      </c>
      <c r="U7" s="665">
        <f t="shared" ref="U7:U15" si="1">H7</f>
        <v>100</v>
      </c>
      <c r="V7" s="664" t="s">
        <v>14</v>
      </c>
      <c r="W7" s="665">
        <f t="shared" ref="W7:W15" si="2">J7</f>
        <v>100</v>
      </c>
      <c r="X7" s="666"/>
      <c r="Y7" s="3418" t="s">
        <v>1678</v>
      </c>
      <c r="Z7" s="3419"/>
      <c r="AA7" s="50">
        <f>D7/F7</f>
        <v>1</v>
      </c>
      <c r="AB7" s="50">
        <f>D7/H7</f>
        <v>1</v>
      </c>
      <c r="AC7" s="50">
        <f>D7/J7</f>
        <v>1</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8" t="s">
        <v>1681</v>
      </c>
      <c r="Q8" s="3419"/>
      <c r="R8" s="664" t="s">
        <v>14</v>
      </c>
      <c r="S8" s="665">
        <f t="shared" si="0"/>
        <v>100</v>
      </c>
      <c r="T8" s="664" t="s">
        <v>14</v>
      </c>
      <c r="U8" s="665">
        <f t="shared" si="1"/>
        <v>100</v>
      </c>
      <c r="V8" s="664" t="s">
        <v>14</v>
      </c>
      <c r="W8" s="665">
        <f t="shared" si="2"/>
        <v>100</v>
      </c>
      <c r="X8" s="666"/>
      <c r="Y8" s="3418" t="s">
        <v>1681</v>
      </c>
      <c r="Z8" s="3419"/>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32"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32"/>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32"/>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32"/>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32"/>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32"/>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8" t="s">
        <v>1689</v>
      </c>
      <c r="Q15" s="1263" t="str">
        <f t="shared" si="6"/>
        <v>商业繁华度</v>
      </c>
      <c r="R15" s="667" t="s">
        <v>14</v>
      </c>
      <c r="S15" s="668">
        <f t="shared" si="0"/>
        <v>100</v>
      </c>
      <c r="T15" s="667" t="s">
        <v>14</v>
      </c>
      <c r="U15" s="668">
        <f t="shared" si="1"/>
        <v>100</v>
      </c>
      <c r="V15" s="667" t="s">
        <v>14</v>
      </c>
      <c r="W15" s="668">
        <f t="shared" si="2"/>
        <v>100</v>
      </c>
      <c r="X15" s="1265"/>
      <c r="Y15" s="3451"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9"/>
      <c r="Q16" s="1263"/>
      <c r="R16" s="667"/>
      <c r="S16" s="668"/>
      <c r="T16" s="667"/>
      <c r="U16" s="668"/>
      <c r="V16" s="667"/>
      <c r="W16" s="668"/>
      <c r="X16" s="1265"/>
      <c r="Y16" s="3452"/>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9"/>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9"/>
      <c r="Q18" s="1263"/>
      <c r="R18" s="667"/>
      <c r="S18" s="668"/>
      <c r="T18" s="667"/>
      <c r="U18" s="668"/>
      <c r="V18" s="667"/>
      <c r="W18" s="668"/>
      <c r="X18" s="1265"/>
      <c r="Y18" s="3452"/>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9"/>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9"/>
      <c r="Q20" s="1263"/>
      <c r="R20" s="667"/>
      <c r="S20" s="668"/>
      <c r="T20" s="667"/>
      <c r="U20" s="668"/>
      <c r="V20" s="667"/>
      <c r="W20" s="668"/>
      <c r="X20" s="1265"/>
      <c r="Y20" s="3452"/>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9"/>
      <c r="Q22" s="1263"/>
      <c r="R22" s="667"/>
      <c r="S22" s="668"/>
      <c r="T22" s="667"/>
      <c r="U22" s="668"/>
      <c r="V22" s="667"/>
      <c r="W22" s="668"/>
      <c r="X22" s="1265"/>
      <c r="Y22" s="3452"/>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9"/>
      <c r="Q23" s="1263" t="str">
        <f>B23</f>
        <v>自然及人文环境</v>
      </c>
      <c r="R23" s="667" t="s">
        <v>14</v>
      </c>
      <c r="S23" s="668">
        <f>F23</f>
        <v>100</v>
      </c>
      <c r="T23" s="667" t="s">
        <v>14</v>
      </c>
      <c r="U23" s="668">
        <f>H23</f>
        <v>100</v>
      </c>
      <c r="V23" s="667" t="s">
        <v>14</v>
      </c>
      <c r="W23" s="668">
        <f>J23</f>
        <v>100</v>
      </c>
      <c r="X23" s="1265"/>
      <c r="Y23" s="345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9"/>
      <c r="Q24" s="1263"/>
      <c r="R24" s="667"/>
      <c r="S24" s="668"/>
      <c r="T24" s="667"/>
      <c r="U24" s="668"/>
      <c r="V24" s="667"/>
      <c r="W24" s="668"/>
      <c r="X24" s="1265"/>
      <c r="Y24" s="3452"/>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9"/>
      <c r="Q25" s="1263" t="str">
        <f t="shared" ref="Q25:Q46" si="11">B25</f>
        <v>临街状况</v>
      </c>
      <c r="R25" s="667" t="s">
        <v>14</v>
      </c>
      <c r="S25" s="668">
        <f>F25</f>
        <v>100</v>
      </c>
      <c r="T25" s="667" t="s">
        <v>14</v>
      </c>
      <c r="U25" s="668">
        <f>H25</f>
        <v>100</v>
      </c>
      <c r="V25" s="667" t="s">
        <v>14</v>
      </c>
      <c r="W25" s="668">
        <f>J25</f>
        <v>100</v>
      </c>
      <c r="X25" s="1265"/>
      <c r="Y25" s="3452"/>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9"/>
      <c r="Q26" s="1263" t="str">
        <f t="shared" si="11"/>
        <v>平面位置/可视性</v>
      </c>
      <c r="R26" s="667" t="s">
        <v>14</v>
      </c>
      <c r="S26" s="668">
        <f>F26</f>
        <v>100</v>
      </c>
      <c r="T26" s="667" t="s">
        <v>14</v>
      </c>
      <c r="U26" s="668">
        <f>H26</f>
        <v>100</v>
      </c>
      <c r="V26" s="667" t="s">
        <v>14</v>
      </c>
      <c r="W26" s="668">
        <f>J26</f>
        <v>100</v>
      </c>
      <c r="X26" s="1265"/>
      <c r="Y26" s="3452"/>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9"/>
      <c r="Q27" s="530" t="str">
        <f t="shared" si="11"/>
        <v>人流量</v>
      </c>
      <c r="R27" s="664" t="s">
        <v>14</v>
      </c>
      <c r="S27" s="665">
        <f>F27</f>
        <v>100</v>
      </c>
      <c r="T27" s="664" t="s">
        <v>14</v>
      </c>
      <c r="U27" s="665">
        <f>H27</f>
        <v>100</v>
      </c>
      <c r="V27" s="664" t="s">
        <v>14</v>
      </c>
      <c r="W27" s="665">
        <f>J27</f>
        <v>100</v>
      </c>
      <c r="X27" s="666"/>
      <c r="Y27" s="3452"/>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9"/>
      <c r="Q29" s="1263">
        <f t="shared" si="11"/>
        <v>111</v>
      </c>
      <c r="R29" s="667" t="s">
        <v>14</v>
      </c>
      <c r="S29" s="668">
        <f t="shared" si="12"/>
        <v>100</v>
      </c>
      <c r="T29" s="667" t="s">
        <v>14</v>
      </c>
      <c r="U29" s="668">
        <f t="shared" si="13"/>
        <v>100</v>
      </c>
      <c r="V29" s="667" t="s">
        <v>14</v>
      </c>
      <c r="W29" s="668">
        <f t="shared" si="14"/>
        <v>100</v>
      </c>
      <c r="X29" s="1265"/>
      <c r="Y29" s="345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9"/>
      <c r="Q30" s="1263">
        <f t="shared" si="11"/>
        <v>111</v>
      </c>
      <c r="R30" s="667" t="s">
        <v>14</v>
      </c>
      <c r="S30" s="668">
        <f t="shared" si="12"/>
        <v>100</v>
      </c>
      <c r="T30" s="667" t="s">
        <v>14</v>
      </c>
      <c r="U30" s="668">
        <f t="shared" si="13"/>
        <v>100</v>
      </c>
      <c r="V30" s="667" t="s">
        <v>14</v>
      </c>
      <c r="W30" s="668">
        <f t="shared" si="14"/>
        <v>100</v>
      </c>
      <c r="X30" s="1265"/>
      <c r="Y30" s="345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9"/>
      <c r="Q31" s="1263">
        <f t="shared" si="11"/>
        <v>111</v>
      </c>
      <c r="R31" s="667" t="s">
        <v>14</v>
      </c>
      <c r="S31" s="668">
        <f t="shared" si="12"/>
        <v>100</v>
      </c>
      <c r="T31" s="667" t="s">
        <v>14</v>
      </c>
      <c r="U31" s="668">
        <f t="shared" si="13"/>
        <v>100</v>
      </c>
      <c r="V31" s="667" t="s">
        <v>14</v>
      </c>
      <c r="W31" s="668">
        <f t="shared" si="14"/>
        <v>100</v>
      </c>
      <c r="X31" s="1265"/>
      <c r="Y31" s="3452"/>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3" t="s">
        <v>1694</v>
      </c>
      <c r="Q32" s="1263" t="str">
        <f t="shared" si="11"/>
        <v>商业类型</v>
      </c>
      <c r="R32" s="667" t="s">
        <v>14</v>
      </c>
      <c r="S32" s="668">
        <f t="shared" si="12"/>
        <v>100</v>
      </c>
      <c r="T32" s="667" t="s">
        <v>14</v>
      </c>
      <c r="U32" s="668">
        <f t="shared" si="13"/>
        <v>100</v>
      </c>
      <c r="V32" s="667" t="s">
        <v>14</v>
      </c>
      <c r="W32" s="668">
        <f t="shared" si="14"/>
        <v>100</v>
      </c>
      <c r="X32" s="1265"/>
      <c r="Y32" s="3456" t="s">
        <v>1694</v>
      </c>
      <c r="Z32" s="1264" t="str">
        <f t="shared" si="15"/>
        <v>商业类型</v>
      </c>
      <c r="AA32" s="1264">
        <f t="shared" si="3"/>
        <v>1</v>
      </c>
      <c r="AB32" s="1264">
        <f t="shared" si="4"/>
        <v>1</v>
      </c>
      <c r="AC32" s="1264">
        <f t="shared" si="5"/>
        <v>1</v>
      </c>
    </row>
    <row r="33" spans="1:29" s="408" customFormat="1" ht="15">
      <c r="A33" s="406"/>
      <c r="B33" s="364" t="s">
        <v>1695</v>
      </c>
      <c r="C33" s="407">
        <f>'数据-汇总表'!F19</f>
        <v>173.35</v>
      </c>
      <c r="D33" s="119">
        <v>100</v>
      </c>
      <c r="E33" s="369">
        <f>市场售价案例!F3</f>
        <v>136</v>
      </c>
      <c r="F33" s="364">
        <f>LOOKUP(E33,103:103,104:104)-LOOKUP(C33,103:103,104:104)+100</f>
        <v>100</v>
      </c>
      <c r="G33" s="368">
        <v>64</v>
      </c>
      <c r="H33" s="119">
        <f>LOOKUP(G33,103:103,104:104)-LOOKUP(C33,103:103,104:104)+100</f>
        <v>101</v>
      </c>
      <c r="I33" s="368">
        <v>77</v>
      </c>
      <c r="J33" s="119">
        <f>LOOKUP(I33,103:103,104:104)-LOOKUP(C33,103:103,104:104)+100</f>
        <v>101</v>
      </c>
      <c r="K33" s="539"/>
      <c r="L33" s="2492"/>
      <c r="M33" s="2494"/>
      <c r="N33" s="2494"/>
      <c r="O33" s="2494"/>
      <c r="P33" s="3454"/>
      <c r="Q33" s="531" t="str">
        <f t="shared" si="11"/>
        <v>项目建筑规模</v>
      </c>
      <c r="R33" s="669" t="s">
        <v>14</v>
      </c>
      <c r="S33" s="670">
        <f t="shared" si="12"/>
        <v>100</v>
      </c>
      <c r="T33" s="669" t="s">
        <v>14</v>
      </c>
      <c r="U33" s="670">
        <f t="shared" si="13"/>
        <v>101</v>
      </c>
      <c r="V33" s="669" t="s">
        <v>14</v>
      </c>
      <c r="W33" s="670">
        <f t="shared" si="14"/>
        <v>101</v>
      </c>
      <c r="X33" s="671"/>
      <c r="Y33" s="3456"/>
      <c r="Z33" s="672" t="str">
        <f t="shared" si="15"/>
        <v>项目建筑规模</v>
      </c>
      <c r="AA33" s="1264">
        <f t="shared" si="3"/>
        <v>1</v>
      </c>
      <c r="AB33" s="1264">
        <f t="shared" si="4"/>
        <v>0.99009900990099009</v>
      </c>
      <c r="AC33" s="1264">
        <f t="shared" si="5"/>
        <v>0.99009900990099009</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4"/>
      <c r="Q34" s="1263" t="str">
        <f t="shared" si="11"/>
        <v>建筑结构</v>
      </c>
      <c r="R34" s="667" t="s">
        <v>14</v>
      </c>
      <c r="S34" s="668">
        <f t="shared" si="12"/>
        <v>100</v>
      </c>
      <c r="T34" s="667" t="s">
        <v>14</v>
      </c>
      <c r="U34" s="668">
        <f t="shared" si="13"/>
        <v>100</v>
      </c>
      <c r="V34" s="667" t="s">
        <v>14</v>
      </c>
      <c r="W34" s="668">
        <f t="shared" si="14"/>
        <v>100</v>
      </c>
      <c r="X34" s="1265"/>
      <c r="Y34" s="3456"/>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4"/>
      <c r="Q35" s="1263" t="str">
        <f t="shared" si="11"/>
        <v>公共部分装修</v>
      </c>
      <c r="R35" s="667" t="s">
        <v>14</v>
      </c>
      <c r="S35" s="668">
        <f t="shared" si="12"/>
        <v>100</v>
      </c>
      <c r="T35" s="667" t="s">
        <v>14</v>
      </c>
      <c r="U35" s="668">
        <f t="shared" si="13"/>
        <v>100</v>
      </c>
      <c r="V35" s="667" t="s">
        <v>14</v>
      </c>
      <c r="W35" s="668">
        <f t="shared" si="14"/>
        <v>100</v>
      </c>
      <c r="X35" s="1265"/>
      <c r="Y35" s="3456"/>
      <c r="Z35" s="1264" t="str">
        <f t="shared" si="15"/>
        <v>公共部分装修</v>
      </c>
      <c r="AA35" s="1264">
        <f t="shared" si="3"/>
        <v>1</v>
      </c>
      <c r="AB35" s="1264">
        <f t="shared" si="4"/>
        <v>1</v>
      </c>
      <c r="AC35" s="1264">
        <f t="shared" si="5"/>
        <v>1</v>
      </c>
    </row>
    <row r="36" spans="1:29" ht="15">
      <c r="A36" s="409"/>
      <c r="B36" s="364" t="s">
        <v>1784</v>
      </c>
      <c r="C36" s="411">
        <v>0.85</v>
      </c>
      <c r="D36" s="374">
        <v>100</v>
      </c>
      <c r="E36" s="411">
        <v>0.85</v>
      </c>
      <c r="F36" s="400">
        <f>LOOKUP(E36,110:110,111:111)-LOOKUP(C36,110:110,111:111)+100</f>
        <v>100</v>
      </c>
      <c r="G36" s="411">
        <v>0.85</v>
      </c>
      <c r="H36" s="400">
        <f>LOOKUP(G36,110:110,111:111)-LOOKUP(C36,110:110,111:111)+100</f>
        <v>100</v>
      </c>
      <c r="I36" s="411">
        <v>0.85</v>
      </c>
      <c r="J36" s="374">
        <f>LOOKUP(I36,110:110,111:111)-LOOKUP(C36,110:110,111:111)+100</f>
        <v>100</v>
      </c>
      <c r="K36" s="538"/>
      <c r="L36" s="2493"/>
      <c r="M36" s="2488"/>
      <c r="N36" s="2488"/>
      <c r="O36" s="2488"/>
      <c r="P36" s="3454"/>
      <c r="Q36" s="1263" t="str">
        <f t="shared" si="11"/>
        <v>成新度</v>
      </c>
      <c r="R36" s="667" t="s">
        <v>14</v>
      </c>
      <c r="S36" s="668">
        <f t="shared" si="12"/>
        <v>100</v>
      </c>
      <c r="T36" s="667" t="s">
        <v>14</v>
      </c>
      <c r="U36" s="668">
        <f t="shared" si="13"/>
        <v>100</v>
      </c>
      <c r="V36" s="667" t="s">
        <v>14</v>
      </c>
      <c r="W36" s="668">
        <f t="shared" si="14"/>
        <v>100</v>
      </c>
      <c r="X36" s="1265"/>
      <c r="Y36" s="3456"/>
      <c r="Z36" s="1264" t="str">
        <f t="shared" si="15"/>
        <v>成新度</v>
      </c>
      <c r="AA36" s="1264">
        <f t="shared" si="3"/>
        <v>1</v>
      </c>
      <c r="AB36" s="1264">
        <f t="shared" si="4"/>
        <v>1</v>
      </c>
      <c r="AC36" s="1264">
        <f t="shared" si="5"/>
        <v>1</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4"/>
      <c r="Q37" s="530" t="str">
        <f t="shared" si="11"/>
        <v>市政基础设施</v>
      </c>
      <c r="R37" s="664" t="s">
        <v>14</v>
      </c>
      <c r="S37" s="665">
        <f t="shared" si="12"/>
        <v>100</v>
      </c>
      <c r="T37" s="664" t="s">
        <v>14</v>
      </c>
      <c r="U37" s="665">
        <f t="shared" si="13"/>
        <v>100</v>
      </c>
      <c r="V37" s="664" t="s">
        <v>14</v>
      </c>
      <c r="W37" s="665">
        <f t="shared" si="14"/>
        <v>100</v>
      </c>
      <c r="X37" s="666"/>
      <c r="Y37" s="3456"/>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4" t="s">
        <v>1694</v>
      </c>
      <c r="Q38" s="1263" t="str">
        <f t="shared" si="11"/>
        <v>业态</v>
      </c>
      <c r="R38" s="667" t="s">
        <v>14</v>
      </c>
      <c r="S38" s="668">
        <f t="shared" si="12"/>
        <v>100</v>
      </c>
      <c r="T38" s="667" t="s">
        <v>14</v>
      </c>
      <c r="U38" s="668">
        <f t="shared" si="13"/>
        <v>100</v>
      </c>
      <c r="V38" s="667" t="s">
        <v>14</v>
      </c>
      <c r="W38" s="668">
        <f t="shared" si="14"/>
        <v>100</v>
      </c>
      <c r="X38" s="1265"/>
      <c r="Y38" s="3456"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4"/>
      <c r="Q39" s="1263" t="str">
        <f t="shared" si="11"/>
        <v>层高</v>
      </c>
      <c r="R39" s="667" t="s">
        <v>14</v>
      </c>
      <c r="S39" s="668">
        <f t="shared" si="12"/>
        <v>100</v>
      </c>
      <c r="T39" s="667" t="s">
        <v>14</v>
      </c>
      <c r="U39" s="668">
        <f t="shared" si="13"/>
        <v>100</v>
      </c>
      <c r="V39" s="667" t="s">
        <v>14</v>
      </c>
      <c r="W39" s="668">
        <f t="shared" si="14"/>
        <v>100</v>
      </c>
      <c r="X39" s="1265"/>
      <c r="Y39" s="3456"/>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4"/>
      <c r="Q40" s="1263" t="str">
        <f t="shared" si="11"/>
        <v>单套建筑面积</v>
      </c>
      <c r="R40" s="667" t="s">
        <v>14</v>
      </c>
      <c r="S40" s="668">
        <f t="shared" si="12"/>
        <v>100</v>
      </c>
      <c r="T40" s="667" t="s">
        <v>14</v>
      </c>
      <c r="U40" s="668">
        <f t="shared" si="13"/>
        <v>100</v>
      </c>
      <c r="V40" s="667" t="s">
        <v>14</v>
      </c>
      <c r="W40" s="668">
        <f t="shared" si="14"/>
        <v>100</v>
      </c>
      <c r="X40" s="1265"/>
      <c r="Y40" s="3456"/>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4"/>
      <c r="Q41" s="531" t="str">
        <f t="shared" si="11"/>
        <v>进深比</v>
      </c>
      <c r="R41" s="669" t="s">
        <v>14</v>
      </c>
      <c r="S41" s="670">
        <f t="shared" si="12"/>
        <v>100</v>
      </c>
      <c r="T41" s="669" t="s">
        <v>14</v>
      </c>
      <c r="U41" s="670">
        <f t="shared" si="13"/>
        <v>100</v>
      </c>
      <c r="V41" s="669" t="s">
        <v>14</v>
      </c>
      <c r="W41" s="670">
        <f t="shared" si="14"/>
        <v>100</v>
      </c>
      <c r="X41" s="671"/>
      <c r="Y41" s="3456"/>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4"/>
      <c r="Q42" s="1263" t="str">
        <f t="shared" si="11"/>
        <v>内部装修</v>
      </c>
      <c r="R42" s="667" t="s">
        <v>14</v>
      </c>
      <c r="S42" s="668">
        <f t="shared" si="12"/>
        <v>100</v>
      </c>
      <c r="T42" s="667" t="s">
        <v>14</v>
      </c>
      <c r="U42" s="668">
        <f t="shared" si="13"/>
        <v>100</v>
      </c>
      <c r="V42" s="667" t="s">
        <v>14</v>
      </c>
      <c r="W42" s="668">
        <f t="shared" si="14"/>
        <v>100</v>
      </c>
      <c r="X42" s="1265"/>
      <c r="Y42" s="3456"/>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4"/>
      <c r="Q43" s="1263" t="str">
        <f t="shared" si="11"/>
        <v>内部装修维护情况</v>
      </c>
      <c r="R43" s="667" t="s">
        <v>14</v>
      </c>
      <c r="S43" s="668">
        <f t="shared" si="12"/>
        <v>100</v>
      </c>
      <c r="T43" s="667" t="s">
        <v>14</v>
      </c>
      <c r="U43" s="668">
        <f t="shared" si="13"/>
        <v>100</v>
      </c>
      <c r="V43" s="667" t="s">
        <v>14</v>
      </c>
      <c r="W43" s="668">
        <f t="shared" si="14"/>
        <v>100</v>
      </c>
      <c r="X43" s="1265"/>
      <c r="Y43" s="345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4"/>
      <c r="Q44" s="530">
        <f t="shared" si="11"/>
        <v>111</v>
      </c>
      <c r="R44" s="664" t="s">
        <v>14</v>
      </c>
      <c r="S44" s="665">
        <f t="shared" si="12"/>
        <v>100</v>
      </c>
      <c r="T44" s="664" t="s">
        <v>14</v>
      </c>
      <c r="U44" s="665">
        <f t="shared" si="13"/>
        <v>100</v>
      </c>
      <c r="V44" s="664" t="s">
        <v>14</v>
      </c>
      <c r="W44" s="665">
        <f t="shared" si="14"/>
        <v>100</v>
      </c>
      <c r="X44" s="666"/>
      <c r="Y44" s="345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4"/>
      <c r="Q45" s="1263">
        <f t="shared" si="11"/>
        <v>111</v>
      </c>
      <c r="R45" s="667" t="s">
        <v>14</v>
      </c>
      <c r="S45" s="668">
        <f t="shared" si="12"/>
        <v>100</v>
      </c>
      <c r="T45" s="667" t="s">
        <v>14</v>
      </c>
      <c r="U45" s="668">
        <f t="shared" si="13"/>
        <v>100</v>
      </c>
      <c r="V45" s="667" t="s">
        <v>14</v>
      </c>
      <c r="W45" s="668">
        <f t="shared" si="14"/>
        <v>100</v>
      </c>
      <c r="X45" s="1265"/>
      <c r="Y45" s="345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5"/>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264">
        <f t="shared" si="5"/>
        <v>1</v>
      </c>
    </row>
    <row r="47" spans="1:29" ht="15">
      <c r="A47" s="416" t="s">
        <v>1706</v>
      </c>
      <c r="B47" s="417"/>
      <c r="C47" s="1081" t="s">
        <v>0</v>
      </c>
      <c r="D47" s="418"/>
      <c r="E47" s="419">
        <f>市场售价案例!G3</f>
        <v>23692</v>
      </c>
      <c r="F47" s="420"/>
      <c r="G47" s="421">
        <f>市场售价案例!T28</f>
        <v>24993</v>
      </c>
      <c r="H47" s="422"/>
      <c r="I47" s="419">
        <f>市场售价案例!T44</f>
        <v>24582</v>
      </c>
      <c r="J47" s="422"/>
      <c r="K47" s="674"/>
      <c r="L47" s="2495"/>
      <c r="M47" s="2488"/>
      <c r="N47" s="2488"/>
      <c r="O47" s="2488"/>
      <c r="P47" s="3450" t="str">
        <f>A47</f>
        <v>成交单价（元/平方米）</v>
      </c>
      <c r="Q47" s="3450"/>
      <c r="R47" s="3445">
        <f>E47</f>
        <v>23692</v>
      </c>
      <c r="S47" s="3445"/>
      <c r="T47" s="3445">
        <f>G47</f>
        <v>24993</v>
      </c>
      <c r="U47" s="3445"/>
      <c r="V47" s="3445">
        <f>I47</f>
        <v>24582</v>
      </c>
      <c r="W47" s="3445"/>
      <c r="X47" s="385"/>
      <c r="Y47" s="673"/>
      <c r="Z47" s="385"/>
      <c r="AA47" s="385"/>
      <c r="AB47" s="385"/>
      <c r="AC47" s="385"/>
    </row>
    <row r="48" spans="1:29" ht="15.75" thickBot="1">
      <c r="A48" s="423" t="s">
        <v>1791</v>
      </c>
      <c r="B48" s="424"/>
      <c r="C48" s="1082">
        <f>R49</f>
        <v>24259</v>
      </c>
      <c r="D48" s="2141" t="s">
        <v>2136</v>
      </c>
      <c r="E48" s="1083">
        <f>R48</f>
        <v>23692</v>
      </c>
      <c r="F48" s="2142"/>
      <c r="G48" s="1082">
        <f>T48</f>
        <v>24746</v>
      </c>
      <c r="H48" s="2142"/>
      <c r="I48" s="1083">
        <f>V48</f>
        <v>24339</v>
      </c>
      <c r="J48" s="2142"/>
      <c r="K48" s="2144">
        <f>F48+H48+J48</f>
        <v>0</v>
      </c>
      <c r="L48" s="2495"/>
      <c r="M48" s="2488"/>
      <c r="N48" s="2488"/>
      <c r="O48" s="2488"/>
      <c r="P48" s="3450" t="str">
        <f>A48</f>
        <v>比较价值（元/平方米）</v>
      </c>
      <c r="Q48" s="3450"/>
      <c r="R48" s="3445">
        <f>IF(F1="售价",ROUND(PRODUCT(R47,AA7:AA46),0),ROUND(PRODUCT(R47,AA7:AA46),1))</f>
        <v>23692</v>
      </c>
      <c r="S48" s="3445"/>
      <c r="T48" s="3445">
        <f>IF(F1="售价",ROUND(PRODUCT(T47,AB7:AB46),0),ROUND(PRODUCT(T47,AB7:AB46),1))</f>
        <v>24746</v>
      </c>
      <c r="U48" s="3445"/>
      <c r="V48" s="3445">
        <f>IF(F1="售价",ROUND(PRODUCT(V47,AC7:AC46),0),ROUND(PRODUCT(V47,AC7:AC46),1))</f>
        <v>24339</v>
      </c>
      <c r="W48" s="3445"/>
      <c r="X48" s="385"/>
      <c r="Y48" s="385"/>
      <c r="Z48" s="385"/>
      <c r="AA48" s="385"/>
      <c r="AB48" s="385"/>
      <c r="AC48" s="385"/>
    </row>
    <row r="49" spans="1:29" ht="15.75" thickBot="1">
      <c r="A49" s="427" t="s">
        <v>1792</v>
      </c>
      <c r="B49" s="428"/>
      <c r="C49" s="351">
        <f>R49</f>
        <v>24259</v>
      </c>
      <c r="D49" s="351"/>
      <c r="E49" s="351"/>
      <c r="F49" s="351"/>
      <c r="G49" s="351"/>
      <c r="H49" s="351"/>
      <c r="I49" s="351"/>
      <c r="J49" s="351"/>
      <c r="K49" s="675"/>
      <c r="L49" s="2495"/>
      <c r="M49" s="2488"/>
      <c r="N49" s="2488"/>
      <c r="O49" s="2488"/>
      <c r="P49" s="3447" t="str">
        <f>A49</f>
        <v>估价对象XX用房的比较价值（楼面单价，元/平方米）</v>
      </c>
      <c r="Q49" s="3448"/>
      <c r="R49" s="3449">
        <f>IF(F1="售价",ROUND(IF(D48="简单平均",AVERAGE(R48:V48),R48*F48+T48*H48+V48*J48),0),ROUND(IF(D48="简单平均",AVERAGE(R48:V48),R48*F48+T48*H48+V48*J48),1))</f>
        <v>24259</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f>IF(E47&lt;E48,E48/E47-1,E47/E48-1)</f>
        <v>0</v>
      </c>
      <c r="F52" s="435" t="str">
        <f>IF(OR(E52&gt;=0.3,E52&lt;=-0.3),"超过30%","")</f>
        <v/>
      </c>
      <c r="G52" s="434">
        <f>IF(G47&lt;G48,G48/G47-1,G47/G48-1)</f>
        <v>9.9814111371534509E-3</v>
      </c>
      <c r="H52" s="435" t="str">
        <f>IF(OR(G52&gt;=0.3,G52&lt;=-0.3),"超过30%","")</f>
        <v/>
      </c>
      <c r="I52" s="434">
        <f>IF(I47&lt;I48,I48/I47-1,I47/I48-1)</f>
        <v>9.9839763342783883E-3</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f>IF(E48&lt;G48,G48/E48-1,E48/G48-1)</f>
        <v>4.4487590747931849E-2</v>
      </c>
      <c r="F53" s="435" t="str">
        <f>IF(OR(E53&gt;=0.2,E53&lt;=-0.2),"超过20%","")</f>
        <v/>
      </c>
      <c r="G53" s="434">
        <f>IF(G48&lt;I48,I48/G48-1,G48/I48-1)</f>
        <v>1.6722133201857003E-2</v>
      </c>
      <c r="H53" s="435" t="str">
        <f>IF(OR(G53&gt;=0.2,G53&lt;=-0.2),"超过20%","")</f>
        <v/>
      </c>
      <c r="I53" s="434">
        <f>IF(I48&lt;E48,E48/I48-1,I48/E48-1)</f>
        <v>2.7308796218132647E-2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f>IF(E47&lt;G47,G47/E47-1,E47/G47-1)</f>
        <v>5.4913050818841791E-2</v>
      </c>
      <c r="F54" s="435" t="str">
        <f>IF(OR(E54&gt;=0.3,E54&lt;=-0.3),"超过30%","")</f>
        <v/>
      </c>
      <c r="G54" s="434">
        <f>IF(G47&lt;I47,I47/G47-1,G47/I47-1)</f>
        <v>1.6719550890895718E-2</v>
      </c>
      <c r="H54" s="435" t="str">
        <f>IF(OR(G54&gt;=0.3,G54&lt;=-0.3),"超过30%","")</f>
        <v/>
      </c>
      <c r="I54" s="434">
        <f>IF(I47&lt;E47,E47/I47-1,I47/E47-1)</f>
        <v>3.7565422927570591E-2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F7:F46 H7:H46 J7:J46">
    <cfRule type="cellIs" dxfId="151" priority="1" operator="notEqual">
      <formula>100</formula>
    </cfRule>
  </conditionalFormatting>
  <conditionalFormatting sqref="F48">
    <cfRule type="expression" dxfId="150" priority="4">
      <formula>$D$48="简单平均"</formula>
    </cfRule>
  </conditionalFormatting>
  <conditionalFormatting sqref="F52:F54 H52:H54">
    <cfRule type="containsText" dxfId="149" priority="17" stopIfTrue="1" operator="containsText" text="超过">
      <formula>NOT(ISERROR(SEARCH("超过",F52)))</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G54">
    <cfRule type="expression" dxfId="146" priority="13" stopIfTrue="1">
      <formula>$H$54="超过30%"</formula>
    </cfRule>
  </conditionalFormatting>
  <conditionalFormatting sqref="H48">
    <cfRule type="expression" dxfId="145" priority="3">
      <formula>$D$48="简单平均"</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J48">
    <cfRule type="expression" dxfId="141" priority="2">
      <formula>$D$48="简单平均"</formula>
    </cfRule>
  </conditionalFormatting>
  <conditionalFormatting sqref="J52:J54">
    <cfRule type="containsText" dxfId="14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E3F0-E060-4358-9E2F-B2CAEABEBB25}">
  <dimension ref="C1:Y94"/>
  <sheetViews>
    <sheetView workbookViewId="0">
      <selection activeCell="D14" sqref="D14:L14"/>
    </sheetView>
  </sheetViews>
  <sheetFormatPr defaultRowHeight="13.5"/>
  <cols>
    <col min="3" max="3" width="17.25" bestFit="1" customWidth="1"/>
    <col min="16" max="16" width="13" bestFit="1" customWidth="1"/>
  </cols>
  <sheetData>
    <row r="1" spans="3:25" ht="14.25">
      <c r="D1" s="3480" t="s">
        <v>4877</v>
      </c>
      <c r="E1" s="3480" t="s">
        <v>3419</v>
      </c>
      <c r="F1" s="3480" t="s">
        <v>3420</v>
      </c>
      <c r="G1" s="3480" t="s">
        <v>4878</v>
      </c>
      <c r="H1" s="3480" t="s">
        <v>4879</v>
      </c>
      <c r="I1" s="3480" t="s">
        <v>4880</v>
      </c>
      <c r="J1" s="3480" t="s">
        <v>4881</v>
      </c>
      <c r="K1" s="3480" t="s">
        <v>4882</v>
      </c>
      <c r="L1" s="3480" t="s">
        <v>4883</v>
      </c>
      <c r="P1" s="1405" t="s">
        <v>4903</v>
      </c>
      <c r="Q1" s="3480" t="s">
        <v>4877</v>
      </c>
      <c r="R1" s="3480" t="s">
        <v>3419</v>
      </c>
      <c r="S1" s="3480" t="s">
        <v>3420</v>
      </c>
      <c r="T1" s="3480" t="s">
        <v>4878</v>
      </c>
      <c r="U1" s="3480" t="s">
        <v>4879</v>
      </c>
      <c r="V1" s="3480" t="s">
        <v>4880</v>
      </c>
      <c r="W1" s="3480" t="s">
        <v>4881</v>
      </c>
      <c r="X1" s="3480" t="s">
        <v>4882</v>
      </c>
      <c r="Y1" s="3480" t="s">
        <v>4883</v>
      </c>
    </row>
    <row r="2" spans="3:25" ht="14.25">
      <c r="C2" s="1405" t="s">
        <v>4876</v>
      </c>
      <c r="D2" s="3553" t="s">
        <v>4871</v>
      </c>
      <c r="E2" s="3553">
        <v>32</v>
      </c>
      <c r="F2" s="3553">
        <v>2557</v>
      </c>
      <c r="G2" s="3553">
        <v>24057</v>
      </c>
      <c r="H2" s="3553">
        <v>6150.91</v>
      </c>
      <c r="I2" s="3553">
        <v>171</v>
      </c>
      <c r="J2" s="3553">
        <v>20938</v>
      </c>
      <c r="K2" s="3553">
        <v>20</v>
      </c>
      <c r="L2" s="3553">
        <v>2010</v>
      </c>
      <c r="Q2" s="3559" t="s">
        <v>4871</v>
      </c>
      <c r="R2" s="3559">
        <v>284</v>
      </c>
      <c r="S2" s="3559">
        <v>7391</v>
      </c>
      <c r="T2" s="3559">
        <v>5235</v>
      </c>
      <c r="U2" s="3559">
        <v>3869.69</v>
      </c>
      <c r="V2" s="3559">
        <v>779</v>
      </c>
      <c r="W2" s="3559">
        <v>19925</v>
      </c>
      <c r="X2" s="3559">
        <v>493</v>
      </c>
      <c r="Y2" s="3559">
        <v>12482</v>
      </c>
    </row>
    <row r="3" spans="3:25" ht="14.25">
      <c r="D3" s="3552" t="s">
        <v>3493</v>
      </c>
      <c r="E3" s="3552">
        <v>1</v>
      </c>
      <c r="F3" s="3552">
        <v>136</v>
      </c>
      <c r="G3" s="3552">
        <v>23692</v>
      </c>
      <c r="H3" s="3552">
        <v>321.48</v>
      </c>
      <c r="I3" s="3552" t="s">
        <v>3427</v>
      </c>
      <c r="J3" s="3552" t="s">
        <v>3427</v>
      </c>
      <c r="K3" s="3552">
        <v>20</v>
      </c>
      <c r="L3" s="3552">
        <v>2010</v>
      </c>
      <c r="Q3" s="3569" t="s">
        <v>3584</v>
      </c>
      <c r="R3" s="3569">
        <v>2</v>
      </c>
      <c r="S3" s="3569">
        <v>50</v>
      </c>
      <c r="T3" s="3569">
        <v>5201</v>
      </c>
      <c r="U3" s="3569">
        <v>26.25</v>
      </c>
      <c r="V3" s="3569" t="s">
        <v>3427</v>
      </c>
      <c r="W3" s="3569" t="s">
        <v>3427</v>
      </c>
      <c r="X3" s="3569">
        <v>493</v>
      </c>
      <c r="Y3" s="3569">
        <v>12482</v>
      </c>
    </row>
    <row r="4" spans="3:25" ht="14.25">
      <c r="D4" s="3553" t="s">
        <v>3578</v>
      </c>
      <c r="E4" s="3553">
        <v>1</v>
      </c>
      <c r="F4" s="3553">
        <v>82</v>
      </c>
      <c r="G4" s="3553">
        <v>23818</v>
      </c>
      <c r="H4" s="3553">
        <v>194.45</v>
      </c>
      <c r="I4" s="3553" t="s">
        <v>3427</v>
      </c>
      <c r="J4" s="3553" t="s">
        <v>3427</v>
      </c>
      <c r="K4" s="3553">
        <v>21</v>
      </c>
      <c r="L4" s="3553">
        <v>2146</v>
      </c>
      <c r="Q4" s="3559" t="s">
        <v>3573</v>
      </c>
      <c r="R4" s="3559">
        <v>2</v>
      </c>
      <c r="S4" s="3559">
        <v>48</v>
      </c>
      <c r="T4" s="3559">
        <v>5210</v>
      </c>
      <c r="U4" s="3559">
        <v>25.07</v>
      </c>
      <c r="V4" s="3559" t="s">
        <v>3427</v>
      </c>
      <c r="W4" s="3559" t="s">
        <v>3427</v>
      </c>
      <c r="X4" s="3559">
        <v>495</v>
      </c>
      <c r="Y4" s="3559">
        <v>12532</v>
      </c>
    </row>
    <row r="5" spans="3:25" ht="14.25">
      <c r="Q5" s="3559" t="s">
        <v>4872</v>
      </c>
      <c r="R5" s="3559">
        <v>3</v>
      </c>
      <c r="S5" s="3559">
        <v>75</v>
      </c>
      <c r="T5" s="3559">
        <v>5202</v>
      </c>
      <c r="U5" s="3559">
        <v>39</v>
      </c>
      <c r="V5" s="3559" t="s">
        <v>3427</v>
      </c>
      <c r="W5" s="3559" t="s">
        <v>3427</v>
      </c>
      <c r="X5" s="3559">
        <v>497</v>
      </c>
      <c r="Y5" s="3559">
        <v>12580</v>
      </c>
    </row>
    <row r="6" spans="3:25" ht="14.25">
      <c r="C6" s="1405" t="s">
        <v>4893</v>
      </c>
      <c r="D6" s="3480" t="s">
        <v>4877</v>
      </c>
      <c r="E6" s="3480" t="s">
        <v>3419</v>
      </c>
      <c r="F6" s="3480" t="s">
        <v>3420</v>
      </c>
      <c r="G6" s="3480" t="s">
        <v>4878</v>
      </c>
      <c r="H6" s="3480" t="s">
        <v>4879</v>
      </c>
      <c r="I6" s="3480" t="s">
        <v>4880</v>
      </c>
      <c r="J6" s="3480" t="s">
        <v>4881</v>
      </c>
      <c r="K6" s="3480" t="s">
        <v>4882</v>
      </c>
      <c r="L6" s="3480" t="s">
        <v>4883</v>
      </c>
      <c r="Q6" s="3559" t="s">
        <v>3495</v>
      </c>
      <c r="R6" s="3559">
        <v>8</v>
      </c>
      <c r="S6" s="3559">
        <v>196</v>
      </c>
      <c r="T6" s="3559">
        <v>5214</v>
      </c>
      <c r="U6" s="3559">
        <v>102.05</v>
      </c>
      <c r="V6" s="3559" t="s">
        <v>3427</v>
      </c>
      <c r="W6" s="3559" t="s">
        <v>3427</v>
      </c>
      <c r="X6" s="3559">
        <v>501</v>
      </c>
      <c r="Y6" s="3559">
        <v>12680</v>
      </c>
    </row>
    <row r="7" spans="3:25" ht="14.25">
      <c r="D7" s="3554" t="s">
        <v>4871</v>
      </c>
      <c r="E7" s="3554">
        <v>178</v>
      </c>
      <c r="F7" s="3554">
        <v>5682</v>
      </c>
      <c r="G7" s="3554">
        <v>4482</v>
      </c>
      <c r="H7" s="3554">
        <v>2546.56</v>
      </c>
      <c r="I7" s="3554">
        <v>757</v>
      </c>
      <c r="J7" s="3554">
        <v>24333</v>
      </c>
      <c r="K7" s="3554">
        <v>4</v>
      </c>
      <c r="L7" s="3554">
        <v>112</v>
      </c>
      <c r="Q7" s="3559" t="s">
        <v>4873</v>
      </c>
      <c r="R7" s="3559">
        <v>8</v>
      </c>
      <c r="S7" s="3559">
        <v>193</v>
      </c>
      <c r="T7" s="3559">
        <v>5212</v>
      </c>
      <c r="U7" s="3559">
        <v>100.57</v>
      </c>
      <c r="V7" s="3559" t="s">
        <v>3427</v>
      </c>
      <c r="W7" s="3559" t="s">
        <v>3427</v>
      </c>
      <c r="X7" s="3559">
        <v>509</v>
      </c>
      <c r="Y7" s="3559">
        <v>12876</v>
      </c>
    </row>
    <row r="8" spans="3:25" ht="14.25">
      <c r="D8" s="3569" t="s">
        <v>4874</v>
      </c>
      <c r="E8" s="3569">
        <v>1</v>
      </c>
      <c r="F8" s="3569">
        <v>32</v>
      </c>
      <c r="G8" s="3569">
        <v>2996</v>
      </c>
      <c r="H8" s="3569">
        <v>9.7200000000000006</v>
      </c>
      <c r="I8" s="3569" t="s">
        <v>3427</v>
      </c>
      <c r="J8" s="3569" t="s">
        <v>3427</v>
      </c>
      <c r="K8" s="3569">
        <v>4</v>
      </c>
      <c r="L8" s="3569">
        <v>112</v>
      </c>
      <c r="Q8" s="3559" t="s">
        <v>4874</v>
      </c>
      <c r="R8" s="3559">
        <v>97</v>
      </c>
      <c r="S8" s="3559">
        <v>2748</v>
      </c>
      <c r="T8" s="3559">
        <v>5213</v>
      </c>
      <c r="U8" s="3559">
        <v>1432.46</v>
      </c>
      <c r="V8" s="3559" t="s">
        <v>3427</v>
      </c>
      <c r="W8" s="3559" t="s">
        <v>3427</v>
      </c>
      <c r="X8" s="3559">
        <v>517</v>
      </c>
      <c r="Y8" s="3559">
        <v>13069</v>
      </c>
    </row>
    <row r="9" spans="3:25" ht="14.25">
      <c r="D9" s="3554" t="s">
        <v>4200</v>
      </c>
      <c r="E9" s="3554">
        <v>3</v>
      </c>
      <c r="F9" s="3554">
        <v>97</v>
      </c>
      <c r="G9" s="3554">
        <v>3005</v>
      </c>
      <c r="H9" s="3554">
        <v>29.24</v>
      </c>
      <c r="I9" s="3554" t="s">
        <v>3427</v>
      </c>
      <c r="J9" s="3554" t="s">
        <v>3427</v>
      </c>
      <c r="K9" s="3554" t="s">
        <v>3427</v>
      </c>
      <c r="L9" s="3554" t="s">
        <v>3427</v>
      </c>
      <c r="Q9" s="3559" t="s">
        <v>3489</v>
      </c>
      <c r="R9" s="3559">
        <v>8</v>
      </c>
      <c r="S9" s="3559">
        <v>205</v>
      </c>
      <c r="T9" s="3559">
        <v>5217</v>
      </c>
      <c r="U9" s="3559">
        <v>106.8</v>
      </c>
      <c r="V9" s="3559" t="s">
        <v>3427</v>
      </c>
      <c r="W9" s="3559" t="s">
        <v>3427</v>
      </c>
      <c r="X9" s="3559">
        <v>614</v>
      </c>
      <c r="Y9" s="3559">
        <v>15817</v>
      </c>
    </row>
    <row r="10" spans="3:25" ht="14.25">
      <c r="D10" s="3554" t="s">
        <v>4204</v>
      </c>
      <c r="E10" s="3554">
        <v>2</v>
      </c>
      <c r="F10" s="3554">
        <v>65</v>
      </c>
      <c r="G10" s="3554">
        <v>3004</v>
      </c>
      <c r="H10" s="3554">
        <v>19.489999999999998</v>
      </c>
      <c r="I10" s="3554" t="s">
        <v>3427</v>
      </c>
      <c r="J10" s="3554" t="s">
        <v>3427</v>
      </c>
      <c r="K10" s="3554" t="s">
        <v>3427</v>
      </c>
      <c r="L10" s="3554" t="s">
        <v>3427</v>
      </c>
      <c r="Q10" s="3559" t="s">
        <v>3493</v>
      </c>
      <c r="R10" s="3559">
        <v>2</v>
      </c>
      <c r="S10" s="3559">
        <v>50</v>
      </c>
      <c r="T10" s="3559">
        <v>5202</v>
      </c>
      <c r="U10" s="3559">
        <v>26.25</v>
      </c>
      <c r="V10" s="3559">
        <v>94</v>
      </c>
      <c r="W10" s="3559">
        <v>2673</v>
      </c>
      <c r="X10" s="3559">
        <v>529</v>
      </c>
      <c r="Y10" s="3559">
        <v>13376</v>
      </c>
    </row>
    <row r="11" spans="3:25" ht="14.25">
      <c r="D11" s="3554" t="s">
        <v>4203</v>
      </c>
      <c r="E11" s="3554">
        <v>1</v>
      </c>
      <c r="F11" s="3554">
        <v>32</v>
      </c>
      <c r="G11" s="3554">
        <v>3000</v>
      </c>
      <c r="H11" s="3554">
        <v>9.73</v>
      </c>
      <c r="I11" s="3554" t="s">
        <v>3427</v>
      </c>
      <c r="J11" s="3554" t="s">
        <v>3427</v>
      </c>
      <c r="K11" s="3554" t="s">
        <v>3427</v>
      </c>
      <c r="L11" s="3554" t="s">
        <v>3427</v>
      </c>
      <c r="Q11" s="3559" t="s">
        <v>3581</v>
      </c>
      <c r="R11" s="3559">
        <v>3</v>
      </c>
      <c r="S11" s="3559">
        <v>75</v>
      </c>
      <c r="T11" s="3559">
        <v>5217</v>
      </c>
      <c r="U11" s="3559">
        <v>39.11</v>
      </c>
      <c r="V11" s="3559" t="s">
        <v>3427</v>
      </c>
      <c r="W11" s="3559" t="s">
        <v>3427</v>
      </c>
      <c r="X11" s="3559">
        <v>530</v>
      </c>
      <c r="Y11" s="3559">
        <v>13402</v>
      </c>
    </row>
    <row r="12" spans="3:25" ht="14.25">
      <c r="D12" s="3554" t="s">
        <v>4884</v>
      </c>
      <c r="E12" s="3554">
        <v>1</v>
      </c>
      <c r="F12" s="3554">
        <v>25</v>
      </c>
      <c r="G12" s="3554">
        <v>3004</v>
      </c>
      <c r="H12" s="3554">
        <v>7.59</v>
      </c>
      <c r="I12" s="3554" t="s">
        <v>3427</v>
      </c>
      <c r="J12" s="3554" t="s">
        <v>3427</v>
      </c>
      <c r="K12" s="3554" t="s">
        <v>3427</v>
      </c>
      <c r="L12" s="3554" t="s">
        <v>3427</v>
      </c>
      <c r="Q12" s="3559" t="s">
        <v>3578</v>
      </c>
      <c r="R12" s="3559">
        <v>5</v>
      </c>
      <c r="S12" s="3559">
        <v>127</v>
      </c>
      <c r="T12" s="3559">
        <v>5211</v>
      </c>
      <c r="U12" s="3559">
        <v>66.11</v>
      </c>
      <c r="V12" s="3559" t="s">
        <v>3427</v>
      </c>
      <c r="W12" s="3559" t="s">
        <v>3427</v>
      </c>
      <c r="X12" s="3559">
        <v>533</v>
      </c>
      <c r="Y12" s="3559">
        <v>13477</v>
      </c>
    </row>
    <row r="13" spans="3:25" ht="14.25">
      <c r="D13" s="3554" t="s">
        <v>4885</v>
      </c>
      <c r="E13" s="3554">
        <v>2</v>
      </c>
      <c r="F13" s="3554">
        <v>56</v>
      </c>
      <c r="G13" s="3554">
        <v>3002</v>
      </c>
      <c r="H13" s="3554">
        <v>16.809999999999999</v>
      </c>
      <c r="I13" s="3554" t="s">
        <v>3427</v>
      </c>
      <c r="J13" s="3554" t="s">
        <v>3427</v>
      </c>
      <c r="K13" s="3554" t="s">
        <v>3427</v>
      </c>
      <c r="L13" s="3554" t="s">
        <v>3427</v>
      </c>
      <c r="Q13" s="3559" t="s">
        <v>4875</v>
      </c>
      <c r="R13" s="3559">
        <v>6</v>
      </c>
      <c r="S13" s="3559">
        <v>152</v>
      </c>
      <c r="T13" s="3559">
        <v>5213</v>
      </c>
      <c r="U13" s="3559">
        <v>79.16</v>
      </c>
      <c r="V13" s="3559" t="s">
        <v>3427</v>
      </c>
      <c r="W13" s="3559" t="s">
        <v>3427</v>
      </c>
      <c r="X13" s="3559">
        <v>538</v>
      </c>
      <c r="Y13" s="3559">
        <v>13603</v>
      </c>
    </row>
    <row r="14" spans="3:25" ht="14.25">
      <c r="D14" s="3569" t="s">
        <v>4886</v>
      </c>
      <c r="E14" s="3569">
        <v>1</v>
      </c>
      <c r="F14" s="3569">
        <v>32</v>
      </c>
      <c r="G14" s="3569">
        <v>5967</v>
      </c>
      <c r="H14" s="3569">
        <v>19.36</v>
      </c>
      <c r="I14" s="3569" t="s">
        <v>3427</v>
      </c>
      <c r="J14" s="3569" t="s">
        <v>3427</v>
      </c>
      <c r="K14" s="3569" t="s">
        <v>3427</v>
      </c>
      <c r="L14" s="3569" t="s">
        <v>3427</v>
      </c>
      <c r="Q14" s="3559" t="s">
        <v>4078</v>
      </c>
      <c r="R14" s="3559">
        <v>8</v>
      </c>
      <c r="S14" s="3559">
        <v>200</v>
      </c>
      <c r="T14" s="3559">
        <v>5213</v>
      </c>
      <c r="U14" s="3559">
        <v>104.24</v>
      </c>
      <c r="V14" s="3559" t="s">
        <v>3427</v>
      </c>
      <c r="W14" s="3559" t="s">
        <v>3427</v>
      </c>
      <c r="X14" s="3559">
        <v>544</v>
      </c>
      <c r="Y14" s="3559">
        <v>13755</v>
      </c>
    </row>
    <row r="15" spans="3:25" ht="14.25">
      <c r="D15" s="3554" t="s">
        <v>4887</v>
      </c>
      <c r="E15" s="3554">
        <v>1</v>
      </c>
      <c r="F15" s="3554">
        <v>32</v>
      </c>
      <c r="G15" s="3554">
        <v>3289</v>
      </c>
      <c r="H15" s="3554">
        <v>10.67</v>
      </c>
      <c r="I15" s="3554" t="s">
        <v>3427</v>
      </c>
      <c r="J15" s="3554" t="s">
        <v>3427</v>
      </c>
      <c r="K15" s="3554" t="s">
        <v>3427</v>
      </c>
      <c r="L15" s="3554" t="s">
        <v>3427</v>
      </c>
      <c r="P15" s="1405" t="s">
        <v>4904</v>
      </c>
      <c r="Q15" s="3480" t="s">
        <v>4877</v>
      </c>
      <c r="R15" s="3480" t="s">
        <v>3419</v>
      </c>
      <c r="S15" s="3480" t="s">
        <v>3420</v>
      </c>
      <c r="T15" s="3480" t="s">
        <v>4878</v>
      </c>
      <c r="U15" s="3480" t="s">
        <v>4879</v>
      </c>
      <c r="V15" s="3480" t="s">
        <v>4880</v>
      </c>
      <c r="W15" s="3480" t="s">
        <v>4881</v>
      </c>
      <c r="X15" s="3480" t="s">
        <v>4882</v>
      </c>
      <c r="Y15" s="3480" t="s">
        <v>4883</v>
      </c>
    </row>
    <row r="16" spans="3:25" ht="14.25">
      <c r="D16" s="3554" t="s">
        <v>4888</v>
      </c>
      <c r="E16" s="3554">
        <v>10</v>
      </c>
      <c r="F16" s="3554">
        <v>317</v>
      </c>
      <c r="G16" s="3554">
        <v>4605</v>
      </c>
      <c r="H16" s="3554">
        <v>146.07</v>
      </c>
      <c r="I16" s="3554" t="s">
        <v>3427</v>
      </c>
      <c r="J16" s="3554" t="s">
        <v>3427</v>
      </c>
      <c r="K16" s="3554">
        <v>1</v>
      </c>
      <c r="L16" s="3554">
        <v>32</v>
      </c>
      <c r="Q16" s="3560" t="s">
        <v>4871</v>
      </c>
      <c r="R16" s="3560">
        <v>51</v>
      </c>
      <c r="S16" s="3560">
        <v>948</v>
      </c>
      <c r="T16" s="3560">
        <v>3270</v>
      </c>
      <c r="U16" s="3560">
        <v>310.16000000000003</v>
      </c>
      <c r="V16" s="3560">
        <v>194</v>
      </c>
      <c r="W16" s="3560">
        <v>3833</v>
      </c>
      <c r="X16" s="3560">
        <v>142</v>
      </c>
      <c r="Y16" s="3560">
        <v>2867</v>
      </c>
    </row>
    <row r="17" spans="3:25" ht="14.25">
      <c r="D17" s="3554" t="s">
        <v>4889</v>
      </c>
      <c r="E17" s="3554">
        <v>7</v>
      </c>
      <c r="F17" s="3554">
        <v>227</v>
      </c>
      <c r="G17" s="3554">
        <v>4700</v>
      </c>
      <c r="H17" s="3554">
        <v>106.72</v>
      </c>
      <c r="I17" s="3554" t="s">
        <v>3427</v>
      </c>
      <c r="J17" s="3554" t="s">
        <v>3427</v>
      </c>
      <c r="K17" s="3554">
        <v>3</v>
      </c>
      <c r="L17" s="3554">
        <v>97</v>
      </c>
      <c r="Q17" s="3570" t="s">
        <v>4875</v>
      </c>
      <c r="R17" s="3570">
        <v>4</v>
      </c>
      <c r="S17" s="3570">
        <v>84</v>
      </c>
      <c r="T17" s="3570">
        <v>3367</v>
      </c>
      <c r="U17" s="3570">
        <v>28.32</v>
      </c>
      <c r="V17" s="3570" t="s">
        <v>3427</v>
      </c>
      <c r="W17" s="3570" t="s">
        <v>3427</v>
      </c>
      <c r="X17" s="3570">
        <v>119</v>
      </c>
      <c r="Y17" s="3570">
        <v>2559</v>
      </c>
    </row>
    <row r="18" spans="3:25" ht="14.25">
      <c r="D18" s="3554" t="s">
        <v>4890</v>
      </c>
      <c r="E18" s="3554">
        <v>1</v>
      </c>
      <c r="F18" s="3554">
        <v>32</v>
      </c>
      <c r="G18" s="3554">
        <v>5629</v>
      </c>
      <c r="H18" s="3554">
        <v>18.260000000000002</v>
      </c>
      <c r="I18" s="3554" t="s">
        <v>3427</v>
      </c>
      <c r="J18" s="3554" t="s">
        <v>3427</v>
      </c>
      <c r="K18" s="3554" t="s">
        <v>3427</v>
      </c>
      <c r="L18" s="3554" t="s">
        <v>3427</v>
      </c>
      <c r="Q18" s="3560" t="s">
        <v>4078</v>
      </c>
      <c r="R18" s="3560">
        <v>1</v>
      </c>
      <c r="S18" s="3560">
        <v>20</v>
      </c>
      <c r="T18" s="3560">
        <v>3360</v>
      </c>
      <c r="U18" s="3560">
        <v>6.79</v>
      </c>
      <c r="V18" s="3560">
        <v>23</v>
      </c>
      <c r="W18" s="3560">
        <v>308</v>
      </c>
      <c r="X18" s="3560">
        <v>123</v>
      </c>
      <c r="Y18" s="3560">
        <v>2643</v>
      </c>
    </row>
    <row r="19" spans="3:25" ht="14.25">
      <c r="D19" s="3554" t="s">
        <v>4891</v>
      </c>
      <c r="E19" s="3554">
        <v>11</v>
      </c>
      <c r="F19" s="3554">
        <v>350</v>
      </c>
      <c r="G19" s="3554">
        <v>5291</v>
      </c>
      <c r="H19" s="3554">
        <v>184.99</v>
      </c>
      <c r="I19" s="3554" t="s">
        <v>3427</v>
      </c>
      <c r="J19" s="3554" t="s">
        <v>3427</v>
      </c>
      <c r="K19" s="3554">
        <v>1</v>
      </c>
      <c r="L19" s="3554">
        <v>32</v>
      </c>
      <c r="Q19" s="3560" t="s">
        <v>3849</v>
      </c>
      <c r="R19" s="3560">
        <v>1</v>
      </c>
      <c r="S19" s="3560">
        <v>13</v>
      </c>
      <c r="T19" s="3560">
        <v>3367</v>
      </c>
      <c r="U19" s="3560">
        <v>4.22</v>
      </c>
      <c r="V19" s="3560">
        <v>14</v>
      </c>
      <c r="W19" s="3560">
        <v>284</v>
      </c>
      <c r="X19" s="3560">
        <v>110</v>
      </c>
      <c r="Y19" s="3560">
        <v>2380</v>
      </c>
    </row>
    <row r="20" spans="3:25" ht="14.25">
      <c r="D20" s="3554" t="s">
        <v>4892</v>
      </c>
      <c r="E20" s="3554">
        <v>7</v>
      </c>
      <c r="F20" s="3554">
        <v>227</v>
      </c>
      <c r="G20" s="3554">
        <v>4647</v>
      </c>
      <c r="H20" s="3554">
        <v>105.53</v>
      </c>
      <c r="I20" s="3554" t="s">
        <v>3427</v>
      </c>
      <c r="J20" s="3554" t="s">
        <v>3427</v>
      </c>
      <c r="K20" s="3554" t="s">
        <v>3427</v>
      </c>
      <c r="L20" s="3554" t="s">
        <v>3427</v>
      </c>
      <c r="Q20" s="3560" t="s">
        <v>3781</v>
      </c>
      <c r="R20" s="3560">
        <v>1</v>
      </c>
      <c r="S20" s="3560">
        <v>27</v>
      </c>
      <c r="T20" s="3560">
        <v>3371</v>
      </c>
      <c r="U20" s="3560">
        <v>9.25</v>
      </c>
      <c r="V20" s="3560" t="s">
        <v>3427</v>
      </c>
      <c r="W20" s="3560" t="s">
        <v>3427</v>
      </c>
      <c r="X20" s="3560">
        <v>111</v>
      </c>
      <c r="Y20" s="3560">
        <v>2392</v>
      </c>
    </row>
    <row r="21" spans="3:25" ht="14.25">
      <c r="Q21" s="3560" t="s">
        <v>4895</v>
      </c>
      <c r="R21" s="3560">
        <v>1</v>
      </c>
      <c r="S21" s="3560">
        <v>12</v>
      </c>
      <c r="T21" s="3560">
        <v>3377</v>
      </c>
      <c r="U21" s="3560">
        <v>3.96</v>
      </c>
      <c r="V21" s="3560" t="s">
        <v>3427</v>
      </c>
      <c r="W21" s="3560" t="s">
        <v>3427</v>
      </c>
      <c r="X21" s="3560">
        <v>112</v>
      </c>
      <c r="Y21" s="3560">
        <v>2419</v>
      </c>
    </row>
    <row r="22" spans="3:25" ht="14.25">
      <c r="C22" s="1405" t="s">
        <v>4894</v>
      </c>
      <c r="D22" s="3480" t="s">
        <v>4877</v>
      </c>
      <c r="E22" s="3480" t="s">
        <v>3419</v>
      </c>
      <c r="F22" s="3480" t="s">
        <v>3420</v>
      </c>
      <c r="G22" s="3480" t="s">
        <v>4878</v>
      </c>
      <c r="H22" s="3480" t="s">
        <v>4879</v>
      </c>
      <c r="I22" s="3480" t="s">
        <v>4880</v>
      </c>
      <c r="J22" s="3480" t="s">
        <v>4881</v>
      </c>
      <c r="K22" s="3480" t="s">
        <v>4882</v>
      </c>
      <c r="L22" s="3480" t="s">
        <v>4883</v>
      </c>
      <c r="Q22" s="3560" t="s">
        <v>4195</v>
      </c>
      <c r="R22" s="3560">
        <v>1</v>
      </c>
      <c r="S22" s="3560">
        <v>21</v>
      </c>
      <c r="T22" s="3560">
        <v>3367</v>
      </c>
      <c r="U22" s="3560">
        <v>7.23</v>
      </c>
      <c r="V22" s="3560" t="s">
        <v>3427</v>
      </c>
      <c r="W22" s="3560" t="s">
        <v>3427</v>
      </c>
      <c r="X22" s="3560">
        <v>113</v>
      </c>
      <c r="Y22" s="3560">
        <v>2431</v>
      </c>
    </row>
    <row r="23" spans="3:25" ht="14.25">
      <c r="D23" s="3555" t="s">
        <v>4871</v>
      </c>
      <c r="E23" s="3555">
        <v>62</v>
      </c>
      <c r="F23" s="3555">
        <v>3911</v>
      </c>
      <c r="G23" s="3555">
        <v>11927</v>
      </c>
      <c r="H23" s="3555">
        <v>4664.04</v>
      </c>
      <c r="I23" s="3555">
        <v>201</v>
      </c>
      <c r="J23" s="3555">
        <v>12545</v>
      </c>
      <c r="K23" s="3555">
        <v>17</v>
      </c>
      <c r="L23" s="3555">
        <v>2775</v>
      </c>
      <c r="P23" s="1405" t="s">
        <v>4905</v>
      </c>
      <c r="Q23" s="3480" t="s">
        <v>4877</v>
      </c>
      <c r="R23" s="3480" t="s">
        <v>3419</v>
      </c>
      <c r="S23" s="3480" t="s">
        <v>3420</v>
      </c>
      <c r="T23" s="3480" t="s">
        <v>4878</v>
      </c>
      <c r="U23" s="3480" t="s">
        <v>4879</v>
      </c>
      <c r="V23" s="3480" t="s">
        <v>4880</v>
      </c>
      <c r="W23" s="3480" t="s">
        <v>4881</v>
      </c>
      <c r="X23" s="3480" t="s">
        <v>4882</v>
      </c>
      <c r="Y23" s="3480" t="s">
        <v>4883</v>
      </c>
    </row>
    <row r="24" spans="3:25" ht="14.25">
      <c r="D24" s="3567" t="s">
        <v>4873</v>
      </c>
      <c r="E24" s="3567">
        <v>1</v>
      </c>
      <c r="F24" s="3567">
        <v>47</v>
      </c>
      <c r="G24" s="3567">
        <v>12439</v>
      </c>
      <c r="H24" s="3567">
        <v>58.45</v>
      </c>
      <c r="I24" s="3567" t="s">
        <v>3427</v>
      </c>
      <c r="J24" s="3567" t="s">
        <v>3427</v>
      </c>
      <c r="K24" s="3567">
        <v>17</v>
      </c>
      <c r="L24" s="3567">
        <v>2775</v>
      </c>
      <c r="Q24" s="3561" t="s">
        <v>4871</v>
      </c>
      <c r="R24" s="3561">
        <v>46</v>
      </c>
      <c r="S24" s="3561">
        <v>13562</v>
      </c>
      <c r="T24" s="3561">
        <v>13633</v>
      </c>
      <c r="U24" s="3561">
        <v>18489.759999999998</v>
      </c>
      <c r="V24" s="3561">
        <v>46</v>
      </c>
      <c r="W24" s="3561">
        <v>13562</v>
      </c>
      <c r="X24" s="3561" t="s">
        <v>3427</v>
      </c>
      <c r="Y24" s="3561" t="s">
        <v>3427</v>
      </c>
    </row>
    <row r="25" spans="3:25" ht="14.25">
      <c r="D25" s="3555" t="s">
        <v>4874</v>
      </c>
      <c r="E25" s="3555">
        <v>7</v>
      </c>
      <c r="F25" s="3555">
        <v>366</v>
      </c>
      <c r="G25" s="3555">
        <v>12436</v>
      </c>
      <c r="H25" s="3555">
        <v>454.64</v>
      </c>
      <c r="I25" s="3555" t="s">
        <v>3427</v>
      </c>
      <c r="J25" s="3555" t="s">
        <v>3427</v>
      </c>
      <c r="K25" s="3555">
        <v>18</v>
      </c>
      <c r="L25" s="3555">
        <v>2822</v>
      </c>
      <c r="Q25" s="3568" t="s">
        <v>4874</v>
      </c>
      <c r="R25" s="3568">
        <v>46</v>
      </c>
      <c r="S25" s="3568">
        <v>13562</v>
      </c>
      <c r="T25" s="3568">
        <v>13633</v>
      </c>
      <c r="U25" s="3568">
        <v>18489.759999999998</v>
      </c>
      <c r="V25" s="3568" t="s">
        <v>3427</v>
      </c>
      <c r="W25" s="3568" t="s">
        <v>3427</v>
      </c>
      <c r="X25" s="3568" t="s">
        <v>3427</v>
      </c>
      <c r="Y25" s="3568" t="s">
        <v>3427</v>
      </c>
    </row>
    <row r="26" spans="3:25" ht="14.25">
      <c r="Q26" s="3480" t="s">
        <v>4877</v>
      </c>
      <c r="R26" s="3480" t="s">
        <v>3419</v>
      </c>
      <c r="S26" s="3480" t="s">
        <v>3420</v>
      </c>
      <c r="T26" s="3480" t="s">
        <v>4878</v>
      </c>
      <c r="U26" s="3480" t="s">
        <v>4879</v>
      </c>
      <c r="V26" s="3480" t="s">
        <v>4880</v>
      </c>
      <c r="W26" s="3480" t="s">
        <v>4881</v>
      </c>
      <c r="X26" s="3480" t="s">
        <v>4882</v>
      </c>
      <c r="Y26" s="3480" t="s">
        <v>4883</v>
      </c>
    </row>
    <row r="27" spans="3:25" ht="14.25">
      <c r="P27" s="1405" t="s">
        <v>4906</v>
      </c>
      <c r="Q27" s="3562" t="s">
        <v>4871</v>
      </c>
      <c r="R27" s="3562">
        <v>44</v>
      </c>
      <c r="S27" s="3562">
        <v>2852</v>
      </c>
      <c r="T27" s="3562">
        <v>24993</v>
      </c>
      <c r="U27" s="3562">
        <v>7126.75</v>
      </c>
      <c r="V27" s="3562">
        <v>62</v>
      </c>
      <c r="W27" s="3562">
        <v>4047</v>
      </c>
      <c r="X27" s="3562">
        <v>18</v>
      </c>
      <c r="Y27" s="3562">
        <v>1196</v>
      </c>
    </row>
    <row r="28" spans="3:25" ht="14.25">
      <c r="C28" s="1405" t="s">
        <v>4899</v>
      </c>
      <c r="D28" s="3480" t="s">
        <v>4877</v>
      </c>
      <c r="E28" s="3480" t="s">
        <v>3419</v>
      </c>
      <c r="F28" s="3480" t="s">
        <v>3420</v>
      </c>
      <c r="G28" s="3480" t="s">
        <v>4878</v>
      </c>
      <c r="H28" s="3480" t="s">
        <v>4879</v>
      </c>
      <c r="I28" s="3480" t="s">
        <v>4880</v>
      </c>
      <c r="J28" s="3480" t="s">
        <v>4881</v>
      </c>
      <c r="K28" s="3480" t="s">
        <v>4882</v>
      </c>
      <c r="L28" s="3480" t="s">
        <v>4883</v>
      </c>
      <c r="Q28" s="3552" t="s">
        <v>4874</v>
      </c>
      <c r="R28" s="3552">
        <v>44</v>
      </c>
      <c r="S28" s="3552">
        <v>2852</v>
      </c>
      <c r="T28" s="3552">
        <v>24993</v>
      </c>
      <c r="U28" s="3552">
        <v>7126.75</v>
      </c>
      <c r="V28" s="3552" t="s">
        <v>3427</v>
      </c>
      <c r="W28" s="3552" t="s">
        <v>3427</v>
      </c>
      <c r="X28" s="3552">
        <v>18</v>
      </c>
      <c r="Y28" s="3552">
        <v>1196</v>
      </c>
    </row>
    <row r="29" spans="3:25" ht="14.25">
      <c r="D29" s="3556" t="s">
        <v>4871</v>
      </c>
      <c r="E29" s="3556">
        <v>1</v>
      </c>
      <c r="F29" s="3556">
        <v>11</v>
      </c>
      <c r="G29" s="3556">
        <v>3233</v>
      </c>
      <c r="H29" s="3556">
        <v>3.4</v>
      </c>
      <c r="I29" s="3556">
        <v>633</v>
      </c>
      <c r="J29" s="3556">
        <v>9293</v>
      </c>
      <c r="K29" s="3556">
        <v>5</v>
      </c>
      <c r="L29" s="3556">
        <v>63</v>
      </c>
      <c r="Q29" s="3562"/>
      <c r="R29" s="3562"/>
      <c r="S29" s="3562"/>
      <c r="T29" s="3562"/>
      <c r="U29" s="3562"/>
      <c r="V29" s="3562"/>
      <c r="W29" s="3562"/>
      <c r="X29" s="3562"/>
      <c r="Y29" s="3562"/>
    </row>
    <row r="30" spans="3:25" ht="14.25">
      <c r="D30" s="3570" t="s">
        <v>4897</v>
      </c>
      <c r="E30" s="3570">
        <v>1</v>
      </c>
      <c r="F30" s="3570">
        <v>11</v>
      </c>
      <c r="G30" s="3570">
        <v>3233</v>
      </c>
      <c r="H30" s="3570">
        <v>3.4</v>
      </c>
      <c r="I30" s="3570" t="s">
        <v>3427</v>
      </c>
      <c r="J30" s="3570" t="s">
        <v>3427</v>
      </c>
      <c r="K30" s="3570">
        <v>3</v>
      </c>
      <c r="L30" s="3570">
        <v>48</v>
      </c>
      <c r="Q30" s="3562"/>
      <c r="R30" s="3562"/>
      <c r="S30" s="3562"/>
      <c r="T30" s="3562"/>
      <c r="U30" s="3562"/>
      <c r="V30" s="3562"/>
      <c r="W30" s="3562"/>
      <c r="X30" s="3562"/>
      <c r="Y30" s="3562"/>
    </row>
    <row r="31" spans="3:25" ht="14.25">
      <c r="D31" s="3556" t="s">
        <v>4898</v>
      </c>
      <c r="E31" s="3556" t="s">
        <v>3427</v>
      </c>
      <c r="F31" s="3556" t="s">
        <v>3427</v>
      </c>
      <c r="G31" s="3556" t="s">
        <v>3427</v>
      </c>
      <c r="H31" s="3556" t="s">
        <v>3427</v>
      </c>
      <c r="I31" s="3556" t="s">
        <v>3427</v>
      </c>
      <c r="J31" s="3556" t="s">
        <v>3427</v>
      </c>
      <c r="K31" s="3556">
        <v>3</v>
      </c>
      <c r="L31" s="3556">
        <v>48</v>
      </c>
      <c r="Q31" s="3562"/>
      <c r="R31" s="3562"/>
      <c r="S31" s="3562"/>
      <c r="T31" s="3562"/>
      <c r="U31" s="3562"/>
      <c r="V31" s="3562"/>
      <c r="W31" s="3562"/>
      <c r="X31" s="3562"/>
      <c r="Y31" s="3562"/>
    </row>
    <row r="32" spans="3:25" ht="14.25">
      <c r="Q32" s="3562"/>
      <c r="R32" s="3562"/>
      <c r="S32" s="3562"/>
      <c r="T32" s="3562"/>
      <c r="U32" s="3562"/>
      <c r="V32" s="3562"/>
      <c r="W32" s="3562"/>
      <c r="X32" s="3562"/>
      <c r="Y32" s="3562"/>
    </row>
    <row r="34" spans="3:25" ht="14.25">
      <c r="P34" s="1405" t="s">
        <v>4907</v>
      </c>
      <c r="Q34" s="3480" t="s">
        <v>4877</v>
      </c>
      <c r="R34" s="3480" t="s">
        <v>3419</v>
      </c>
      <c r="S34" s="3480" t="s">
        <v>3420</v>
      </c>
      <c r="T34" s="3480" t="s">
        <v>4878</v>
      </c>
      <c r="U34" s="3480" t="s">
        <v>4879</v>
      </c>
      <c r="V34" s="3480" t="s">
        <v>4880</v>
      </c>
      <c r="W34" s="3480" t="s">
        <v>4881</v>
      </c>
      <c r="X34" s="3480" t="s">
        <v>4882</v>
      </c>
      <c r="Y34" s="3480" t="s">
        <v>4883</v>
      </c>
    </row>
    <row r="35" spans="3:25" ht="14.25">
      <c r="C35" s="1405" t="s">
        <v>4900</v>
      </c>
      <c r="D35" s="3480" t="s">
        <v>4877</v>
      </c>
      <c r="E35" s="3557" t="s">
        <v>3419</v>
      </c>
      <c r="F35" s="3557" t="s">
        <v>3420</v>
      </c>
      <c r="G35" s="3557" t="s">
        <v>4878</v>
      </c>
      <c r="H35" s="3557" t="s">
        <v>4879</v>
      </c>
      <c r="I35" s="3557" t="s">
        <v>4880</v>
      </c>
      <c r="J35" s="3557" t="s">
        <v>4881</v>
      </c>
      <c r="K35" s="3557" t="s">
        <v>4882</v>
      </c>
      <c r="L35" s="3557" t="s">
        <v>4883</v>
      </c>
      <c r="Q35" s="3563" t="s">
        <v>4871</v>
      </c>
      <c r="R35" s="3563">
        <v>121</v>
      </c>
      <c r="S35" s="3563">
        <v>3221</v>
      </c>
      <c r="T35" s="3563">
        <v>3785</v>
      </c>
      <c r="U35" s="3563">
        <v>1219.3900000000001</v>
      </c>
      <c r="V35" s="3563">
        <v>2263</v>
      </c>
      <c r="W35" s="3563">
        <v>43554</v>
      </c>
      <c r="X35" s="3563">
        <v>8</v>
      </c>
      <c r="Y35" s="3563">
        <v>188</v>
      </c>
    </row>
    <row r="36" spans="3:25" ht="14.25">
      <c r="D36" s="3557" t="s">
        <v>4871</v>
      </c>
      <c r="E36" s="3557">
        <v>25</v>
      </c>
      <c r="F36" s="3557">
        <v>7631</v>
      </c>
      <c r="G36" s="3557">
        <v>11998</v>
      </c>
      <c r="H36" s="3557">
        <v>9155.8799999999992</v>
      </c>
      <c r="I36" s="3557">
        <v>80</v>
      </c>
      <c r="J36" s="3557">
        <v>19629</v>
      </c>
      <c r="K36" s="3557">
        <v>14</v>
      </c>
      <c r="L36" s="3557">
        <v>1922</v>
      </c>
      <c r="Q36" s="3570" t="s">
        <v>4204</v>
      </c>
      <c r="R36" s="3570">
        <v>2</v>
      </c>
      <c r="S36" s="3570">
        <v>19</v>
      </c>
      <c r="T36" s="3570">
        <v>2722</v>
      </c>
      <c r="U36" s="3570">
        <v>5.04</v>
      </c>
      <c r="V36" s="3570" t="s">
        <v>3427</v>
      </c>
      <c r="W36" s="3570" t="s">
        <v>3427</v>
      </c>
      <c r="X36" s="3570">
        <v>21</v>
      </c>
      <c r="Y36" s="3570">
        <v>579</v>
      </c>
    </row>
    <row r="37" spans="3:25" ht="14.25">
      <c r="D37" s="3552" t="s">
        <v>4201</v>
      </c>
      <c r="E37" s="3552">
        <v>2</v>
      </c>
      <c r="F37" s="3552">
        <v>568</v>
      </c>
      <c r="G37" s="3552">
        <v>12021</v>
      </c>
      <c r="H37" s="3552">
        <v>683.08</v>
      </c>
      <c r="I37" s="3552" t="s">
        <v>3427</v>
      </c>
      <c r="J37" s="3552" t="s">
        <v>3427</v>
      </c>
      <c r="K37" s="3552">
        <v>14</v>
      </c>
      <c r="L37" s="3552">
        <v>1922</v>
      </c>
      <c r="Q37" s="3563" t="s">
        <v>4203</v>
      </c>
      <c r="R37" s="3563" t="s">
        <v>3427</v>
      </c>
      <c r="S37" s="3563" t="s">
        <v>3427</v>
      </c>
      <c r="T37" s="3563" t="s">
        <v>3427</v>
      </c>
      <c r="U37" s="3563" t="s">
        <v>3427</v>
      </c>
      <c r="V37" s="3563" t="s">
        <v>3427</v>
      </c>
      <c r="W37" s="3563" t="s">
        <v>3427</v>
      </c>
      <c r="X37" s="3563">
        <v>21</v>
      </c>
      <c r="Y37" s="3563">
        <v>579</v>
      </c>
    </row>
    <row r="38" spans="3:25" ht="14.25">
      <c r="Q38" s="3563" t="s">
        <v>4884</v>
      </c>
      <c r="R38" s="3563" t="s">
        <v>3427</v>
      </c>
      <c r="S38" s="3563" t="s">
        <v>3427</v>
      </c>
      <c r="T38" s="3563" t="s">
        <v>3427</v>
      </c>
      <c r="U38" s="3563" t="s">
        <v>3427</v>
      </c>
      <c r="V38" s="3563" t="s">
        <v>3427</v>
      </c>
      <c r="W38" s="3563" t="s">
        <v>3427</v>
      </c>
      <c r="X38" s="3563">
        <v>23</v>
      </c>
      <c r="Y38" s="3563">
        <v>598</v>
      </c>
    </row>
    <row r="39" spans="3:25" ht="14.25">
      <c r="C39" s="1405" t="s">
        <v>4901</v>
      </c>
      <c r="D39" s="3480" t="s">
        <v>4877</v>
      </c>
      <c r="E39" s="3480" t="s">
        <v>3419</v>
      </c>
      <c r="F39" s="3480" t="s">
        <v>3420</v>
      </c>
      <c r="G39" s="3480" t="s">
        <v>4878</v>
      </c>
      <c r="H39" s="3480" t="s">
        <v>4879</v>
      </c>
      <c r="I39" s="3480" t="s">
        <v>4880</v>
      </c>
      <c r="J39" s="3480" t="s">
        <v>4881</v>
      </c>
      <c r="K39" s="3480" t="s">
        <v>4882</v>
      </c>
      <c r="L39" s="3480" t="s">
        <v>4883</v>
      </c>
      <c r="Q39" s="3563" t="s">
        <v>4201</v>
      </c>
      <c r="R39" s="3563">
        <v>4</v>
      </c>
      <c r="S39" s="3563">
        <v>55</v>
      </c>
      <c r="T39" s="3563">
        <v>2729</v>
      </c>
      <c r="U39" s="3563">
        <v>15.1</v>
      </c>
      <c r="V39" s="3563" t="s">
        <v>3427</v>
      </c>
      <c r="W39" s="3563" t="s">
        <v>3427</v>
      </c>
      <c r="X39" s="3563">
        <v>23</v>
      </c>
      <c r="Y39" s="3563">
        <v>598</v>
      </c>
    </row>
    <row r="40" spans="3:25" ht="14.25">
      <c r="D40" s="3567" t="s">
        <v>4201</v>
      </c>
      <c r="E40" s="3567">
        <v>2</v>
      </c>
      <c r="F40" s="3567">
        <v>130</v>
      </c>
      <c r="G40" s="3567">
        <v>8002</v>
      </c>
      <c r="H40" s="3567">
        <v>103.85</v>
      </c>
      <c r="I40" s="3567" t="s">
        <v>3427</v>
      </c>
      <c r="J40" s="3567" t="s">
        <v>3427</v>
      </c>
      <c r="K40" s="3567">
        <v>5</v>
      </c>
      <c r="L40" s="3567">
        <v>1990</v>
      </c>
      <c r="P40" s="1405" t="s">
        <v>4908</v>
      </c>
      <c r="Q40" s="3480" t="s">
        <v>4877</v>
      </c>
      <c r="R40" s="3480" t="s">
        <v>3419</v>
      </c>
      <c r="S40" s="3480" t="s">
        <v>3420</v>
      </c>
      <c r="T40" s="3480" t="s">
        <v>4878</v>
      </c>
      <c r="U40" s="3480" t="s">
        <v>4879</v>
      </c>
      <c r="V40" s="3480" t="s">
        <v>4880</v>
      </c>
      <c r="W40" s="3480" t="s">
        <v>4881</v>
      </c>
      <c r="X40" s="3480" t="s">
        <v>4882</v>
      </c>
      <c r="Y40" s="3480" t="s">
        <v>4883</v>
      </c>
    </row>
    <row r="41" spans="3:25" ht="14.25">
      <c r="Q41" s="3564" t="s">
        <v>4871</v>
      </c>
      <c r="R41" s="3564">
        <v>287</v>
      </c>
      <c r="S41" s="3564">
        <v>40127</v>
      </c>
      <c r="T41" s="3564">
        <v>24107</v>
      </c>
      <c r="U41" s="3564">
        <v>96733.4</v>
      </c>
      <c r="V41" s="3564">
        <v>1397</v>
      </c>
      <c r="W41" s="3564">
        <v>109409</v>
      </c>
      <c r="X41" s="3564">
        <v>1</v>
      </c>
      <c r="Y41" s="3564">
        <v>102</v>
      </c>
    </row>
    <row r="42" spans="3:25" ht="14.25">
      <c r="Q42" s="3564" t="s">
        <v>3584</v>
      </c>
      <c r="R42" s="3564" t="s">
        <v>3427</v>
      </c>
      <c r="S42" s="3564" t="s">
        <v>3427</v>
      </c>
      <c r="T42" s="3564" t="s">
        <v>3427</v>
      </c>
      <c r="U42" s="3564" t="s">
        <v>3427</v>
      </c>
      <c r="V42" s="3564" t="s">
        <v>3427</v>
      </c>
      <c r="W42" s="3564" t="s">
        <v>3427</v>
      </c>
      <c r="X42" s="3564">
        <v>1</v>
      </c>
      <c r="Y42" s="3564">
        <v>102</v>
      </c>
    </row>
    <row r="43" spans="3:25" ht="14.25">
      <c r="C43" s="1405" t="s">
        <v>4902</v>
      </c>
      <c r="D43" s="3480" t="s">
        <v>4877</v>
      </c>
      <c r="E43" s="3480" t="s">
        <v>3419</v>
      </c>
      <c r="F43" s="3480" t="s">
        <v>3420</v>
      </c>
      <c r="G43" s="3480" t="s">
        <v>4878</v>
      </c>
      <c r="H43" s="3480" t="s">
        <v>4879</v>
      </c>
      <c r="I43" s="3480" t="s">
        <v>4880</v>
      </c>
      <c r="J43" s="3480" t="s">
        <v>4881</v>
      </c>
      <c r="K43" s="3480" t="s">
        <v>4882</v>
      </c>
      <c r="L43" s="3480" t="s">
        <v>4883</v>
      </c>
      <c r="Q43" s="3564" t="s">
        <v>3573</v>
      </c>
      <c r="R43" s="3564" t="s">
        <v>3427</v>
      </c>
      <c r="S43" s="3564" t="s">
        <v>3427</v>
      </c>
      <c r="T43" s="3564" t="s">
        <v>3427</v>
      </c>
      <c r="U43" s="3564" t="s">
        <v>3427</v>
      </c>
      <c r="V43" s="3564" t="s">
        <v>3427</v>
      </c>
      <c r="W43" s="3564" t="s">
        <v>3427</v>
      </c>
      <c r="X43" s="3564">
        <v>1</v>
      </c>
      <c r="Y43" s="3564">
        <v>102</v>
      </c>
    </row>
    <row r="44" spans="3:25" ht="14.25">
      <c r="D44" s="3558" t="s">
        <v>4200</v>
      </c>
      <c r="E44" s="3558" t="s">
        <v>3427</v>
      </c>
      <c r="F44" s="3558" t="s">
        <v>3427</v>
      </c>
      <c r="G44" s="3558" t="s">
        <v>3427</v>
      </c>
      <c r="H44" s="3558" t="s">
        <v>3427</v>
      </c>
      <c r="I44" s="3558" t="s">
        <v>3427</v>
      </c>
      <c r="J44" s="3558" t="s">
        <v>3427</v>
      </c>
      <c r="K44" s="3558">
        <v>69</v>
      </c>
      <c r="L44" s="3558">
        <v>1296</v>
      </c>
      <c r="Q44" s="3552" t="s">
        <v>4872</v>
      </c>
      <c r="R44" s="3552">
        <v>1</v>
      </c>
      <c r="S44" s="3552">
        <v>20793</v>
      </c>
      <c r="T44" s="3552">
        <v>24582</v>
      </c>
      <c r="U44" s="3552">
        <v>51113.08</v>
      </c>
      <c r="V44" s="3552" t="s">
        <v>3427</v>
      </c>
      <c r="W44" s="3552" t="s">
        <v>3427</v>
      </c>
      <c r="X44" s="3552">
        <v>1</v>
      </c>
      <c r="Y44" s="3552">
        <v>102</v>
      </c>
    </row>
    <row r="45" spans="3:25" ht="14.25">
      <c r="D45" s="3558" t="s">
        <v>4204</v>
      </c>
      <c r="E45" s="3558" t="s">
        <v>3427</v>
      </c>
      <c r="F45" s="3558" t="s">
        <v>3427</v>
      </c>
      <c r="G45" s="3558" t="s">
        <v>3427</v>
      </c>
      <c r="H45" s="3558" t="s">
        <v>3427</v>
      </c>
      <c r="I45" s="3558" t="s">
        <v>3427</v>
      </c>
      <c r="J45" s="3558" t="s">
        <v>3427</v>
      </c>
      <c r="K45" s="3558">
        <v>69</v>
      </c>
      <c r="L45" s="3558">
        <v>1296</v>
      </c>
      <c r="Q45" s="3564" t="s">
        <v>3495</v>
      </c>
      <c r="R45" s="3564" t="s">
        <v>3427</v>
      </c>
      <c r="S45" s="3564" t="s">
        <v>3427</v>
      </c>
      <c r="T45" s="3564" t="s">
        <v>3427</v>
      </c>
      <c r="U45" s="3564" t="s">
        <v>3427</v>
      </c>
      <c r="V45" s="3564" t="s">
        <v>3427</v>
      </c>
      <c r="W45" s="3564" t="s">
        <v>3427</v>
      </c>
      <c r="X45" s="3564">
        <v>2</v>
      </c>
      <c r="Y45" s="3564">
        <v>20895</v>
      </c>
    </row>
    <row r="46" spans="3:25" ht="14.25">
      <c r="D46" s="3570" t="s">
        <v>4203</v>
      </c>
      <c r="E46" s="3570">
        <v>1</v>
      </c>
      <c r="F46" s="3570">
        <v>7</v>
      </c>
      <c r="G46" s="3570">
        <v>3473</v>
      </c>
      <c r="H46" s="3570">
        <v>2.57</v>
      </c>
      <c r="I46" s="3570" t="s">
        <v>3427</v>
      </c>
      <c r="J46" s="3570" t="s">
        <v>3427</v>
      </c>
      <c r="K46" s="3570">
        <v>69</v>
      </c>
      <c r="L46" s="3570">
        <v>1296</v>
      </c>
      <c r="Q46" s="3564" t="s">
        <v>4873</v>
      </c>
      <c r="R46" s="3564" t="s">
        <v>3427</v>
      </c>
      <c r="S46" s="3564" t="s">
        <v>3427</v>
      </c>
      <c r="T46" s="3564" t="s">
        <v>3427</v>
      </c>
      <c r="U46" s="3564" t="s">
        <v>3427</v>
      </c>
      <c r="V46" s="3564">
        <v>1</v>
      </c>
      <c r="W46" s="3564">
        <v>20793</v>
      </c>
      <c r="X46" s="3564">
        <v>1</v>
      </c>
      <c r="Y46" s="3564">
        <v>102</v>
      </c>
    </row>
    <row r="47" spans="3:25" ht="14.25">
      <c r="Q47" s="3564" t="s">
        <v>4874</v>
      </c>
      <c r="R47" s="3564" t="s">
        <v>3427</v>
      </c>
      <c r="S47" s="3564" t="s">
        <v>3427</v>
      </c>
      <c r="T47" s="3564" t="s">
        <v>3427</v>
      </c>
      <c r="U47" s="3564" t="s">
        <v>3427</v>
      </c>
      <c r="V47" s="3564" t="s">
        <v>3427</v>
      </c>
      <c r="W47" s="3564" t="s">
        <v>3427</v>
      </c>
      <c r="X47" s="3564">
        <v>1</v>
      </c>
      <c r="Y47" s="3564">
        <v>102</v>
      </c>
    </row>
    <row r="48" spans="3:25" ht="14.25">
      <c r="Q48" s="3564" t="s">
        <v>3849</v>
      </c>
      <c r="R48" s="3564" t="s">
        <v>3427</v>
      </c>
      <c r="S48" s="3564" t="s">
        <v>3427</v>
      </c>
      <c r="T48" s="3564" t="s">
        <v>3427</v>
      </c>
      <c r="U48" s="3564" t="s">
        <v>3427</v>
      </c>
      <c r="V48" s="3564" t="s">
        <v>3427</v>
      </c>
      <c r="W48" s="3564" t="s">
        <v>3427</v>
      </c>
      <c r="X48" s="3564">
        <v>1</v>
      </c>
      <c r="Y48" s="3564">
        <v>119</v>
      </c>
    </row>
    <row r="49" spans="16:25" ht="14.25">
      <c r="Q49" s="3564" t="s">
        <v>3781</v>
      </c>
      <c r="R49" s="3564" t="s">
        <v>3427</v>
      </c>
      <c r="S49" s="3564" t="s">
        <v>3427</v>
      </c>
      <c r="T49" s="3564" t="s">
        <v>3427</v>
      </c>
      <c r="U49" s="3564" t="s">
        <v>3427</v>
      </c>
      <c r="V49" s="3564" t="s">
        <v>3427</v>
      </c>
      <c r="W49" s="3564" t="s">
        <v>3427</v>
      </c>
      <c r="X49" s="3564">
        <v>1</v>
      </c>
      <c r="Y49" s="3564">
        <v>119</v>
      </c>
    </row>
    <row r="50" spans="16:25" ht="14.25">
      <c r="Q50" s="3564" t="s">
        <v>4895</v>
      </c>
      <c r="R50" s="3564" t="s">
        <v>3427</v>
      </c>
      <c r="S50" s="3564" t="s">
        <v>3427</v>
      </c>
      <c r="T50" s="3564" t="s">
        <v>3427</v>
      </c>
      <c r="U50" s="3564" t="s">
        <v>3427</v>
      </c>
      <c r="V50" s="3564" t="s">
        <v>3427</v>
      </c>
      <c r="W50" s="3564" t="s">
        <v>3427</v>
      </c>
      <c r="X50" s="3564">
        <v>1</v>
      </c>
      <c r="Y50" s="3564">
        <v>119</v>
      </c>
    </row>
    <row r="51" spans="16:25" ht="14.25">
      <c r="Q51" s="3564" t="s">
        <v>4195</v>
      </c>
      <c r="R51" s="3564" t="s">
        <v>3427</v>
      </c>
      <c r="S51" s="3564" t="s">
        <v>3427</v>
      </c>
      <c r="T51" s="3564" t="s">
        <v>3427</v>
      </c>
      <c r="U51" s="3564" t="s">
        <v>3427</v>
      </c>
      <c r="V51" s="3564" t="s">
        <v>3427</v>
      </c>
      <c r="W51" s="3564" t="s">
        <v>3427</v>
      </c>
      <c r="X51" s="3564">
        <v>1</v>
      </c>
      <c r="Y51" s="3564">
        <v>119</v>
      </c>
    </row>
    <row r="52" spans="16:25" ht="14.25">
      <c r="Q52" s="3564" t="s">
        <v>4162</v>
      </c>
      <c r="R52" s="3564" t="s">
        <v>3427</v>
      </c>
      <c r="S52" s="3564" t="s">
        <v>3427</v>
      </c>
      <c r="T52" s="3564" t="s">
        <v>3427</v>
      </c>
      <c r="U52" s="3564" t="s">
        <v>3427</v>
      </c>
      <c r="V52" s="3564" t="s">
        <v>3427</v>
      </c>
      <c r="W52" s="3564" t="s">
        <v>3427</v>
      </c>
      <c r="X52" s="3564">
        <v>1</v>
      </c>
      <c r="Y52" s="3564">
        <v>119</v>
      </c>
    </row>
    <row r="53" spans="16:25" ht="14.25">
      <c r="Q53" s="3564" t="s">
        <v>4159</v>
      </c>
      <c r="R53" s="3564">
        <v>2</v>
      </c>
      <c r="S53" s="3564">
        <v>144</v>
      </c>
      <c r="T53" s="3564">
        <v>24624</v>
      </c>
      <c r="U53" s="3564">
        <v>354.51</v>
      </c>
      <c r="V53" s="3564" t="s">
        <v>3427</v>
      </c>
      <c r="W53" s="3564" t="s">
        <v>3427</v>
      </c>
      <c r="X53" s="3564">
        <v>1</v>
      </c>
      <c r="Y53" s="3564">
        <v>119</v>
      </c>
    </row>
    <row r="54" spans="16:25" ht="14.25">
      <c r="Q54" s="3564" t="s">
        <v>4200</v>
      </c>
      <c r="R54" s="3564" t="s">
        <v>3427</v>
      </c>
      <c r="S54" s="3564" t="s">
        <v>3427</v>
      </c>
      <c r="T54" s="3564" t="s">
        <v>3427</v>
      </c>
      <c r="U54" s="3564" t="s">
        <v>3427</v>
      </c>
      <c r="V54" s="3564" t="s">
        <v>3427</v>
      </c>
      <c r="W54" s="3564" t="s">
        <v>3427</v>
      </c>
      <c r="X54" s="3564">
        <v>3</v>
      </c>
      <c r="Y54" s="3564">
        <v>263</v>
      </c>
    </row>
    <row r="55" spans="16:25" ht="14.25">
      <c r="Q55" s="3564" t="s">
        <v>4204</v>
      </c>
      <c r="R55" s="3564" t="s">
        <v>3427</v>
      </c>
      <c r="S55" s="3564" t="s">
        <v>3427</v>
      </c>
      <c r="T55" s="3564" t="s">
        <v>3427</v>
      </c>
      <c r="U55" s="3564" t="s">
        <v>3427</v>
      </c>
      <c r="V55" s="3564" t="s">
        <v>3427</v>
      </c>
      <c r="W55" s="3564" t="s">
        <v>3427</v>
      </c>
      <c r="X55" s="3564">
        <v>3</v>
      </c>
      <c r="Y55" s="3564">
        <v>263</v>
      </c>
    </row>
    <row r="56" spans="16:25" ht="14.25">
      <c r="Q56" s="3564" t="s">
        <v>4203</v>
      </c>
      <c r="R56" s="3564" t="s">
        <v>3427</v>
      </c>
      <c r="S56" s="3564" t="s">
        <v>3427</v>
      </c>
      <c r="T56" s="3564" t="s">
        <v>3427</v>
      </c>
      <c r="U56" s="3564" t="s">
        <v>3427</v>
      </c>
      <c r="V56" s="3564" t="s">
        <v>3427</v>
      </c>
      <c r="W56" s="3564" t="s">
        <v>3427</v>
      </c>
      <c r="X56" s="3564">
        <v>3</v>
      </c>
      <c r="Y56" s="3564">
        <v>263</v>
      </c>
    </row>
    <row r="57" spans="16:25" ht="14.25">
      <c r="Q57" s="3564" t="s">
        <v>4884</v>
      </c>
      <c r="R57" s="3564">
        <v>1</v>
      </c>
      <c r="S57" s="3564">
        <v>271</v>
      </c>
      <c r="T57" s="3564">
        <v>24566</v>
      </c>
      <c r="U57" s="3564">
        <v>665.33</v>
      </c>
      <c r="V57" s="3564" t="s">
        <v>3427</v>
      </c>
      <c r="W57" s="3564" t="s">
        <v>3427</v>
      </c>
      <c r="X57" s="3564">
        <v>3</v>
      </c>
      <c r="Y57" s="3564">
        <v>263</v>
      </c>
    </row>
    <row r="58" spans="16:25" ht="14.25">
      <c r="Q58" s="3564" t="s">
        <v>4201</v>
      </c>
      <c r="R58" s="3564">
        <v>2</v>
      </c>
      <c r="S58" s="3564">
        <v>74</v>
      </c>
      <c r="T58" s="3564">
        <v>24660</v>
      </c>
      <c r="U58" s="3564">
        <v>182.44</v>
      </c>
      <c r="V58" s="3564" t="s">
        <v>3427</v>
      </c>
      <c r="W58" s="3564" t="s">
        <v>3427</v>
      </c>
      <c r="X58" s="3564">
        <v>3</v>
      </c>
      <c r="Y58" s="3564">
        <v>263</v>
      </c>
    </row>
    <row r="59" spans="16:25" ht="14.25">
      <c r="Q59" s="3564" t="s">
        <v>4885</v>
      </c>
      <c r="R59" s="3564" t="s">
        <v>3427</v>
      </c>
      <c r="S59" s="3564" t="s">
        <v>3427</v>
      </c>
      <c r="T59" s="3564" t="s">
        <v>3427</v>
      </c>
      <c r="U59" s="3564" t="s">
        <v>3427</v>
      </c>
      <c r="V59" s="3564" t="s">
        <v>3427</v>
      </c>
      <c r="W59" s="3564" t="s">
        <v>3427</v>
      </c>
      <c r="X59" s="3564">
        <v>3</v>
      </c>
      <c r="Y59" s="3564">
        <v>263</v>
      </c>
    </row>
    <row r="60" spans="16:25" ht="14.25">
      <c r="Q60" s="3564" t="s">
        <v>4896</v>
      </c>
      <c r="R60" s="3564">
        <v>1</v>
      </c>
      <c r="S60" s="3564">
        <v>52</v>
      </c>
      <c r="T60" s="3564">
        <v>24667</v>
      </c>
      <c r="U60" s="3564">
        <v>128.94</v>
      </c>
      <c r="V60" s="3564" t="s">
        <v>3427</v>
      </c>
      <c r="W60" s="3564" t="s">
        <v>3427</v>
      </c>
      <c r="X60" s="3564">
        <v>3</v>
      </c>
      <c r="Y60" s="3564">
        <v>263</v>
      </c>
    </row>
    <row r="61" spans="16:25" ht="14.25">
      <c r="P61" s="1405" t="s">
        <v>4909</v>
      </c>
      <c r="Q61" s="3480" t="s">
        <v>4877</v>
      </c>
      <c r="R61" s="3480" t="s">
        <v>3419</v>
      </c>
      <c r="S61" s="3480" t="s">
        <v>3420</v>
      </c>
      <c r="T61" s="3480" t="s">
        <v>4878</v>
      </c>
      <c r="U61" s="3480" t="s">
        <v>4879</v>
      </c>
      <c r="V61" s="3480" t="s">
        <v>4880</v>
      </c>
      <c r="W61" s="3480" t="s">
        <v>4881</v>
      </c>
      <c r="X61" s="3480" t="s">
        <v>4882</v>
      </c>
      <c r="Y61" s="3480" t="s">
        <v>4883</v>
      </c>
    </row>
    <row r="62" spans="16:25" ht="14.25">
      <c r="Q62" s="3565" t="s">
        <v>4871</v>
      </c>
      <c r="R62" s="3565">
        <v>1140</v>
      </c>
      <c r="S62" s="3565">
        <v>35549</v>
      </c>
      <c r="T62" s="3565">
        <v>5097</v>
      </c>
      <c r="U62" s="3565">
        <v>18119.63</v>
      </c>
      <c r="V62" s="3565">
        <v>3223</v>
      </c>
      <c r="W62" s="3565">
        <v>102339</v>
      </c>
      <c r="X62" s="3565">
        <v>83</v>
      </c>
      <c r="Y62" s="3565">
        <v>2049</v>
      </c>
    </row>
    <row r="63" spans="16:25" ht="14.25">
      <c r="Q63" s="3569" t="s">
        <v>3584</v>
      </c>
      <c r="R63" s="3569">
        <v>4</v>
      </c>
      <c r="S63" s="3569">
        <v>120</v>
      </c>
      <c r="T63" s="3569">
        <v>5181</v>
      </c>
      <c r="U63" s="3569">
        <v>61.97</v>
      </c>
      <c r="V63" s="3569" t="s">
        <v>3427</v>
      </c>
      <c r="W63" s="3569" t="s">
        <v>3427</v>
      </c>
      <c r="X63" s="3569">
        <v>83</v>
      </c>
      <c r="Y63" s="3569">
        <v>2049</v>
      </c>
    </row>
    <row r="64" spans="16:25" ht="14.25">
      <c r="Q64" s="3565" t="s">
        <v>3573</v>
      </c>
      <c r="R64" s="3565">
        <v>15</v>
      </c>
      <c r="S64" s="3565">
        <v>467</v>
      </c>
      <c r="T64" s="3565">
        <v>5177</v>
      </c>
      <c r="U64" s="3565">
        <v>241.73</v>
      </c>
      <c r="V64" s="3565" t="s">
        <v>3427</v>
      </c>
      <c r="W64" s="3565" t="s">
        <v>3427</v>
      </c>
      <c r="X64" s="3565">
        <v>83</v>
      </c>
      <c r="Y64" s="3565">
        <v>2049</v>
      </c>
    </row>
    <row r="65" spans="16:25" ht="14.25">
      <c r="Q65" s="3565" t="s">
        <v>4872</v>
      </c>
      <c r="R65" s="3565">
        <v>10</v>
      </c>
      <c r="S65" s="3565">
        <v>294</v>
      </c>
      <c r="T65" s="3565">
        <v>5179</v>
      </c>
      <c r="U65" s="3565">
        <v>152.01</v>
      </c>
      <c r="V65" s="3565" t="s">
        <v>3427</v>
      </c>
      <c r="W65" s="3565" t="s">
        <v>3427</v>
      </c>
      <c r="X65" s="3565">
        <v>86</v>
      </c>
      <c r="Y65" s="3565">
        <v>2143</v>
      </c>
    </row>
    <row r="66" spans="16:25" ht="14.25">
      <c r="Q66" s="3565" t="s">
        <v>3495</v>
      </c>
      <c r="R66" s="3565" t="s">
        <v>3427</v>
      </c>
      <c r="S66" s="3565" t="s">
        <v>3427</v>
      </c>
      <c r="T66" s="3565" t="s">
        <v>3427</v>
      </c>
      <c r="U66" s="3565" t="s">
        <v>3427</v>
      </c>
      <c r="V66" s="3565" t="s">
        <v>3427</v>
      </c>
      <c r="W66" s="3565" t="s">
        <v>3427</v>
      </c>
      <c r="X66" s="3565">
        <v>86</v>
      </c>
      <c r="Y66" s="3565">
        <v>2143</v>
      </c>
    </row>
    <row r="67" spans="16:25" ht="14.25">
      <c r="Q67" s="3565" t="s">
        <v>4873</v>
      </c>
      <c r="R67" s="3565">
        <v>3</v>
      </c>
      <c r="S67" s="3565">
        <v>88</v>
      </c>
      <c r="T67" s="3565">
        <v>5186</v>
      </c>
      <c r="U67" s="3565">
        <v>45.88</v>
      </c>
      <c r="V67" s="3565" t="s">
        <v>3427</v>
      </c>
      <c r="W67" s="3565" t="s">
        <v>3427</v>
      </c>
      <c r="X67" s="3565">
        <v>86</v>
      </c>
      <c r="Y67" s="3565">
        <v>2143</v>
      </c>
    </row>
    <row r="68" spans="16:25" ht="14.25">
      <c r="Q68" s="3565" t="s">
        <v>4874</v>
      </c>
      <c r="R68" s="3565">
        <v>2</v>
      </c>
      <c r="S68" s="3565">
        <v>62</v>
      </c>
      <c r="T68" s="3565">
        <v>5182</v>
      </c>
      <c r="U68" s="3565">
        <v>32.26</v>
      </c>
      <c r="V68" s="3565" t="s">
        <v>3427</v>
      </c>
      <c r="W68" s="3565" t="s">
        <v>3427</v>
      </c>
      <c r="X68" s="3565">
        <v>88</v>
      </c>
      <c r="Y68" s="3565">
        <v>2202</v>
      </c>
    </row>
    <row r="69" spans="16:25" ht="14.25">
      <c r="Q69" s="3565" t="s">
        <v>3489</v>
      </c>
      <c r="R69" s="3565">
        <v>1</v>
      </c>
      <c r="S69" s="3565">
        <v>29</v>
      </c>
      <c r="T69" s="3565">
        <v>5182</v>
      </c>
      <c r="U69" s="3565">
        <v>15.28</v>
      </c>
      <c r="V69" s="3565" t="s">
        <v>3427</v>
      </c>
      <c r="W69" s="3565" t="s">
        <v>3427</v>
      </c>
      <c r="X69" s="3565">
        <v>86</v>
      </c>
      <c r="Y69" s="3565">
        <v>2142</v>
      </c>
    </row>
    <row r="70" spans="16:25" ht="14.25">
      <c r="Q70" s="3565" t="s">
        <v>3493</v>
      </c>
      <c r="R70" s="3565">
        <v>2</v>
      </c>
      <c r="S70" s="3565">
        <v>69</v>
      </c>
      <c r="T70" s="3565">
        <v>5187</v>
      </c>
      <c r="U70" s="3565">
        <v>35.76</v>
      </c>
      <c r="V70" s="3565" t="s">
        <v>3427</v>
      </c>
      <c r="W70" s="3565" t="s">
        <v>3427</v>
      </c>
      <c r="X70" s="3565">
        <v>89</v>
      </c>
      <c r="Y70" s="3565">
        <v>2234</v>
      </c>
    </row>
    <row r="71" spans="16:25" ht="14.25">
      <c r="Q71" s="3565" t="s">
        <v>3581</v>
      </c>
      <c r="R71" s="3565">
        <v>9</v>
      </c>
      <c r="S71" s="3565">
        <v>279</v>
      </c>
      <c r="T71" s="3565">
        <v>5179</v>
      </c>
      <c r="U71" s="3565">
        <v>144.26</v>
      </c>
      <c r="V71" s="3565" t="s">
        <v>3427</v>
      </c>
      <c r="W71" s="3565" t="s">
        <v>3427</v>
      </c>
      <c r="X71" s="3565">
        <v>88</v>
      </c>
      <c r="Y71" s="3565">
        <v>2208</v>
      </c>
    </row>
    <row r="72" spans="16:25" ht="14.25">
      <c r="Q72" s="3565" t="s">
        <v>3578</v>
      </c>
      <c r="R72" s="3565">
        <v>4</v>
      </c>
      <c r="S72" s="3565">
        <v>123</v>
      </c>
      <c r="T72" s="3565">
        <v>5177</v>
      </c>
      <c r="U72" s="3565">
        <v>63.61</v>
      </c>
      <c r="V72" s="3565" t="s">
        <v>3427</v>
      </c>
      <c r="W72" s="3565" t="s">
        <v>3427</v>
      </c>
      <c r="X72" s="3565">
        <v>90</v>
      </c>
      <c r="Y72" s="3565">
        <v>2263</v>
      </c>
    </row>
    <row r="73" spans="16:25" ht="14.25">
      <c r="Q73" s="3565" t="s">
        <v>4875</v>
      </c>
      <c r="R73" s="3565">
        <v>1</v>
      </c>
      <c r="S73" s="3565">
        <v>31</v>
      </c>
      <c r="T73" s="3565">
        <v>5169</v>
      </c>
      <c r="U73" s="3565">
        <v>16.09</v>
      </c>
      <c r="V73" s="3565" t="s">
        <v>3427</v>
      </c>
      <c r="W73" s="3565" t="s">
        <v>3427</v>
      </c>
      <c r="X73" s="3565">
        <v>88</v>
      </c>
      <c r="Y73" s="3565">
        <v>2200</v>
      </c>
    </row>
    <row r="74" spans="16:25" ht="14.25">
      <c r="Q74" s="3565" t="s">
        <v>4078</v>
      </c>
      <c r="R74" s="3565">
        <v>1</v>
      </c>
      <c r="S74" s="3565">
        <v>29</v>
      </c>
      <c r="T74" s="3565">
        <v>5182</v>
      </c>
      <c r="U74" s="3565">
        <v>15.28</v>
      </c>
      <c r="V74" s="3565" t="s">
        <v>3427</v>
      </c>
      <c r="W74" s="3565" t="s">
        <v>3427</v>
      </c>
      <c r="X74" s="3565">
        <v>165</v>
      </c>
      <c r="Y74" s="3565">
        <v>3898</v>
      </c>
    </row>
    <row r="75" spans="16:25" ht="14.25">
      <c r="Q75" s="3565" t="s">
        <v>3849</v>
      </c>
      <c r="R75" s="3565">
        <v>2</v>
      </c>
      <c r="S75" s="3565">
        <v>65</v>
      </c>
      <c r="T75" s="3565">
        <v>5189</v>
      </c>
      <c r="U75" s="3565">
        <v>33.71</v>
      </c>
      <c r="V75" s="3565" t="s">
        <v>3427</v>
      </c>
      <c r="W75" s="3565" t="s">
        <v>3427</v>
      </c>
      <c r="X75" s="3565">
        <v>182</v>
      </c>
      <c r="Y75" s="3565">
        <v>4408</v>
      </c>
    </row>
    <row r="76" spans="16:25" ht="14.25">
      <c r="Q76" s="3565" t="s">
        <v>3781</v>
      </c>
      <c r="R76" s="3565">
        <v>3</v>
      </c>
      <c r="S76" s="3565">
        <v>91</v>
      </c>
      <c r="T76" s="3565">
        <v>5184</v>
      </c>
      <c r="U76" s="3565">
        <v>47.41</v>
      </c>
      <c r="V76" s="3565">
        <v>147</v>
      </c>
      <c r="W76" s="3565">
        <v>3324</v>
      </c>
      <c r="X76" s="3565">
        <v>40</v>
      </c>
      <c r="Y76" s="3565">
        <v>1242</v>
      </c>
    </row>
    <row r="77" spans="16:25" ht="14.25">
      <c r="P77" s="1405" t="s">
        <v>4910</v>
      </c>
      <c r="Q77" s="3480" t="s">
        <v>4877</v>
      </c>
      <c r="R77" s="3480" t="s">
        <v>3419</v>
      </c>
      <c r="S77" s="3480" t="s">
        <v>3420</v>
      </c>
      <c r="T77" s="3480" t="s">
        <v>4878</v>
      </c>
      <c r="U77" s="3480" t="s">
        <v>4879</v>
      </c>
      <c r="V77" s="3480" t="s">
        <v>4880</v>
      </c>
      <c r="W77" s="3480" t="s">
        <v>4881</v>
      </c>
      <c r="X77" s="3480" t="s">
        <v>4882</v>
      </c>
      <c r="Y77" s="3480" t="s">
        <v>4883</v>
      </c>
    </row>
    <row r="78" spans="16:25" ht="14.25">
      <c r="Q78" s="3566" t="s">
        <v>4871</v>
      </c>
      <c r="R78" s="3566">
        <v>811</v>
      </c>
      <c r="S78" s="3566">
        <v>32466</v>
      </c>
      <c r="T78" s="3566">
        <v>12761</v>
      </c>
      <c r="U78" s="3566">
        <v>41428.5</v>
      </c>
      <c r="V78" s="3566">
        <v>1776</v>
      </c>
      <c r="W78" s="3566">
        <v>71524</v>
      </c>
      <c r="X78" s="3566">
        <v>1</v>
      </c>
      <c r="Y78" s="3566">
        <v>54</v>
      </c>
    </row>
    <row r="79" spans="16:25" ht="14.25">
      <c r="Q79" s="3567" t="s">
        <v>3581</v>
      </c>
      <c r="R79" s="3567">
        <v>1</v>
      </c>
      <c r="S79" s="3567">
        <v>38</v>
      </c>
      <c r="T79" s="3567">
        <v>8401</v>
      </c>
      <c r="U79" s="3567">
        <v>31.99</v>
      </c>
      <c r="V79" s="3567" t="s">
        <v>3427</v>
      </c>
      <c r="W79" s="3567" t="s">
        <v>3427</v>
      </c>
      <c r="X79" s="3567">
        <v>10</v>
      </c>
      <c r="Y79" s="3567">
        <v>428</v>
      </c>
    </row>
    <row r="80" spans="16:25" ht="14.25">
      <c r="Q80" s="3566" t="s">
        <v>3578</v>
      </c>
      <c r="R80" s="3566" t="s">
        <v>3427</v>
      </c>
      <c r="S80" s="3566" t="s">
        <v>3427</v>
      </c>
      <c r="T80" s="3566" t="s">
        <v>3427</v>
      </c>
      <c r="U80" s="3566" t="s">
        <v>3427</v>
      </c>
      <c r="V80" s="3566" t="s">
        <v>3427</v>
      </c>
      <c r="W80" s="3566" t="s">
        <v>3427</v>
      </c>
      <c r="X80" s="3566">
        <v>4</v>
      </c>
      <c r="Y80" s="3566">
        <v>177</v>
      </c>
    </row>
    <row r="81" spans="17:25" ht="14.25">
      <c r="Q81" s="3566" t="s">
        <v>4875</v>
      </c>
      <c r="R81" s="3566" t="s">
        <v>3427</v>
      </c>
      <c r="S81" s="3566" t="s">
        <v>3427</v>
      </c>
      <c r="T81" s="3566" t="s">
        <v>3427</v>
      </c>
      <c r="U81" s="3566" t="s">
        <v>3427</v>
      </c>
      <c r="V81" s="3566" t="s">
        <v>3427</v>
      </c>
      <c r="W81" s="3566" t="s">
        <v>3427</v>
      </c>
      <c r="X81" s="3566">
        <v>1</v>
      </c>
      <c r="Y81" s="3566">
        <v>54</v>
      </c>
    </row>
    <row r="82" spans="17:25" ht="14.25">
      <c r="Q82" s="3566" t="s">
        <v>4078</v>
      </c>
      <c r="R82" s="3566">
        <v>2</v>
      </c>
      <c r="S82" s="3566">
        <v>76</v>
      </c>
      <c r="T82" s="3566">
        <v>8546</v>
      </c>
      <c r="U82" s="3566">
        <v>65.040000000000006</v>
      </c>
      <c r="V82" s="3566" t="s">
        <v>3427</v>
      </c>
      <c r="W82" s="3566" t="s">
        <v>3427</v>
      </c>
      <c r="X82" s="3566">
        <v>1</v>
      </c>
      <c r="Y82" s="3566">
        <v>54</v>
      </c>
    </row>
    <row r="83" spans="17:25" ht="14.25">
      <c r="Q83" s="3566" t="s">
        <v>3849</v>
      </c>
      <c r="R83" s="3566">
        <v>3</v>
      </c>
      <c r="S83" s="3566">
        <v>114</v>
      </c>
      <c r="T83" s="3566">
        <v>8467</v>
      </c>
      <c r="U83" s="3566">
        <v>96.73</v>
      </c>
      <c r="V83" s="3566" t="s">
        <v>3427</v>
      </c>
      <c r="W83" s="3566" t="s">
        <v>3427</v>
      </c>
      <c r="X83" s="3566">
        <v>1</v>
      </c>
      <c r="Y83" s="3566">
        <v>54</v>
      </c>
    </row>
    <row r="84" spans="17:25" ht="14.25">
      <c r="Q84" s="3566" t="s">
        <v>3781</v>
      </c>
      <c r="R84" s="3566">
        <v>3</v>
      </c>
      <c r="S84" s="3566">
        <v>150</v>
      </c>
      <c r="T84" s="3566">
        <v>8335</v>
      </c>
      <c r="U84" s="3566">
        <v>124.75</v>
      </c>
      <c r="V84" s="3566" t="s">
        <v>3427</v>
      </c>
      <c r="W84" s="3566" t="s">
        <v>3427</v>
      </c>
      <c r="X84" s="3566">
        <v>7</v>
      </c>
      <c r="Y84" s="3566">
        <v>306</v>
      </c>
    </row>
    <row r="85" spans="17:25" ht="14.25">
      <c r="Q85" s="3566" t="s">
        <v>4895</v>
      </c>
      <c r="R85" s="3566">
        <v>10</v>
      </c>
      <c r="S85" s="3566">
        <v>386</v>
      </c>
      <c r="T85" s="3566">
        <v>8391</v>
      </c>
      <c r="U85" s="3566">
        <v>324.27999999999997</v>
      </c>
      <c r="V85" s="3566" t="s">
        <v>3427</v>
      </c>
      <c r="W85" s="3566" t="s">
        <v>3427</v>
      </c>
      <c r="X85" s="3566">
        <v>9</v>
      </c>
      <c r="Y85" s="3566">
        <v>416</v>
      </c>
    </row>
    <row r="86" spans="17:25" ht="14.25">
      <c r="Q86" s="3566"/>
      <c r="R86" s="3566"/>
      <c r="S86" s="3566"/>
      <c r="T86" s="3566"/>
      <c r="U86" s="3566"/>
      <c r="V86" s="3566"/>
      <c r="W86" s="3566"/>
      <c r="X86" s="3566"/>
      <c r="Y86" s="3566"/>
    </row>
    <row r="94" spans="17:25" ht="14.25">
      <c r="Q94" s="3566"/>
      <c r="R94" s="3566"/>
      <c r="S94" s="3566"/>
      <c r="T94" s="3566"/>
      <c r="U94" s="3566"/>
      <c r="V94" s="3566"/>
      <c r="W94" s="3566"/>
      <c r="X94" s="3566"/>
      <c r="Y94" s="3566"/>
    </row>
  </sheetData>
  <mergeCells count="127">
    <mergeCell ref="V77"/>
    <mergeCell ref="W77"/>
    <mergeCell ref="X77"/>
    <mergeCell ref="Y77"/>
    <mergeCell ref="Q77"/>
    <mergeCell ref="R77"/>
    <mergeCell ref="S77"/>
    <mergeCell ref="T77"/>
    <mergeCell ref="U77"/>
    <mergeCell ref="V61"/>
    <mergeCell ref="W61"/>
    <mergeCell ref="X61"/>
    <mergeCell ref="Y61"/>
    <mergeCell ref="Q61"/>
    <mergeCell ref="R61"/>
    <mergeCell ref="S61"/>
    <mergeCell ref="T61"/>
    <mergeCell ref="U61"/>
    <mergeCell ref="V40"/>
    <mergeCell ref="W40"/>
    <mergeCell ref="X40"/>
    <mergeCell ref="Y40"/>
    <mergeCell ref="Q40"/>
    <mergeCell ref="R40"/>
    <mergeCell ref="S40"/>
    <mergeCell ref="T40"/>
    <mergeCell ref="U40"/>
    <mergeCell ref="V34"/>
    <mergeCell ref="W34"/>
    <mergeCell ref="X34"/>
    <mergeCell ref="Y34"/>
    <mergeCell ref="Q34"/>
    <mergeCell ref="R34"/>
    <mergeCell ref="S34"/>
    <mergeCell ref="T34"/>
    <mergeCell ref="U34"/>
    <mergeCell ref="V26"/>
    <mergeCell ref="W26"/>
    <mergeCell ref="X26"/>
    <mergeCell ref="Y26"/>
    <mergeCell ref="Q26"/>
    <mergeCell ref="R26"/>
    <mergeCell ref="S26"/>
    <mergeCell ref="T26"/>
    <mergeCell ref="U26"/>
    <mergeCell ref="V23"/>
    <mergeCell ref="W23"/>
    <mergeCell ref="X23"/>
    <mergeCell ref="Y23"/>
    <mergeCell ref="Q23"/>
    <mergeCell ref="R23"/>
    <mergeCell ref="S23"/>
    <mergeCell ref="T23"/>
    <mergeCell ref="U23"/>
    <mergeCell ref="V15"/>
    <mergeCell ref="W15"/>
    <mergeCell ref="X15"/>
    <mergeCell ref="Y15"/>
    <mergeCell ref="Q15"/>
    <mergeCell ref="R15"/>
    <mergeCell ref="S15"/>
    <mergeCell ref="T15"/>
    <mergeCell ref="U15"/>
    <mergeCell ref="V1"/>
    <mergeCell ref="W1"/>
    <mergeCell ref="X1"/>
    <mergeCell ref="Y1"/>
    <mergeCell ref="Q1"/>
    <mergeCell ref="R1"/>
    <mergeCell ref="S1"/>
    <mergeCell ref="T1"/>
    <mergeCell ref="U1"/>
    <mergeCell ref="I43"/>
    <mergeCell ref="J43"/>
    <mergeCell ref="K43"/>
    <mergeCell ref="L43"/>
    <mergeCell ref="D43"/>
    <mergeCell ref="E43"/>
    <mergeCell ref="F43"/>
    <mergeCell ref="G43"/>
    <mergeCell ref="H43"/>
    <mergeCell ref="I39"/>
    <mergeCell ref="J39"/>
    <mergeCell ref="K39"/>
    <mergeCell ref="L39"/>
    <mergeCell ref="D39"/>
    <mergeCell ref="E39"/>
    <mergeCell ref="F39"/>
    <mergeCell ref="G39"/>
    <mergeCell ref="H39"/>
    <mergeCell ref="D35"/>
    <mergeCell ref="I28"/>
    <mergeCell ref="J28"/>
    <mergeCell ref="K28"/>
    <mergeCell ref="L28"/>
    <mergeCell ref="D28"/>
    <mergeCell ref="E28"/>
    <mergeCell ref="F28"/>
    <mergeCell ref="G28"/>
    <mergeCell ref="H28"/>
    <mergeCell ref="I22"/>
    <mergeCell ref="J22"/>
    <mergeCell ref="K22"/>
    <mergeCell ref="L22"/>
    <mergeCell ref="D22"/>
    <mergeCell ref="E22"/>
    <mergeCell ref="F22"/>
    <mergeCell ref="G22"/>
    <mergeCell ref="H22"/>
    <mergeCell ref="I6"/>
    <mergeCell ref="J6"/>
    <mergeCell ref="K6"/>
    <mergeCell ref="L6"/>
    <mergeCell ref="D6"/>
    <mergeCell ref="E6"/>
    <mergeCell ref="F6"/>
    <mergeCell ref="G6"/>
    <mergeCell ref="H6"/>
    <mergeCell ref="I1"/>
    <mergeCell ref="J1"/>
    <mergeCell ref="K1"/>
    <mergeCell ref="L1"/>
    <mergeCell ref="D1"/>
    <mergeCell ref="E1"/>
    <mergeCell ref="F1"/>
    <mergeCell ref="G1"/>
    <mergeCell ref="H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E575-C8A9-48B5-8878-A2B53500378C}">
  <sheetPr>
    <tabColor rgb="FFFF0000"/>
  </sheetPr>
  <dimension ref="A1:AJ512"/>
  <sheetViews>
    <sheetView view="pageBreakPreview" zoomScale="130" zoomScaleNormal="100" zoomScaleSheetLayoutView="13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59" t="str">
        <f>项目基本情况!S2</f>
        <v>房地产</v>
      </c>
      <c r="B2" s="3360"/>
      <c r="C2" s="3360"/>
      <c r="D2" s="3360"/>
      <c r="E2" s="3360"/>
      <c r="F2" s="3360"/>
      <c r="G2" s="3360"/>
      <c r="H2" s="3360"/>
      <c r="I2" s="3361"/>
    </row>
    <row r="3" spans="1:12" ht="12.75">
      <c r="A3" s="3363" t="s">
        <v>1262</v>
      </c>
      <c r="B3" s="3364"/>
      <c r="C3" s="3364"/>
      <c r="D3" s="3364"/>
      <c r="E3" s="3364"/>
      <c r="F3" s="3364"/>
      <c r="G3" s="3364"/>
      <c r="H3" s="3364"/>
      <c r="I3" s="3364"/>
    </row>
    <row r="4" spans="1:12" ht="14.25">
      <c r="A4" s="1624" t="s">
        <v>1263</v>
      </c>
      <c r="B4" s="1625" t="s">
        <v>1264</v>
      </c>
      <c r="C4" s="1626" t="s">
        <v>4766</v>
      </c>
      <c r="D4" s="1626" t="s">
        <v>4917</v>
      </c>
      <c r="E4" s="3368" t="s">
        <v>1265</v>
      </c>
      <c r="F4" s="3369"/>
      <c r="G4" s="3369"/>
      <c r="H4" s="3369"/>
      <c r="I4" s="3370"/>
      <c r="K4" s="138" t="str">
        <f>IF(ISNUMBER(FIND("比较法",'结果表-办公'!C4)),"比较法",IF(ISNUMBER(FIND("成本法",'结果表-办公'!C4)),"成本法",IF(ISNUMBER(FIND("假设开发法",'结果表-办公'!C4)),"假设开发法",IF(ISNUMBER(FIND("收益法",'结果表-办公'!C4)),"收益法","基准地价系数修正法"))))</f>
        <v>收益法</v>
      </c>
      <c r="L4" s="138"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307" t="s">
        <v>1266</v>
      </c>
      <c r="B5" s="3362">
        <v>25</v>
      </c>
      <c r="C5" s="3365"/>
      <c r="D5" s="3353"/>
      <c r="E5" s="123" t="s">
        <v>1267</v>
      </c>
      <c r="F5" s="1627"/>
      <c r="G5" s="1627"/>
      <c r="H5" s="1627"/>
      <c r="I5" s="1281"/>
    </row>
    <row r="6" spans="1:12" ht="12.75">
      <c r="A6" s="3307"/>
      <c r="B6" s="3362"/>
      <c r="C6" s="3367"/>
      <c r="D6" s="3353"/>
      <c r="E6" s="123" t="s">
        <v>1268</v>
      </c>
      <c r="F6" s="1627"/>
      <c r="G6" s="1627"/>
      <c r="H6" s="1627"/>
      <c r="I6" s="1281"/>
    </row>
    <row r="7" spans="1:12" ht="12.75">
      <c r="A7" s="3307"/>
      <c r="B7" s="3362"/>
      <c r="C7" s="3366"/>
      <c r="D7" s="3353"/>
      <c r="E7" s="123" t="s">
        <v>1269</v>
      </c>
      <c r="F7" s="1627"/>
      <c r="G7" s="1627"/>
      <c r="H7" s="1627"/>
      <c r="I7" s="1281"/>
    </row>
    <row r="8" spans="1:12" ht="12.75">
      <c r="A8" s="3307" t="s">
        <v>1270</v>
      </c>
      <c r="B8" s="3362">
        <v>15</v>
      </c>
      <c r="C8" s="3365"/>
      <c r="D8" s="3353"/>
      <c r="E8" s="123" t="s">
        <v>1271</v>
      </c>
      <c r="F8" s="1627"/>
      <c r="G8" s="1627"/>
      <c r="H8" s="1627"/>
      <c r="I8" s="1281"/>
    </row>
    <row r="9" spans="1:12" ht="12.75">
      <c r="A9" s="3307"/>
      <c r="B9" s="3362"/>
      <c r="C9" s="3366"/>
      <c r="D9" s="3353"/>
      <c r="E9" s="123" t="s">
        <v>1272</v>
      </c>
      <c r="F9" s="1627"/>
      <c r="G9" s="1627"/>
      <c r="H9" s="1627"/>
      <c r="I9" s="1281"/>
    </row>
    <row r="10" spans="1:12" ht="12.75">
      <c r="A10" s="3307" t="s">
        <v>1273</v>
      </c>
      <c r="B10" s="3362">
        <v>15</v>
      </c>
      <c r="C10" s="3365"/>
      <c r="D10" s="3353"/>
      <c r="E10" s="123" t="s">
        <v>1274</v>
      </c>
      <c r="F10" s="1627"/>
      <c r="G10" s="1627"/>
      <c r="H10" s="1627"/>
      <c r="I10" s="1281"/>
    </row>
    <row r="11" spans="1:12" ht="12.75">
      <c r="A11" s="3307"/>
      <c r="B11" s="3362"/>
      <c r="C11" s="3366"/>
      <c r="D11" s="3353"/>
      <c r="E11" s="123" t="s">
        <v>1275</v>
      </c>
      <c r="F11" s="1627"/>
      <c r="G11" s="1627"/>
      <c r="H11" s="1627"/>
      <c r="I11" s="1281"/>
    </row>
    <row r="12" spans="1:12" ht="12.75">
      <c r="A12" s="3307" t="s">
        <v>1276</v>
      </c>
      <c r="B12" s="3362">
        <v>15</v>
      </c>
      <c r="C12" s="3365"/>
      <c r="D12" s="3353"/>
      <c r="E12" s="123" t="s">
        <v>1277</v>
      </c>
      <c r="F12" s="1627"/>
      <c r="G12" s="1627"/>
      <c r="H12" s="1627"/>
      <c r="I12" s="1281"/>
    </row>
    <row r="13" spans="1:12" ht="12.75">
      <c r="A13" s="3307"/>
      <c r="B13" s="3362"/>
      <c r="C13" s="3366"/>
      <c r="D13" s="3353"/>
      <c r="E13" s="123" t="s">
        <v>1278</v>
      </c>
      <c r="F13" s="1627"/>
      <c r="G13" s="1627"/>
      <c r="H13" s="1627"/>
      <c r="I13" s="1281"/>
    </row>
    <row r="14" spans="1:12" ht="12.75">
      <c r="A14" s="3307" t="s">
        <v>1279</v>
      </c>
      <c r="B14" s="3362">
        <v>30</v>
      </c>
      <c r="C14" s="3365">
        <v>6</v>
      </c>
      <c r="D14" s="3353">
        <f>10-C14</f>
        <v>4</v>
      </c>
      <c r="E14" s="123" t="s">
        <v>1280</v>
      </c>
      <c r="F14" s="1627"/>
      <c r="G14" s="1627"/>
      <c r="H14" s="1627"/>
      <c r="I14" s="1281"/>
    </row>
    <row r="15" spans="1:12" ht="12.75">
      <c r="A15" s="3307"/>
      <c r="B15" s="3362"/>
      <c r="C15" s="3367"/>
      <c r="D15" s="3353"/>
      <c r="E15" s="123" t="s">
        <v>1281</v>
      </c>
      <c r="F15" s="1627"/>
      <c r="G15" s="1627"/>
      <c r="H15" s="1627"/>
      <c r="I15" s="1281"/>
    </row>
    <row r="16" spans="1:12" ht="12.75">
      <c r="A16" s="3307"/>
      <c r="B16" s="3362"/>
      <c r="C16" s="3366"/>
      <c r="D16" s="3353"/>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384" t="s">
        <v>2129</v>
      </c>
      <c r="F18" s="3385"/>
      <c r="G18" s="3385"/>
      <c r="H18" s="3385"/>
      <c r="I18" s="3385"/>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SUMIF(INDIRECT("'"&amp;C4&amp;"'"&amp;"!A:A"),'结果表-办公'!B19,INDIRECT("'"&amp;C4&amp;"'"&amp;"!B:B"))</f>
        <v>2009.7529999999999</v>
      </c>
      <c r="D19" s="127">
        <f ca="1">SUMIF(INDIRECT("'"&amp;D4&amp;"'"&amp;"!A:A"),'结果表-办公'!B19,INDIRECT("'"&amp;D4&amp;"'"&amp;"!B:B"))</f>
        <v>2470.2557000000002</v>
      </c>
      <c r="E19" s="1630" t="s">
        <v>1290</v>
      </c>
      <c r="F19" s="1631" t="s">
        <v>1289</v>
      </c>
      <c r="G19" s="128">
        <f ca="1">ROUND(C19*$C$18+D19*$D$18,0)</f>
        <v>2194</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SUMIF(INDIRECT("'"&amp;C4&amp;"'"&amp;"!A:A"),'结果表-办公'!B20,INDIRECT("'"&amp;C4&amp;"'"&amp;"!B:B"))</f>
        <v>6519</v>
      </c>
      <c r="D20" s="130">
        <f ca="1">SUMIF(INDIRECT("'"&amp;D4&amp;"'"&amp;"!A:A"),'结果表-办公'!B20,INDIRECT("'"&amp;D4&amp;"'"&amp;"!B:B"))</f>
        <v>8013</v>
      </c>
      <c r="E20" s="1633"/>
      <c r="F20" s="43" t="s">
        <v>1293</v>
      </c>
      <c r="G20" s="131">
        <f ca="1">ROUND(C20*$C$18+D20*$D$18,0)</f>
        <v>7117</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0.22913397815552461</v>
      </c>
      <c r="E22" s="121"/>
      <c r="F22" s="121"/>
      <c r="G22" s="121"/>
      <c r="H22" s="121"/>
      <c r="I22" s="121"/>
    </row>
    <row r="23" spans="1:36" ht="13.5" thickBot="1">
      <c r="A23" s="646"/>
      <c r="B23" s="646"/>
      <c r="C23" s="646"/>
      <c r="D23" s="646"/>
      <c r="E23" s="121"/>
      <c r="F23" s="121"/>
      <c r="G23" s="121"/>
      <c r="H23" s="121"/>
      <c r="I23" s="121"/>
    </row>
    <row r="24" spans="1:36" ht="14.25">
      <c r="A24" s="3377" t="s">
        <v>1297</v>
      </c>
      <c r="B24" s="1631" t="s">
        <v>1289</v>
      </c>
      <c r="C24" s="128">
        <f>IF(B30=0,0,D30)</f>
        <v>0</v>
      </c>
      <c r="D24" s="1637"/>
      <c r="E24" s="121"/>
      <c r="F24" s="121"/>
      <c r="G24" s="121"/>
      <c r="H24" s="121"/>
      <c r="I24" s="121"/>
    </row>
    <row r="25" spans="1:36" ht="14.25">
      <c r="A25" s="337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7117</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54" t="s">
        <v>1310</v>
      </c>
      <c r="B36" s="1652" t="s">
        <v>1311</v>
      </c>
      <c r="C36" s="137"/>
      <c r="D36" s="1653"/>
      <c r="E36" s="1567"/>
      <c r="F36" s="1654"/>
      <c r="G36" s="121"/>
      <c r="H36" s="121"/>
      <c r="I36" s="121"/>
    </row>
    <row r="37" spans="1:15" ht="15.75" thickBot="1">
      <c r="A37" s="3355"/>
      <c r="B37" s="1555" t="s">
        <v>1312</v>
      </c>
      <c r="C37" s="139"/>
      <c r="D37" s="1071"/>
      <c r="E37" s="1071"/>
      <c r="F37" s="1654"/>
      <c r="G37" s="121"/>
      <c r="H37" s="121"/>
      <c r="I37" s="121"/>
    </row>
    <row r="38" spans="1:15" ht="15.75" thickBot="1">
      <c r="A38" s="3356"/>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4" t="s">
        <v>1324</v>
      </c>
      <c r="B45" s="3375"/>
      <c r="C45" s="3376"/>
      <c r="D45" s="147" t="e">
        <f ca="1">ROUND(H101*F45,0)</f>
        <v>#REF!</v>
      </c>
      <c r="E45" s="148" t="s">
        <v>1325</v>
      </c>
      <c r="F45" s="149">
        <v>1</v>
      </c>
      <c r="G45" s="150" t="s">
        <v>1326</v>
      </c>
      <c r="H45" s="121"/>
      <c r="I45" s="121"/>
      <c r="J45" s="3294" t="s">
        <v>1327</v>
      </c>
      <c r="K45" s="3294"/>
      <c r="L45" s="3294"/>
      <c r="M45" s="3294"/>
      <c r="N45" s="3294"/>
      <c r="O45" s="3294"/>
    </row>
    <row r="46" spans="1:15" ht="14.25" customHeight="1">
      <c r="A46" s="3371" t="s">
        <v>1328</v>
      </c>
      <c r="B46" s="3372"/>
      <c r="C46" s="3372"/>
      <c r="D46" s="3372"/>
      <c r="E46" s="3372"/>
      <c r="F46" s="3372"/>
      <c r="G46" s="3373"/>
      <c r="H46" s="1668"/>
      <c r="I46" s="151"/>
      <c r="J46" s="2310">
        <v>1</v>
      </c>
      <c r="K46" s="3295" t="s">
        <v>1329</v>
      </c>
      <c r="L46" s="3295"/>
      <c r="M46" s="3296"/>
      <c r="N46" s="3296"/>
      <c r="O46" s="3296"/>
    </row>
    <row r="47" spans="1:15" ht="12" customHeight="1">
      <c r="A47" s="152" t="s">
        <v>1330</v>
      </c>
      <c r="B47" s="153"/>
      <c r="C47" s="154"/>
      <c r="D47" s="1024" t="s">
        <v>1331</v>
      </c>
      <c r="E47" s="294" t="s">
        <v>1332</v>
      </c>
      <c r="F47" s="155" t="s">
        <v>1333</v>
      </c>
      <c r="G47" s="2333" t="s">
        <v>1334</v>
      </c>
      <c r="H47" s="2334"/>
      <c r="I47" s="151"/>
      <c r="J47" s="2310">
        <v>2</v>
      </c>
      <c r="K47" s="3295" t="s">
        <v>1335</v>
      </c>
      <c r="L47" s="3295"/>
      <c r="M47" s="3297">
        <f>'数据-取费表'!B2</f>
        <v>45974</v>
      </c>
      <c r="N47" s="3297"/>
      <c r="O47" s="3297"/>
    </row>
    <row r="48" spans="1:15" ht="25.5">
      <c r="A48" s="3357"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5" t="s">
        <v>1338</v>
      </c>
      <c r="L48" s="3295"/>
      <c r="M48" s="3298" t="e">
        <f ca="1">H101</f>
        <v>#REF!</v>
      </c>
      <c r="N48" s="3298"/>
      <c r="O48" s="3298"/>
    </row>
    <row r="49" spans="1:35" ht="25.5" customHeight="1">
      <c r="A49" s="2152" t="s">
        <v>1339</v>
      </c>
      <c r="B49" s="3343" t="s">
        <v>1340</v>
      </c>
      <c r="C49" s="3343"/>
      <c r="D49" s="1478">
        <v>0</v>
      </c>
      <c r="E49" s="316" t="s">
        <v>1341</v>
      </c>
      <c r="F49" s="2233" t="s">
        <v>28</v>
      </c>
      <c r="G49" s="3326"/>
      <c r="H49" s="2134" t="s">
        <v>2132</v>
      </c>
      <c r="I49" s="2135"/>
      <c r="J49" s="2310">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8"/>
      <c r="B50" s="3343" t="s">
        <v>1342</v>
      </c>
      <c r="C50" s="3343"/>
      <c r="D50" s="2189"/>
      <c r="E50" s="323"/>
      <c r="F50" s="2233"/>
      <c r="G50" s="3327"/>
      <c r="H50" s="2136" t="s">
        <v>2133</v>
      </c>
      <c r="I50" s="2135"/>
      <c r="J50" s="3294" t="s">
        <v>1343</v>
      </c>
      <c r="K50" s="3294"/>
      <c r="L50" s="3294"/>
      <c r="M50" s="3294"/>
      <c r="N50" s="3294"/>
      <c r="O50" s="3294"/>
    </row>
    <row r="51" spans="1:35" ht="20.45" customHeight="1">
      <c r="A51" s="2339"/>
      <c r="B51" s="3343" t="s">
        <v>1344</v>
      </c>
      <c r="C51" s="3343"/>
      <c r="D51" s="1024"/>
      <c r="E51" s="319"/>
      <c r="F51" s="2233"/>
      <c r="G51" s="3328"/>
      <c r="H51" s="2136" t="s">
        <v>2134</v>
      </c>
      <c r="I51" s="2135"/>
      <c r="J51" s="2311" t="s">
        <v>1345</v>
      </c>
      <c r="K51" s="3295" t="s">
        <v>1346</v>
      </c>
      <c r="L51" s="3295"/>
      <c r="M51" s="2311" t="s">
        <v>1347</v>
      </c>
      <c r="N51" s="2311" t="s">
        <v>1348</v>
      </c>
      <c r="O51" s="2311" t="s">
        <v>1349</v>
      </c>
    </row>
    <row r="52" spans="1:35" ht="24" customHeight="1">
      <c r="A52" s="2153" t="s">
        <v>1350</v>
      </c>
      <c r="B52" s="3343" t="s">
        <v>1351</v>
      </c>
      <c r="C52" s="3343"/>
      <c r="D52" s="1024" t="e">
        <f ca="1">ROUND(D45*'数据-取费表'!B41/(1+'数据-取费表'!C42),0)</f>
        <v>#REF!</v>
      </c>
      <c r="E52" s="1256" t="s">
        <v>1352</v>
      </c>
      <c r="F52" s="2340">
        <f>'数据-取费表'!B41</f>
        <v>5.6000000000000001E-2</v>
      </c>
      <c r="G52" s="2341"/>
      <c r="H52" s="2331"/>
      <c r="I52" s="1669"/>
      <c r="J52" s="2310">
        <v>1</v>
      </c>
      <c r="K52" s="3320" t="s">
        <v>1353</v>
      </c>
      <c r="L52" s="3320"/>
      <c r="M52" s="2312" t="b">
        <f>D48</f>
        <v>0</v>
      </c>
      <c r="N52" s="2310" t="str">
        <f>E48</f>
        <v>销售额×税（费）率</v>
      </c>
      <c r="O52" s="2313">
        <f>F48</f>
        <v>5.6000000000000001E-2</v>
      </c>
    </row>
    <row r="53" spans="1:35" ht="12" customHeight="1">
      <c r="A53" s="2153" t="s">
        <v>1354</v>
      </c>
      <c r="B53" s="3344" t="s">
        <v>2289</v>
      </c>
      <c r="C53" s="3345"/>
      <c r="D53" s="1024" t="e">
        <f ca="1">ROUND(D45*'数据-取费表'!B41/(1+'数据-取费表'!C42),0)</f>
        <v>#REF!</v>
      </c>
      <c r="E53" s="1256" t="s">
        <v>1352</v>
      </c>
      <c r="F53" s="2340">
        <f>'数据-取费表'!B41</f>
        <v>5.6000000000000001E-2</v>
      </c>
      <c r="G53" s="2341"/>
      <c r="H53" s="2331"/>
      <c r="I53" s="1669"/>
      <c r="J53" s="2310">
        <v>2</v>
      </c>
      <c r="K53" s="3320" t="s">
        <v>1355</v>
      </c>
      <c r="L53" s="3320"/>
      <c r="M53" s="2312" t="e">
        <f t="shared" ref="M53:O54" ca="1" si="0">D55</f>
        <v>#REF!</v>
      </c>
      <c r="N53" s="2310" t="str">
        <f t="shared" si="0"/>
        <v>销售额×税（费）率</v>
      </c>
      <c r="O53" s="2313" t="str">
        <f t="shared" si="0"/>
        <v>免征</v>
      </c>
    </row>
    <row r="54" spans="1:35" ht="12" customHeight="1">
      <c r="A54" s="2153" t="s">
        <v>1356</v>
      </c>
      <c r="B54" s="3344" t="s">
        <v>2290</v>
      </c>
      <c r="C54" s="3345"/>
      <c r="D54" s="1024" t="e">
        <f ca="1">C68</f>
        <v>#REF!</v>
      </c>
      <c r="E54" s="319" t="s">
        <v>1357</v>
      </c>
      <c r="F54" s="2340">
        <f>'数据-取费表'!B41</f>
        <v>5.6000000000000001E-2</v>
      </c>
      <c r="G54" s="2341"/>
      <c r="H54" s="2342"/>
      <c r="I54" s="1669"/>
      <c r="J54" s="2310">
        <v>3</v>
      </c>
      <c r="K54" s="3320" t="s">
        <v>1358</v>
      </c>
      <c r="L54" s="3320"/>
      <c r="M54" s="2312" t="e">
        <f t="shared" ca="1" si="0"/>
        <v>#REF!</v>
      </c>
      <c r="N54" s="2310" t="str">
        <f t="shared" si="0"/>
        <v>增值额×税（费）率</v>
      </c>
      <c r="O54" s="2314" t="str">
        <f t="shared" si="0"/>
        <v>免征</v>
      </c>
    </row>
    <row r="55" spans="1:35" ht="24" customHeight="1">
      <c r="A55" s="3380"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t="e">
        <f ca="1">D59</f>
        <v>#REF!</v>
      </c>
      <c r="N55" s="1883" t="str">
        <f>E59</f>
        <v>差额计税</v>
      </c>
      <c r="O55" s="2316">
        <f>F59</f>
        <v>0.01</v>
      </c>
    </row>
    <row r="56" spans="1:35" ht="24.75">
      <c r="A56" s="3380"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301" t="str">
        <f>IF(项目基本情况!K6="上海银行","其他处置费用","")</f>
        <v/>
      </c>
      <c r="L56" s="3302"/>
      <c r="M56" s="2312" t="str">
        <f>IF(项目基本情况!K6="上海银行",M69,"")</f>
        <v/>
      </c>
      <c r="N56" s="3301" t="str">
        <f>IF(项目基本情况!K6="上海银行","包含处置中涉及的律师、诉讼、拍卖、评估等费用","")</f>
        <v/>
      </c>
      <c r="O56" s="3304"/>
    </row>
    <row r="57" spans="1:35" ht="12.75">
      <c r="A57" s="2153" t="s">
        <v>1339</v>
      </c>
      <c r="B57" s="3344" t="s">
        <v>1364</v>
      </c>
      <c r="C57" s="3345"/>
      <c r="D57" s="1478">
        <v>0</v>
      </c>
      <c r="E57" s="316" t="s">
        <v>1341</v>
      </c>
      <c r="F57" s="294"/>
      <c r="G57" s="2341"/>
      <c r="H57" s="2345"/>
      <c r="I57" s="1670"/>
      <c r="J57" s="3320">
        <f>IF(AND(J55="",J56=""),4,IF(项目基本情况!K6="上海银行",'结果表-办公'!J56+1,'结果表-办公'!J55+1))</f>
        <v>5</v>
      </c>
      <c r="K57" s="3320" t="s">
        <v>1365</v>
      </c>
      <c r="L57" s="2317" t="s">
        <v>1366</v>
      </c>
      <c r="M57" s="2318"/>
      <c r="N57" s="2319">
        <f ca="1">SUMIF(M52:M56,"&lt;9e307")</f>
        <v>0</v>
      </c>
      <c r="O57" s="2320"/>
      <c r="P57" s="2465" t="e">
        <f ca="1">N57/M49</f>
        <v>#VALUE!</v>
      </c>
    </row>
    <row r="58" spans="1:35" ht="24.75">
      <c r="A58" s="2153" t="s">
        <v>1350</v>
      </c>
      <c r="B58" s="3344" t="s">
        <v>1367</v>
      </c>
      <c r="C58" s="3343"/>
      <c r="D58" s="12" t="e">
        <f ca="1">IF(H58="转让取得",C81,C97)</f>
        <v>#REF!</v>
      </c>
      <c r="E58" s="1256" t="s">
        <v>1362</v>
      </c>
      <c r="F58" s="294" t="s">
        <v>28</v>
      </c>
      <c r="G58" s="2341"/>
      <c r="H58" s="2344"/>
      <c r="I58" s="1670"/>
      <c r="J58" s="3320"/>
      <c r="K58" s="3320"/>
      <c r="L58" s="2317" t="s">
        <v>1368</v>
      </c>
      <c r="M58" s="2321"/>
      <c r="N58" s="2322" t="str">
        <f ca="1">NUMBERSTRING(INT(N57*10000),2)&amp;"元整"</f>
        <v>零元整</v>
      </c>
      <c r="O58" s="2323"/>
    </row>
    <row r="59" spans="1:35" ht="24.75" thickBot="1">
      <c r="A59" s="3324" t="s">
        <v>1369</v>
      </c>
      <c r="B59" s="3325"/>
      <c r="C59" s="332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2">
        <f>J57+1</f>
        <v>6</v>
      </c>
      <c r="K59" s="3320" t="s">
        <v>1370</v>
      </c>
      <c r="L59" s="2310" t="s">
        <v>1366</v>
      </c>
      <c r="M59" s="2324"/>
      <c r="N59" s="2325" t="e">
        <f ca="1">M49-N57</f>
        <v>#VALUE!</v>
      </c>
      <c r="O59" s="2326"/>
    </row>
    <row r="60" spans="1:35" ht="12" customHeight="1">
      <c r="A60" s="1671"/>
      <c r="B60" s="646"/>
      <c r="C60" s="646"/>
      <c r="D60" s="646"/>
      <c r="E60" s="1466"/>
      <c r="F60" s="1670"/>
      <c r="G60" s="1670"/>
      <c r="H60" s="151"/>
      <c r="I60" s="121"/>
      <c r="J60" s="3323"/>
      <c r="K60" s="3320"/>
      <c r="L60" s="2317" t="s">
        <v>1368</v>
      </c>
      <c r="M60" s="2321"/>
      <c r="N60" s="2322" t="e">
        <f ca="1">NUMBERSTRING(INT(N59*10000),2)&amp;"元整"</f>
        <v>#VALUE!</v>
      </c>
      <c r="O60" s="2323"/>
    </row>
    <row r="61" spans="1:35" ht="13.5" thickBot="1">
      <c r="A61" s="3379" t="s">
        <v>1371</v>
      </c>
      <c r="B61" s="3379"/>
      <c r="C61" s="3379"/>
      <c r="D61" s="3379"/>
      <c r="E61" s="3379"/>
      <c r="F61" s="1670"/>
      <c r="G61" s="1670"/>
      <c r="H61" s="151"/>
      <c r="I61" s="121"/>
      <c r="J61" s="2310">
        <f>J59+1</f>
        <v>7</v>
      </c>
      <c r="K61" s="3320" t="s">
        <v>1372</v>
      </c>
      <c r="L61" s="3320"/>
      <c r="M61" s="2327"/>
      <c r="N61" s="2328" t="e">
        <f ca="1">ROUND(N59*10000/'数据-汇总表'!E3,0)</f>
        <v>#VALUE!</v>
      </c>
      <c r="O61" s="2329"/>
    </row>
    <row r="62" spans="1:35" ht="12.75">
      <c r="A62" s="3339" t="s">
        <v>1373</v>
      </c>
      <c r="B62" s="3340"/>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03"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03"/>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03"/>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03"/>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03"/>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03"/>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03"/>
      <c r="K69" s="1245" t="s">
        <v>1391</v>
      </c>
      <c r="L69" s="1245"/>
      <c r="M69" s="294" t="e">
        <f>ROUND(SUM(M63:M68),0)</f>
        <v>#VALUE!</v>
      </c>
      <c r="N69" s="2332" t="e">
        <f>M69/M49</f>
        <v>#VALUE!</v>
      </c>
      <c r="Z69" s="1623"/>
      <c r="AI69" s="1561"/>
    </row>
    <row r="70" spans="1:35" s="642" customFormat="1" ht="15" thickBot="1">
      <c r="A70" s="3347" t="s">
        <v>1392</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1373</v>
      </c>
      <c r="B71" s="334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44" t="s">
        <v>1400</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36" t="s">
        <v>1404</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1408</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1373</v>
      </c>
      <c r="B84" s="334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05" t="s">
        <v>2127</v>
      </c>
      <c r="H90" s="3306"/>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36" t="s">
        <v>1417</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36" t="s">
        <v>1420</v>
      </c>
      <c r="F92" s="3337"/>
      <c r="G92" s="3337"/>
      <c r="H92" s="3338"/>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36" t="s">
        <v>1404</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81" t="s">
        <v>1424</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6" t="s">
        <v>1426</v>
      </c>
      <c r="B100" s="3287"/>
      <c r="C100" s="3287"/>
      <c r="D100" s="3321"/>
      <c r="E100" s="3287" t="s">
        <v>1427</v>
      </c>
      <c r="F100" s="3287"/>
      <c r="G100" s="3287"/>
      <c r="H100" s="3321"/>
      <c r="I100" s="121"/>
    </row>
    <row r="101" spans="1:35" ht="18.75" customHeight="1">
      <c r="A101" s="3329" t="s">
        <v>1428</v>
      </c>
      <c r="B101" s="3330"/>
      <c r="C101" s="2371" t="str">
        <f>C4</f>
        <v>收益法 (元)-办公</v>
      </c>
      <c r="D101" s="2372" t="str">
        <f>D4</f>
        <v>比较法-办公</v>
      </c>
      <c r="E101" s="3299" t="s">
        <v>1429</v>
      </c>
      <c r="F101" s="3300"/>
      <c r="G101" s="1687" t="s">
        <v>1430</v>
      </c>
      <c r="H101" s="2381" t="e">
        <f ca="1">H118</f>
        <v>#REF!</v>
      </c>
      <c r="I101" s="121"/>
    </row>
    <row r="102" spans="1:35" ht="18.75" customHeight="1">
      <c r="A102" s="3331" t="s">
        <v>1431</v>
      </c>
      <c r="B102" s="2370" t="s">
        <v>1430</v>
      </c>
      <c r="C102" s="2371">
        <f ca="1">IF(D32="楼面单价",ROUND(C19,0),C19)</f>
        <v>2009.7529999999999</v>
      </c>
      <c r="D102" s="2372">
        <f ca="1">IF(D32="楼面单价",ROUND(D19,0),D19)</f>
        <v>2470.2557000000002</v>
      </c>
      <c r="E102" s="3299"/>
      <c r="F102" s="3300"/>
      <c r="G102" s="1687" t="s">
        <v>1432</v>
      </c>
      <c r="H102" s="2341" t="e">
        <f ca="1">I118</f>
        <v>#REF!</v>
      </c>
      <c r="I102" s="121"/>
    </row>
    <row r="103" spans="1:35" ht="42.75" customHeight="1">
      <c r="A103" s="3331"/>
      <c r="B103" s="2370" t="s">
        <v>1432</v>
      </c>
      <c r="C103" s="2373">
        <f ca="1">C20</f>
        <v>6519</v>
      </c>
      <c r="D103" s="2374">
        <f ca="1">D20</f>
        <v>8013</v>
      </c>
      <c r="E103" s="3292" t="s">
        <v>1433</v>
      </c>
      <c r="F103" s="3293"/>
      <c r="G103" s="1688" t="s">
        <v>1434</v>
      </c>
      <c r="H103" s="2381">
        <f>IF(D36="正常操作",H104+H105+H106,H105+H106)</f>
        <v>0</v>
      </c>
      <c r="I103" s="121"/>
    </row>
    <row r="104" spans="1:35" ht="18.75" customHeight="1">
      <c r="A104" s="333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41"/>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2" t="str">
        <f>IF(项目基本情况!E8="已注销","——","3.房地产抵押价值")</f>
        <v>3.房地产抵押价值</v>
      </c>
      <c r="F107" s="3300"/>
      <c r="G107" s="1687" t="s">
        <v>1430</v>
      </c>
      <c r="H107" s="2381" t="e">
        <f ca="1">IF(E107="——","——",H101-H103)</f>
        <v>#REF!</v>
      </c>
      <c r="I107" s="121"/>
    </row>
    <row r="108" spans="1:35" ht="18.75" customHeight="1">
      <c r="A108" s="121"/>
      <c r="B108" s="121"/>
      <c r="C108" s="121"/>
      <c r="D108" s="121"/>
      <c r="E108" s="3332"/>
      <c r="F108" s="3300"/>
      <c r="G108" s="1687" t="s">
        <v>1432</v>
      </c>
      <c r="H108" s="2341">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1430</v>
      </c>
      <c r="H109" s="2384" t="str">
        <f>IF(E109="——","——",H101-H105-H106)</f>
        <v>——</v>
      </c>
      <c r="I109" s="121"/>
    </row>
    <row r="110" spans="1:35" ht="18.75" customHeight="1">
      <c r="A110" s="121"/>
      <c r="B110" s="121"/>
      <c r="C110" s="121"/>
      <c r="D110" s="121"/>
      <c r="E110" s="3332"/>
      <c r="F110" s="3300"/>
      <c r="G110" s="1687" t="s">
        <v>1432</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1430</v>
      </c>
      <c r="H111" s="2381" t="str">
        <f>IF(E111="——","——",N59)</f>
        <v>——</v>
      </c>
      <c r="I111" s="121"/>
    </row>
    <row r="112" spans="1:35" ht="18.75" customHeight="1" thickBot="1">
      <c r="A112" s="121"/>
      <c r="B112" s="121"/>
      <c r="C112" s="121"/>
      <c r="D112" s="121"/>
      <c r="E112" s="3334"/>
      <c r="F112" s="3335"/>
      <c r="G112" s="1690" t="s">
        <v>1432</v>
      </c>
      <c r="H112" s="2385" t="str">
        <f>IF(E111="——","——",N61)</f>
        <v>——</v>
      </c>
      <c r="I112" s="121"/>
    </row>
    <row r="113" spans="1:27" ht="18.75" customHeight="1">
      <c r="A113" s="121"/>
      <c r="B113" s="121"/>
      <c r="C113" s="121"/>
      <c r="D113" s="121"/>
      <c r="E113" s="3342" t="s">
        <v>1438</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1440</v>
      </c>
      <c r="B115" s="3351"/>
      <c r="C115" s="3351"/>
      <c r="D115" s="3351"/>
      <c r="E115" s="3351"/>
      <c r="F115" s="3351"/>
      <c r="G115" s="3351"/>
      <c r="H115" s="3351"/>
      <c r="I115" s="3352"/>
    </row>
    <row r="116" spans="1:27" ht="27" customHeight="1">
      <c r="A116" s="3307" t="s">
        <v>1441</v>
      </c>
      <c r="B116" s="3311" t="s">
        <v>1442</v>
      </c>
      <c r="C116" s="3311" t="s">
        <v>1443</v>
      </c>
      <c r="D116" s="3317" t="s">
        <v>1444</v>
      </c>
      <c r="E116" s="3318"/>
      <c r="F116" s="3349" t="s">
        <v>1445</v>
      </c>
      <c r="G116" s="3349"/>
      <c r="H116" s="3307" t="s">
        <v>1446</v>
      </c>
      <c r="I116" s="3307"/>
    </row>
    <row r="117" spans="1:27" ht="18.75" customHeight="1">
      <c r="A117" s="3307"/>
      <c r="B117" s="3312"/>
      <c r="C117" s="331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7" t="s">
        <v>1450</v>
      </c>
      <c r="B119" s="3307"/>
      <c r="C119" s="3307"/>
      <c r="D119" s="3313" t="e">
        <f ca="1">NUMBERSTRING(INT(D118*10000),2)&amp;"元整"</f>
        <v>#REF!</v>
      </c>
      <c r="E119" s="3314"/>
      <c r="F119" s="3313" t="e">
        <f ca="1">NUMBERSTRING(INT(F118*10000),2)&amp;"元整"</f>
        <v>#REF!</v>
      </c>
      <c r="G119" s="3314"/>
      <c r="H119" s="3313" t="e">
        <f ca="1">NUMBERSTRING(INT(H118*10000),2)&amp;"元整"</f>
        <v>#REF!</v>
      </c>
      <c r="I119" s="3314"/>
    </row>
    <row r="120" spans="1:27" ht="18.75" customHeight="1">
      <c r="A120" s="3308" t="str">
        <f>IF(项目基本情况!B9="房地产市场价值","",MID(E103,3,LEN(E103)-2))</f>
        <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3" t="s">
        <v>1450</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
      </c>
      <c r="B122" s="3319"/>
      <c r="C122" s="3319"/>
      <c r="D122" s="3308" t="e">
        <f ca="1">H107</f>
        <v>#REF!</v>
      </c>
      <c r="E122" s="3309"/>
      <c r="F122" s="3309"/>
      <c r="G122" s="3309"/>
      <c r="H122" s="3309"/>
      <c r="I122" s="3310"/>
      <c r="AA122" s="684"/>
    </row>
    <row r="123" spans="1:27" ht="18.75" customHeight="1">
      <c r="A123" s="3307" t="s">
        <v>1450</v>
      </c>
      <c r="B123" s="3307"/>
      <c r="C123" s="3307"/>
      <c r="D123" s="3313" t="e">
        <f ca="1">NUMBERSTRING(INT(D122*10000),2)&amp;"元整"</f>
        <v>#REF!</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1450</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1450</v>
      </c>
      <c r="B127" s="3307"/>
      <c r="C127" s="3307"/>
      <c r="D127" s="3313" t="e">
        <f>NUMBERSTRING(INT(D126*10000),2)&amp;"元整"</f>
        <v>#VALUE!</v>
      </c>
      <c r="E127" s="3315"/>
      <c r="F127" s="3315"/>
      <c r="G127" s="3315"/>
      <c r="H127" s="3315"/>
      <c r="I127" s="3314"/>
      <c r="AA127" s="684"/>
    </row>
    <row r="128" spans="1:27" ht="21.75" customHeight="1">
      <c r="A128" s="3316" t="s">
        <v>1451</v>
      </c>
      <c r="B128" s="3316"/>
      <c r="C128" s="3316"/>
      <c r="D128" s="3316"/>
      <c r="E128" s="3316"/>
      <c r="F128" s="3316"/>
      <c r="G128" s="3316"/>
      <c r="H128" s="3316"/>
      <c r="I128" s="331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6" stopIfTrue="1" operator="equal">
      <formula>25</formula>
    </cfRule>
  </conditionalFormatting>
  <conditionalFormatting sqref="C8:D13">
    <cfRule type="cellIs" dxfId="136" priority="5" stopIfTrue="1" operator="equal">
      <formula>15</formula>
    </cfRule>
  </conditionalFormatting>
  <conditionalFormatting sqref="C14:D16">
    <cfRule type="cellIs" dxfId="135" priority="4"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D92" xr:uid="{5F37954E-36F3-4061-8940-1D713B6EB82E}">
      <formula1>"0,5%,10%"</formula1>
    </dataValidation>
    <dataValidation type="list" allowBlank="1" showInputMessage="1" showErrorMessage="1" sqref="H59" xr:uid="{98D86E12-5933-47AC-9827-C13150DCE42F}">
      <formula1>"非个人房产,个人住宅（满五唯一有凭证）,个人其他（有凭证）,个人其他（无凭证）"</formula1>
    </dataValidation>
    <dataValidation type="list" allowBlank="1" showInputMessage="1" showErrorMessage="1" sqref="E103" xr:uid="{DDC61E63-7D7D-4583-8C62-5BFD6B72DAEB}">
      <formula1>"2.估价师知悉的法定优先受偿款,2.估价师知悉的除抵押担保权以外的法定优先受偿款"</formula1>
    </dataValidation>
    <dataValidation type="list" allowBlank="1" showInputMessage="1" showErrorMessage="1" sqref="G77" xr:uid="{716CD49F-12DB-4612-B348-4771BEBFA98E}">
      <formula1>"个人住宅,2016年5月1日前购买,2016年5月1日后购买"</formula1>
    </dataValidation>
    <dataValidation type="list" allowBlank="1" showInputMessage="1" showErrorMessage="1" sqref="C1" xr:uid="{FA675D8E-0F15-4C34-BC8E-9B318B741F8C}">
      <formula1>项目类型</formula1>
    </dataValidation>
    <dataValidation type="list" allowBlank="1" showInputMessage="1" showErrorMessage="1" sqref="I1" xr:uid="{4540694D-9FC4-4C7F-8548-E808C4146555}">
      <formula1>"项目局部,项目全部,——"</formula1>
    </dataValidation>
    <dataValidation type="list" showInputMessage="1" showErrorMessage="1" sqref="G1" xr:uid="{ED25C011-5CCF-4539-B5C7-30866BE25017}">
      <formula1>"现房,在建,土地,-"</formula1>
    </dataValidation>
    <dataValidation type="list" allowBlank="1" showInputMessage="1" showErrorMessage="1" sqref="C129" xr:uid="{825E5FFC-5234-4512-BBDA-4BBF8EE62084}">
      <formula1>"无,有"</formula1>
    </dataValidation>
    <dataValidation type="list" allowBlank="1" showInputMessage="1" showErrorMessage="1" sqref="F116:G116" xr:uid="{C1611FE9-B875-4DED-9D77-4799619FF644}">
      <formula1>"建筑物价值,在建建筑物价值,建筑物/在建建筑物价值"</formula1>
    </dataValidation>
    <dataValidation type="list" allowBlank="1" showInputMessage="1" showErrorMessage="1" sqref="D116:E116" xr:uid="{24A9488C-2A3E-4252-88BA-23BB6C9C93F3}">
      <formula1>"出让国有建设用地使用权价值,划拨国有建设用地使用权价值"</formula1>
    </dataValidation>
    <dataValidation type="list" allowBlank="1" showInputMessage="1" showErrorMessage="1" sqref="C116:C117" xr:uid="{2D21410F-B6C7-4C76-8F32-25FE2D8ADF52}">
      <formula1>"土地面积,分摊土地面积,（分摊）土地面积"</formula1>
    </dataValidation>
    <dataValidation type="list" allowBlank="1" showInputMessage="1" showErrorMessage="1" sqref="B116:B117" xr:uid="{13B8A0DD-E1D5-4B46-BF07-288BAB2641DF}">
      <formula1>"建筑面积,规划建筑面积,（规划）建筑面积"</formula1>
    </dataValidation>
    <dataValidation type="list" allowBlank="1" showInputMessage="1" showErrorMessage="1" sqref="D36" xr:uid="{6E21D5AC-98D5-47EC-82B6-ABD573861656}">
      <formula1>"同一抵押权人同一抵押物续贷,注销后放款,正常操作"</formula1>
    </dataValidation>
    <dataValidation type="list" allowBlank="1" showInputMessage="1" showErrorMessage="1" sqref="F75" xr:uid="{8D48BB8F-2DE1-485A-A307-3EC2140DF2FA}">
      <formula1>"买卖合同,购房发票"</formula1>
    </dataValidation>
    <dataValidation type="list" allowBlank="1" showInputMessage="1" showErrorMessage="1" sqref="H88" xr:uid="{B18D591B-133F-4D1F-A9A8-AEDA26C455C6}">
      <formula1>"仅含出让金,出让金+开发费"</formula1>
    </dataValidation>
    <dataValidation type="list" allowBlank="1" showInputMessage="1" showErrorMessage="1" sqref="H91" xr:uid="{2AC1174B-AD41-4D55-ABDA-253D8DFA5971}">
      <formula1>"企业提供（在右侧录入）,——"</formula1>
    </dataValidation>
    <dataValidation type="list" allowBlank="1" showInputMessage="1" showErrorMessage="1" sqref="C33" xr:uid="{EEEAD393-4EA5-4D7F-96F3-F5AC4C05B261}">
      <formula1>"成本比率,收益比率,自定义"</formula1>
    </dataValidation>
    <dataValidation type="list" allowBlank="1" showInputMessage="1" showErrorMessage="1" sqref="F45" xr:uid="{D74B3CCB-C56F-4715-A1D1-32F33E5E001F}">
      <formula1>"100%,70%,56%"</formula1>
    </dataValidation>
    <dataValidation type="list" allowBlank="1" showInputMessage="1" showErrorMessage="1" sqref="D32" xr:uid="{98FE4FE8-1009-47CF-8743-6D4DD9389ED3}">
      <formula1>"总价,楼面单价"</formula1>
    </dataValidation>
    <dataValidation type="list" allowBlank="1" showInputMessage="1" showErrorMessage="1" sqref="H58" xr:uid="{5ACD1F14-2015-4DED-AFA7-AD56C443425C}">
      <formula1>"转让取得,自行开发建设"</formula1>
    </dataValidation>
    <dataValidation type="list" allowBlank="1" showInputMessage="1" showErrorMessage="1" sqref="H48" xr:uid="{4272807C-731A-4BAB-9EC5-B601D1525462}">
      <formula1>"情况1,情况2,情况3,情况4"</formula1>
    </dataValidation>
    <dataValidation type="list" allowBlank="1" showInputMessage="1" showErrorMessage="1" sqref="H55:H56" xr:uid="{C5679BE4-0757-4A40-9B8C-A428A4CD3D5A}">
      <formula1>"个人住宅,正常"</formula1>
    </dataValidation>
    <dataValidation type="list" allowBlank="1" showInputMessage="1" showErrorMessage="1" sqref="C4:D4 D33" xr:uid="{D0A9A502-2693-4AF0-9726-9EE250663DC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C12B-D300-456B-91AF-46BBD6C423C9}">
  <sheetPr>
    <tabColor rgb="FF92D050"/>
  </sheetPr>
  <dimension ref="A1:AK83"/>
  <sheetViews>
    <sheetView view="pageBreakPreview" zoomScale="115" zoomScaleNormal="70" zoomScaleSheetLayoutView="115"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21</v>
      </c>
      <c r="D1" s="1271" t="s">
        <v>43</v>
      </c>
      <c r="E1" s="1272" t="s">
        <v>677</v>
      </c>
      <c r="F1" s="999">
        <f ca="1">J53</f>
        <v>35.51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2009.7529999999999</v>
      </c>
      <c r="C2" s="1289" t="s">
        <v>804</v>
      </c>
      <c r="D2" s="1375">
        <f ca="1">C40+J29+L46</f>
        <v>20097530</v>
      </c>
      <c r="E2" s="1295" t="s">
        <v>879</v>
      </c>
      <c r="F2" s="1296"/>
      <c r="G2" s="2479"/>
      <c r="H2" s="2469"/>
      <c r="I2" s="2469"/>
      <c r="J2" s="2469"/>
      <c r="K2" s="2470"/>
      <c r="L2" s="2469"/>
      <c r="M2" s="2469"/>
    </row>
    <row r="3" spans="1:37" ht="18" customHeight="1" thickBot="1">
      <c r="A3" s="1297" t="s">
        <v>805</v>
      </c>
      <c r="B3" s="1298">
        <f ca="1">IF(ISERROR(D2/F43),0,ROUND(D2/F43,0))</f>
        <v>6519</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1318160</v>
      </c>
      <c r="D5" s="1273" t="s">
        <v>692</v>
      </c>
      <c r="E5" s="1008"/>
      <c r="F5" s="1009"/>
      <c r="G5" s="1292"/>
      <c r="H5" s="291">
        <v>1</v>
      </c>
      <c r="I5" s="292" t="s">
        <v>691</v>
      </c>
      <c r="J5" s="1007">
        <f ca="1">J6+J10+J12</f>
        <v>0</v>
      </c>
      <c r="K5" s="1273" t="s">
        <v>692</v>
      </c>
      <c r="L5" s="1008"/>
      <c r="M5" s="1009"/>
    </row>
    <row r="6" spans="1:37" ht="18" customHeight="1">
      <c r="A6" s="1006" t="s">
        <v>398</v>
      </c>
      <c r="B6" s="3391" t="s">
        <v>693</v>
      </c>
      <c r="C6" s="1011">
        <f ca="1">ROUND(F6*F8*F7*(1-F9),0)</f>
        <v>1316514</v>
      </c>
      <c r="D6" s="147" t="s">
        <v>2104</v>
      </c>
      <c r="E6" s="294" t="s">
        <v>695</v>
      </c>
      <c r="F6" s="295">
        <f ca="1">INDIRECT("'数据-取费表'!u"&amp;$G$1)</f>
        <v>1.3</v>
      </c>
      <c r="G6" s="1292"/>
      <c r="H6" s="1006" t="s">
        <v>398</v>
      </c>
      <c r="I6" s="3391" t="s">
        <v>693</v>
      </c>
      <c r="J6" s="293">
        <f ca="1">ROUND(M6*M8*M7*(1-M9),0)</f>
        <v>0</v>
      </c>
      <c r="K6" s="1284" t="s">
        <v>2105</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3082.8099999999981</v>
      </c>
      <c r="G7" s="1292"/>
      <c r="H7" s="296"/>
      <c r="I7" s="3392"/>
      <c r="J7" s="298"/>
      <c r="K7" s="299"/>
      <c r="L7" s="294" t="s">
        <v>696</v>
      </c>
      <c r="M7" s="295">
        <f ca="1">F7</f>
        <v>3082.8099999999981</v>
      </c>
    </row>
    <row r="8" spans="1:37" ht="18" customHeight="1">
      <c r="A8" s="296"/>
      <c r="B8" s="3392"/>
      <c r="C8" s="298"/>
      <c r="D8" s="299"/>
      <c r="E8" s="294" t="s">
        <v>697</v>
      </c>
      <c r="F8" s="295">
        <f ca="1">INDIRECT("'数据-取费表'!ai"&amp;$G$1)</f>
        <v>365</v>
      </c>
      <c r="G8" s="1292"/>
      <c r="H8" s="296"/>
      <c r="I8" s="3392"/>
      <c r="J8" s="298"/>
      <c r="K8" s="299"/>
      <c r="L8" s="294" t="s">
        <v>697</v>
      </c>
      <c r="M8" s="295">
        <f ca="1">INDIRECT("'数据-取费表'!ai"&amp;$G$1)</f>
        <v>365</v>
      </c>
    </row>
    <row r="9" spans="1:37" ht="18" customHeight="1">
      <c r="A9" s="296"/>
      <c r="B9" s="3393"/>
      <c r="C9" s="298"/>
      <c r="D9" s="299"/>
      <c r="E9" s="294" t="s">
        <v>698</v>
      </c>
      <c r="F9" s="304">
        <f ca="1">INDIRECT("'数据-取费表'!w"&amp;$G$1)</f>
        <v>0.1</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1646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11336082</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9248430</v>
      </c>
      <c r="D14" s="1257" t="s">
        <v>707</v>
      </c>
      <c r="E14" s="1255"/>
      <c r="F14" s="311"/>
      <c r="G14" s="1292"/>
      <c r="H14" s="928" t="s">
        <v>398</v>
      </c>
      <c r="I14" s="294" t="s">
        <v>708</v>
      </c>
      <c r="J14" s="21">
        <f ca="1">C29</f>
        <v>13336567</v>
      </c>
      <c r="K14" s="12"/>
      <c r="L14" s="759"/>
      <c r="M14" s="760"/>
    </row>
    <row r="15" spans="1:37" s="1304" customFormat="1" ht="18" customHeight="1" thickBot="1">
      <c r="A15" s="928" t="s">
        <v>399</v>
      </c>
      <c r="B15" s="294" t="s">
        <v>709</v>
      </c>
      <c r="C15" s="21">
        <f ca="1">ROUND(C14*F15,0)</f>
        <v>462422</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26673</v>
      </c>
      <c r="K16" s="1024" t="s">
        <v>714</v>
      </c>
      <c r="L16" s="1025"/>
      <c r="M16" s="1009"/>
    </row>
    <row r="17" spans="1:37" s="1304" customFormat="1" ht="18" customHeight="1">
      <c r="A17" s="928" t="s">
        <v>680</v>
      </c>
      <c r="B17" s="294" t="s">
        <v>715</v>
      </c>
      <c r="C17" s="21">
        <f ca="1">ROUND(F17*(F43+INDIRECT("'数据-取费表'!S"&amp;$G$1)),0)</f>
        <v>758371</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184969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10654192</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106542</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26673</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336811</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-26673</v>
      </c>
      <c r="K25" s="1032" t="s">
        <v>752</v>
      </c>
      <c r="L25" s="1033"/>
      <c r="M25" s="1034"/>
    </row>
    <row r="26" spans="1:37" ht="18" customHeight="1">
      <c r="A26" s="928" t="s">
        <v>397</v>
      </c>
      <c r="B26" s="294" t="s">
        <v>753</v>
      </c>
      <c r="C26" s="21">
        <f ca="1">ROUND((C19+C20)*F26,0)</f>
        <v>1076073</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13336567</v>
      </c>
      <c r="D29" s="1029"/>
      <c r="E29" s="1027"/>
      <c r="F29" s="1030"/>
      <c r="G29" s="1303"/>
      <c r="H29" s="325" t="s">
        <v>396</v>
      </c>
      <c r="I29" s="326" t="s">
        <v>767</v>
      </c>
      <c r="J29" s="327">
        <f ca="1">ROUND(J26/(1+F40)^F41,0)</f>
        <v>0</v>
      </c>
      <c r="K29" s="328" t="s">
        <v>768</v>
      </c>
      <c r="L29" s="329"/>
      <c r="M29" s="330">
        <f ca="1">INDIRECT("'数据-取费表'!k"&amp;$G$1)</f>
        <v>3082.8099999999981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271864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220673</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70214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150459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26673</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11336</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13182</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1046296</v>
      </c>
      <c r="D39" s="1032" t="s">
        <v>752</v>
      </c>
      <c r="E39" s="1033"/>
      <c r="F39" s="1034"/>
      <c r="G39" s="1292"/>
      <c r="H39" s="2474"/>
      <c r="I39" s="1305"/>
      <c r="J39" s="1306"/>
      <c r="K39" s="2472"/>
      <c r="L39" s="2474"/>
      <c r="M39" s="2474"/>
    </row>
    <row r="40" spans="1:18" ht="18" customHeight="1">
      <c r="A40" s="291" t="s">
        <v>395</v>
      </c>
      <c r="B40" s="292" t="s">
        <v>773</v>
      </c>
      <c r="C40" s="293">
        <f ca="1">ROUND(C39*(1-((1+F42)/(1+F40))^F41)/(F40-F42),0)</f>
        <v>19527471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1.4999999999999999E-2</v>
      </c>
      <c r="G42" s="1292"/>
      <c r="H42" s="121"/>
      <c r="I42" s="1305"/>
      <c r="J42" s="1306"/>
      <c r="K42" s="2331"/>
      <c r="L42" s="121"/>
      <c r="M42" s="121"/>
    </row>
    <row r="43" spans="1:18" ht="18" customHeight="1" thickBot="1">
      <c r="A43" s="325" t="s">
        <v>396</v>
      </c>
      <c r="B43" s="326" t="s">
        <v>775</v>
      </c>
      <c r="C43" s="327">
        <f ca="1">ROUND(C40/F43,0)</f>
        <v>6334</v>
      </c>
      <c r="D43" s="328" t="s">
        <v>776</v>
      </c>
      <c r="E43" s="329" t="s">
        <v>777</v>
      </c>
      <c r="F43" s="330">
        <f ca="1">INDIRECT("'数据-取费表'!k"&amp;$G$1)</f>
        <v>3082.8099999999981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-2011.5308</v>
      </c>
      <c r="D45" s="3131" t="s">
        <v>3349</v>
      </c>
      <c r="E45" s="1307"/>
      <c r="F45" s="1307"/>
      <c r="O45" s="1310" t="s">
        <v>807</v>
      </c>
      <c r="P45" s="1366"/>
      <c r="Q45" s="1366"/>
      <c r="R45" s="1366"/>
    </row>
    <row r="46" spans="1:18" s="1292" customFormat="1" ht="13.5" thickBot="1">
      <c r="A46" s="1311" t="s">
        <v>808</v>
      </c>
      <c r="C46" s="1312">
        <f ca="1">ROUND(C45,0)</f>
        <v>-2012</v>
      </c>
      <c r="D46" s="1313" t="str">
        <f>C2</f>
        <v>万元</v>
      </c>
      <c r="I46" s="1314" t="s">
        <v>809</v>
      </c>
      <c r="J46" s="1315"/>
      <c r="K46" s="1316"/>
      <c r="L46" s="1317">
        <f ca="1">IF(M47="住宅",0,IF(L48&gt;J51,L60,J60))</f>
        <v>570059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19527471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570059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13336567</v>
      </c>
      <c r="R49" s="1327" t="s">
        <v>817</v>
      </c>
    </row>
    <row r="50" spans="1:18" s="1292" customFormat="1" ht="13.5" thickBot="1">
      <c r="A50" s="922"/>
      <c r="B50" s="925"/>
      <c r="C50" s="926"/>
      <c r="D50" s="899"/>
      <c r="E50" s="993" t="s">
        <v>696</v>
      </c>
      <c r="F50" s="994">
        <f ca="1">F7</f>
        <v>3082.8099999999981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6684062</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389" t="s">
        <v>836</v>
      </c>
      <c r="L53" s="3390"/>
      <c r="O53" s="1325" t="s">
        <v>409</v>
      </c>
      <c r="P53" s="1326" t="s">
        <v>837</v>
      </c>
      <c r="Q53" s="1327">
        <f ca="1">Q47+Q48</f>
        <v>20097530</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11336082</v>
      </c>
      <c r="D56" s="1352"/>
      <c r="E56" s="1353"/>
      <c r="F56" s="1345"/>
      <c r="I56" s="1354" t="s">
        <v>841</v>
      </c>
      <c r="J56" s="1355" t="s">
        <v>4789</v>
      </c>
      <c r="K56" s="1328" t="s">
        <v>842</v>
      </c>
      <c r="L56" s="1331" t="str">
        <f ca="1">IF(L48&lt;J51,"——",L48-J51)</f>
        <v>——</v>
      </c>
      <c r="O56" s="1325" t="s">
        <v>403</v>
      </c>
      <c r="P56" s="1326" t="s">
        <v>816</v>
      </c>
      <c r="Q56" s="1327">
        <f ca="1">C40+J29</f>
        <v>19527471</v>
      </c>
      <c r="R56" s="1327" t="s">
        <v>817</v>
      </c>
    </row>
    <row r="57" spans="1:18" s="1292" customFormat="1" ht="24.75" thickBot="1">
      <c r="A57" s="1356"/>
      <c r="B57" s="896" t="s">
        <v>766</v>
      </c>
      <c r="C57" s="230">
        <f ca="1">C29</f>
        <v>13336567</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38009</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5334627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570059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19527471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26673</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11336</v>
      </c>
      <c r="D65" s="910" t="s">
        <v>742</v>
      </c>
      <c r="E65" s="896" t="s">
        <v>711</v>
      </c>
      <c r="F65" s="321">
        <f t="shared" ca="1" si="0"/>
        <v>1E-3</v>
      </c>
      <c r="I65" s="1367" t="s">
        <v>866</v>
      </c>
      <c r="J65" s="610">
        <v>40</v>
      </c>
      <c r="K65" s="610">
        <v>30</v>
      </c>
      <c r="L65" s="610">
        <v>50</v>
      </c>
      <c r="M65" s="1369">
        <v>0.02</v>
      </c>
      <c r="O65" s="1325" t="s">
        <v>403</v>
      </c>
      <c r="P65" s="1326" t="s">
        <v>816</v>
      </c>
      <c r="Q65" s="1327">
        <f ca="1">C40+J29</f>
        <v>19527471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-38009</v>
      </c>
      <c r="D67" s="909" t="s">
        <v>752</v>
      </c>
      <c r="E67" s="914"/>
      <c r="F67" s="915"/>
      <c r="O67" s="1334" t="s">
        <v>405</v>
      </c>
      <c r="P67" s="1326" t="s">
        <v>849</v>
      </c>
      <c r="Q67" s="1370">
        <f ca="1">L51</f>
        <v>6684062</v>
      </c>
      <c r="R67" s="1327" t="s">
        <v>869</v>
      </c>
    </row>
    <row r="68" spans="1:18" s="1292" customFormat="1" ht="16.5" thickBot="1">
      <c r="A68" s="893" t="s">
        <v>395</v>
      </c>
      <c r="B68" s="894" t="s">
        <v>773</v>
      </c>
      <c r="C68" s="293">
        <f ca="1">ROUND(C67*(1-((1+F70)/(1+F68))^F69)/(F68-F70),0)</f>
        <v>-587837</v>
      </c>
      <c r="D68" s="911" t="s">
        <v>757</v>
      </c>
      <c r="E68" s="896" t="s">
        <v>758</v>
      </c>
      <c r="F68" s="304">
        <f ca="1">F40</f>
        <v>5.5E-2</v>
      </c>
      <c r="O68" s="1334" t="s">
        <v>406</v>
      </c>
      <c r="P68" s="1371" t="s">
        <v>870</v>
      </c>
      <c r="Q68" s="1327">
        <f ca="1">ROUND(Q69-Q70*Q71,0)</f>
        <v>366131</v>
      </c>
      <c r="R68" s="1327" t="s">
        <v>414</v>
      </c>
    </row>
    <row r="69" spans="1:18" s="1292" customFormat="1" ht="13.5" thickBot="1">
      <c r="A69" s="897"/>
      <c r="B69" s="898"/>
      <c r="C69" s="298"/>
      <c r="D69" s="916" t="s">
        <v>761</v>
      </c>
      <c r="E69" s="896" t="s">
        <v>762</v>
      </c>
      <c r="F69" s="324">
        <f ca="1">F41</f>
        <v>35.51</v>
      </c>
      <c r="O69" s="1334" t="s">
        <v>411</v>
      </c>
      <c r="P69" s="1371" t="s">
        <v>871</v>
      </c>
      <c r="Q69" s="1327">
        <f ca="1">C39</f>
        <v>1046296</v>
      </c>
      <c r="R69" s="1327" t="s">
        <v>817</v>
      </c>
    </row>
    <row r="70" spans="1:18" s="1292" customFormat="1" ht="13.5" thickBot="1">
      <c r="A70" s="900"/>
      <c r="B70" s="901"/>
      <c r="C70" s="302"/>
      <c r="D70" s="912"/>
      <c r="E70" s="896" t="s">
        <v>765</v>
      </c>
      <c r="F70" s="991"/>
      <c r="O70" s="1334" t="s">
        <v>412</v>
      </c>
      <c r="P70" s="1371" t="s">
        <v>872</v>
      </c>
      <c r="Q70" s="1327">
        <f ca="1">C13</f>
        <v>11336082</v>
      </c>
      <c r="R70" s="1327" t="s">
        <v>817</v>
      </c>
    </row>
    <row r="71" spans="1:18" s="1292" customFormat="1" ht="13.5" thickBot="1">
      <c r="A71" s="917" t="s">
        <v>396</v>
      </c>
      <c r="B71" s="918" t="s">
        <v>775</v>
      </c>
      <c r="C71" s="327">
        <f ca="1">ROUND(C68/F71,0)</f>
        <v>-191</v>
      </c>
      <c r="D71" s="919" t="s">
        <v>776</v>
      </c>
      <c r="E71" s="920" t="s">
        <v>777</v>
      </c>
      <c r="F71" s="330">
        <f ca="1">F43</f>
        <v>3082.8099999999981</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680165</v>
      </c>
      <c r="D75" s="1292"/>
      <c r="E75" s="1292"/>
      <c r="F75" s="1292"/>
      <c r="K75" s="1309"/>
      <c r="L75" s="1292"/>
      <c r="O75" s="1325" t="s">
        <v>409</v>
      </c>
      <c r="P75" s="1326" t="s">
        <v>837</v>
      </c>
      <c r="Q75" s="1327">
        <f ca="1">Q65+Q66</f>
        <v>19527471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0.35</v>
      </c>
    </row>
    <row r="80" spans="1:18">
      <c r="B80" s="331" t="s">
        <v>799</v>
      </c>
      <c r="C80" s="266">
        <f ca="1">ROUND(C75/C39,3)</f>
        <v>0.65</v>
      </c>
    </row>
    <row r="81" spans="2:3">
      <c r="B81" s="262" t="s">
        <v>800</v>
      </c>
      <c r="C81" s="230"/>
    </row>
    <row r="82" spans="2:3">
      <c r="B82" s="265" t="s">
        <v>801</v>
      </c>
      <c r="C82" s="267">
        <f ca="1">1-C83</f>
        <v>0.41900000000000004</v>
      </c>
    </row>
    <row r="83" spans="2:3">
      <c r="B83" s="265" t="s">
        <v>802</v>
      </c>
      <c r="C83" s="266">
        <f ca="1">ROUND(C13/C40,3)</f>
        <v>0.58099999999999996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D1" xr:uid="{A92E9ECA-1E63-4C48-A17F-F30529799CB2}">
      <formula1>"在建（套用方法）,土地（套用方法）,——"</formula1>
    </dataValidation>
    <dataValidation type="list" allowBlank="1" showInputMessage="1" showErrorMessage="1" sqref="F10 F53 M10" xr:uid="{5EE38E16-CD30-4A57-A1DA-47B7EE8FFDF3}">
      <formula1>"押一,押二,押三,自定义"</formula1>
    </dataValidation>
    <dataValidation type="list" allowBlank="1" showInputMessage="1" showErrorMessage="1" sqref="K19" xr:uid="{CD01C813-FE3B-4CE6-9E52-43A9B52C3ACC}">
      <formula1>"按租金收入计税,按房产原值计税"</formula1>
    </dataValidation>
    <dataValidation type="list" allowBlank="1" showInputMessage="1" showErrorMessage="1" sqref="D33 D61" xr:uid="{A3CF719F-F0F2-4BA5-A5CB-A87169231034}">
      <formula1>"按租金收入计税,按房产原值计税,按票据"</formula1>
    </dataValidation>
    <dataValidation type="list" allowBlank="1" showInputMessage="1" showErrorMessage="1" sqref="C1" xr:uid="{0710881E-70BA-4C24-8DD9-8EED91C4E091}">
      <formula1>项目类型</formula1>
    </dataValidation>
    <dataValidation type="list" allowBlank="1" showInputMessage="1" showErrorMessage="1" sqref="J47" xr:uid="{8E945AA3-A2A5-4F79-8C04-0896B5987AC4}">
      <formula1>"钢,钢混,砖混"</formula1>
    </dataValidation>
    <dataValidation type="list" allowBlank="1" showInputMessage="1" showErrorMessage="1" sqref="J48" xr:uid="{E88A1600-8115-4924-8605-7EBBE44017E5}">
      <formula1>"非生产用房,生产用房,受腐蚀的生产用房"</formula1>
    </dataValidation>
    <dataValidation type="list" allowBlank="1" showInputMessage="1" showErrorMessage="1" sqref="J56" xr:uid="{37C99FD9-0C31-42B3-BC91-36A542BEF508}">
      <formula1>估价范围判定</formula1>
    </dataValidation>
    <dataValidation type="list" allowBlank="1" showInputMessage="1" showErrorMessage="1" sqref="L55" xr:uid="{0F3DFD27-10A8-4F60-B879-53244F8F1811}">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115" zoomScaleNormal="70" zoomScaleSheetLayoutView="115" workbookViewId="0">
      <selection activeCell="C2" sqref="C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t="s">
        <v>21</v>
      </c>
      <c r="E1" s="3132" t="s">
        <v>4914</v>
      </c>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2470.2557000000002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8013</v>
      </c>
      <c r="C3" s="344" t="s">
        <v>1766</v>
      </c>
      <c r="D3" s="343">
        <f>IF(D1="",'数据-汇总表'!E3,SUMIF('数据-汇总表'!$C19:$C33,D1,'数据-汇总表'!$E19:$E33))</f>
        <v>3082.8099999999981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66" t="s">
        <v>1773</v>
      </c>
      <c r="Q4" s="3467"/>
      <c r="R4" s="3461" t="s">
        <v>1769</v>
      </c>
      <c r="S4" s="3462"/>
      <c r="T4" s="3461" t="s">
        <v>1770</v>
      </c>
      <c r="U4" s="3462"/>
      <c r="V4" s="3470" t="s">
        <v>1771</v>
      </c>
      <c r="W4" s="3470"/>
      <c r="X4" s="1809"/>
      <c r="Y4" s="3461" t="s">
        <v>1773</v>
      </c>
      <c r="Z4" s="3462"/>
      <c r="AA4" s="3460" t="s">
        <v>1769</v>
      </c>
      <c r="AB4" s="3460" t="s">
        <v>1770</v>
      </c>
      <c r="AC4" s="3463" t="s">
        <v>1771</v>
      </c>
    </row>
    <row r="5" spans="1:29" ht="15">
      <c r="A5" s="348"/>
      <c r="B5" s="349"/>
      <c r="C5" s="3426" t="s">
        <v>1671</v>
      </c>
      <c r="D5" s="3427"/>
      <c r="E5" s="3424" t="str">
        <f>市场售价案例!$C$39</f>
        <v>泉星小区办公</v>
      </c>
      <c r="F5" s="3425"/>
      <c r="G5" s="3426" t="str">
        <f>市场售价案例!$P$77</f>
        <v>世茂天城办公</v>
      </c>
      <c r="H5" s="3427"/>
      <c r="I5" s="3572" t="s">
        <v>4918</v>
      </c>
      <c r="J5" s="3427"/>
      <c r="K5" s="537"/>
      <c r="L5" s="2487"/>
      <c r="M5" s="2488"/>
      <c r="N5" s="2488"/>
      <c r="O5" s="2488"/>
      <c r="P5" s="3468"/>
      <c r="Q5" s="3440"/>
      <c r="R5" s="3422"/>
      <c r="S5" s="3423"/>
      <c r="T5" s="3422"/>
      <c r="U5" s="3423"/>
      <c r="V5" s="3445"/>
      <c r="W5" s="3445"/>
      <c r="X5" s="1265"/>
      <c r="Y5" s="3422"/>
      <c r="Z5" s="3423"/>
      <c r="AA5" s="3416"/>
      <c r="AB5" s="3416"/>
      <c r="AC5" s="3464"/>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69"/>
      <c r="Q6" s="3442"/>
      <c r="R6" s="3422"/>
      <c r="S6" s="3423"/>
      <c r="T6" s="3443"/>
      <c r="U6" s="3444"/>
      <c r="V6" s="3445"/>
      <c r="W6" s="3445"/>
      <c r="X6" s="1265"/>
      <c r="Y6" s="3443"/>
      <c r="Z6" s="3444"/>
      <c r="AA6" s="3417"/>
      <c r="AB6" s="3417"/>
      <c r="AC6" s="3465"/>
    </row>
    <row r="7" spans="1:29" s="102" customFormat="1" ht="15.75" thickBot="1">
      <c r="A7" s="352" t="s">
        <v>1677</v>
      </c>
      <c r="B7" s="353"/>
      <c r="C7" s="354">
        <f>'数据-取费表'!B2</f>
        <v>45974</v>
      </c>
      <c r="D7" s="355">
        <v>100</v>
      </c>
      <c r="E7" s="356" t="str">
        <f>市场售价案例!$D$40</f>
        <v>2024-01</v>
      </c>
      <c r="F7" s="357">
        <f>SUMIF(59:59,YEAR(E7)&amp;"-"&amp;MONTH(E7),60:60)</f>
        <v>94</v>
      </c>
      <c r="G7" s="356" t="str">
        <f>市场售价案例!$Q$79</f>
        <v>2025-03</v>
      </c>
      <c r="H7" s="355">
        <f>SUMIF(59:59,YEAR(G7)&amp;"-"&amp;MONTH(G7),60:60)</f>
        <v>98</v>
      </c>
      <c r="I7" s="356">
        <v>45352</v>
      </c>
      <c r="J7" s="355">
        <f>SUMIF(59:59,YEAR(I7)&amp;"-"&amp;MONTH(I7),60:60)</f>
        <v>94</v>
      </c>
      <c r="K7" s="38"/>
      <c r="L7" s="2489"/>
      <c r="M7" s="2440"/>
      <c r="N7" s="2440"/>
      <c r="O7" s="2440"/>
      <c r="P7" s="3471" t="s">
        <v>1678</v>
      </c>
      <c r="Q7" s="3446"/>
      <c r="R7" s="664" t="s">
        <v>14</v>
      </c>
      <c r="S7" s="665">
        <f t="shared" ref="S7:S15" si="0">F7</f>
        <v>94</v>
      </c>
      <c r="T7" s="664" t="s">
        <v>14</v>
      </c>
      <c r="U7" s="665">
        <f t="shared" ref="U7:U15" si="1">H7</f>
        <v>98</v>
      </c>
      <c r="V7" s="664" t="s">
        <v>14</v>
      </c>
      <c r="W7" s="665">
        <f t="shared" ref="W7:W15" si="2">J7</f>
        <v>94</v>
      </c>
      <c r="X7" s="666"/>
      <c r="Y7" s="3418" t="s">
        <v>1678</v>
      </c>
      <c r="Z7" s="3419"/>
      <c r="AA7" s="50">
        <f>D7/F7</f>
        <v>1.0638297872340425</v>
      </c>
      <c r="AB7" s="50">
        <f>D7/H7</f>
        <v>1.0204081632653061</v>
      </c>
      <c r="AC7" s="802">
        <f>D7/J7</f>
        <v>1.0638297872340425</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1" t="s">
        <v>1681</v>
      </c>
      <c r="Q8" s="3419"/>
      <c r="R8" s="664" t="s">
        <v>14</v>
      </c>
      <c r="S8" s="665">
        <f t="shared" si="0"/>
        <v>100</v>
      </c>
      <c r="T8" s="664" t="s">
        <v>14</v>
      </c>
      <c r="U8" s="665">
        <f t="shared" si="1"/>
        <v>100</v>
      </c>
      <c r="V8" s="664" t="s">
        <v>14</v>
      </c>
      <c r="W8" s="665">
        <f t="shared" si="2"/>
        <v>100</v>
      </c>
      <c r="X8" s="666"/>
      <c r="Y8" s="3418" t="s">
        <v>1681</v>
      </c>
      <c r="Z8" s="3419"/>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32"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32"/>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32"/>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32"/>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32"/>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32"/>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8" t="s">
        <v>1689</v>
      </c>
      <c r="Q15" s="1263" t="str">
        <f t="shared" si="6"/>
        <v>办公集聚程度</v>
      </c>
      <c r="R15" s="667" t="s">
        <v>14</v>
      </c>
      <c r="S15" s="668">
        <f t="shared" si="0"/>
        <v>100</v>
      </c>
      <c r="T15" s="667" t="s">
        <v>14</v>
      </c>
      <c r="U15" s="668">
        <f t="shared" si="1"/>
        <v>100</v>
      </c>
      <c r="V15" s="667" t="s">
        <v>14</v>
      </c>
      <c r="W15" s="668">
        <f t="shared" si="2"/>
        <v>100</v>
      </c>
      <c r="X15" s="1265"/>
      <c r="Y15" s="3451"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9"/>
      <c r="Q16" s="1263"/>
      <c r="R16" s="667"/>
      <c r="S16" s="668"/>
      <c r="T16" s="667"/>
      <c r="U16" s="668"/>
      <c r="V16" s="667"/>
      <c r="W16" s="668"/>
      <c r="X16" s="1265"/>
      <c r="Y16" s="3452"/>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9"/>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9"/>
      <c r="Q18" s="1263"/>
      <c r="R18" s="667"/>
      <c r="S18" s="668"/>
      <c r="T18" s="667"/>
      <c r="U18" s="668"/>
      <c r="V18" s="667"/>
      <c r="W18" s="668"/>
      <c r="X18" s="1265"/>
      <c r="Y18" s="3452"/>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9"/>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9"/>
      <c r="Q20" s="1263"/>
      <c r="R20" s="667"/>
      <c r="S20" s="668"/>
      <c r="T20" s="667"/>
      <c r="U20" s="668"/>
      <c r="V20" s="667"/>
      <c r="W20" s="668"/>
      <c r="X20" s="1265"/>
      <c r="Y20" s="3452"/>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9"/>
      <c r="Q22" s="1263"/>
      <c r="R22" s="667"/>
      <c r="S22" s="668"/>
      <c r="T22" s="667"/>
      <c r="U22" s="668"/>
      <c r="V22" s="667"/>
      <c r="W22" s="668"/>
      <c r="X22" s="1265"/>
      <c r="Y22" s="3452"/>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9"/>
      <c r="Q23" s="1263" t="str">
        <f>B23</f>
        <v>环境质量</v>
      </c>
      <c r="R23" s="667" t="s">
        <v>14</v>
      </c>
      <c r="S23" s="668">
        <f>F23</f>
        <v>100</v>
      </c>
      <c r="T23" s="667" t="s">
        <v>14</v>
      </c>
      <c r="U23" s="668">
        <f>H23</f>
        <v>100</v>
      </c>
      <c r="V23" s="667" t="s">
        <v>14</v>
      </c>
      <c r="W23" s="668">
        <f>J23</f>
        <v>100</v>
      </c>
      <c r="X23" s="1265"/>
      <c r="Y23" s="345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9"/>
      <c r="Q24" s="1263"/>
      <c r="R24" s="667"/>
      <c r="S24" s="668"/>
      <c r="T24" s="667"/>
      <c r="U24" s="668"/>
      <c r="V24" s="667"/>
      <c r="W24" s="668"/>
      <c r="X24" s="1265"/>
      <c r="Y24" s="3452"/>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9"/>
      <c r="Q25" s="1263" t="str">
        <f>B25</f>
        <v>毗邻道路的类型与等级</v>
      </c>
      <c r="R25" s="667" t="s">
        <v>14</v>
      </c>
      <c r="S25" s="668">
        <f>F25</f>
        <v>100</v>
      </c>
      <c r="T25" s="667" t="s">
        <v>14</v>
      </c>
      <c r="U25" s="668">
        <f>H25</f>
        <v>100</v>
      </c>
      <c r="V25" s="667" t="s">
        <v>14</v>
      </c>
      <c r="W25" s="668">
        <f>J25</f>
        <v>100</v>
      </c>
      <c r="X25" s="1265"/>
      <c r="Y25" s="345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9"/>
      <c r="Q26" s="1263"/>
      <c r="R26" s="667"/>
      <c r="S26" s="668"/>
      <c r="T26" s="667"/>
      <c r="U26" s="668"/>
      <c r="V26" s="667"/>
      <c r="W26" s="668"/>
      <c r="X26" s="1265"/>
      <c r="Y26" s="3452"/>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9"/>
      <c r="Q27" s="1263" t="str">
        <f t="shared" ref="Q27:Q47" si="11">B27</f>
        <v>楼层</v>
      </c>
      <c r="R27" s="667" t="s">
        <v>14</v>
      </c>
      <c r="S27" s="668">
        <f>F27</f>
        <v>100</v>
      </c>
      <c r="T27" s="667" t="s">
        <v>14</v>
      </c>
      <c r="U27" s="668">
        <f>H27</f>
        <v>100</v>
      </c>
      <c r="V27" s="667" t="s">
        <v>14</v>
      </c>
      <c r="W27" s="668">
        <f>J27</f>
        <v>100</v>
      </c>
      <c r="X27" s="1265"/>
      <c r="Y27" s="3452"/>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9"/>
      <c r="Q28" s="530" t="str">
        <f t="shared" si="11"/>
        <v>朝向</v>
      </c>
      <c r="R28" s="664" t="s">
        <v>14</v>
      </c>
      <c r="S28" s="665">
        <f>F28</f>
        <v>100</v>
      </c>
      <c r="T28" s="664" t="s">
        <v>14</v>
      </c>
      <c r="U28" s="665">
        <f>H28</f>
        <v>100</v>
      </c>
      <c r="V28" s="664" t="s">
        <v>14</v>
      </c>
      <c r="W28" s="665">
        <f>J28</f>
        <v>100</v>
      </c>
      <c r="X28" s="666"/>
      <c r="Y28" s="345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9"/>
      <c r="Q29" s="1263">
        <f t="shared" si="11"/>
        <v>111</v>
      </c>
      <c r="R29" s="667" t="s">
        <v>14</v>
      </c>
      <c r="S29" s="668">
        <f t="shared" ref="S29:S47" si="12">F29</f>
        <v>100</v>
      </c>
      <c r="T29" s="667" t="s">
        <v>14</v>
      </c>
      <c r="U29" s="668">
        <f t="shared" ref="U29:U47" si="13">H29</f>
        <v>100</v>
      </c>
      <c r="V29" s="667" t="s">
        <v>14</v>
      </c>
      <c r="W29" s="668">
        <f t="shared" ref="W29:W47" si="14">J29</f>
        <v>100</v>
      </c>
      <c r="X29" s="1265"/>
      <c r="Y29" s="345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9"/>
      <c r="Q30" s="1263">
        <f t="shared" si="11"/>
        <v>111</v>
      </c>
      <c r="R30" s="667" t="s">
        <v>14</v>
      </c>
      <c r="S30" s="668">
        <f t="shared" si="12"/>
        <v>100</v>
      </c>
      <c r="T30" s="667" t="s">
        <v>14</v>
      </c>
      <c r="U30" s="668">
        <f t="shared" si="13"/>
        <v>100</v>
      </c>
      <c r="V30" s="667" t="s">
        <v>14</v>
      </c>
      <c r="W30" s="668">
        <f t="shared" si="14"/>
        <v>100</v>
      </c>
      <c r="X30" s="1265"/>
      <c r="Y30" s="345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9"/>
      <c r="Q31" s="1263">
        <f t="shared" si="11"/>
        <v>111</v>
      </c>
      <c r="R31" s="667" t="s">
        <v>14</v>
      </c>
      <c r="S31" s="668">
        <f t="shared" si="12"/>
        <v>100</v>
      </c>
      <c r="T31" s="667" t="s">
        <v>14</v>
      </c>
      <c r="U31" s="668">
        <f t="shared" si="13"/>
        <v>100</v>
      </c>
      <c r="V31" s="667" t="s">
        <v>14</v>
      </c>
      <c r="W31" s="668">
        <f t="shared" si="14"/>
        <v>100</v>
      </c>
      <c r="X31" s="1265"/>
      <c r="Y31" s="345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9"/>
      <c r="Q32" s="1263">
        <f t="shared" si="11"/>
        <v>111</v>
      </c>
      <c r="R32" s="667" t="s">
        <v>14</v>
      </c>
      <c r="S32" s="668">
        <f t="shared" si="12"/>
        <v>100</v>
      </c>
      <c r="T32" s="667" t="s">
        <v>14</v>
      </c>
      <c r="U32" s="668">
        <f t="shared" si="13"/>
        <v>100</v>
      </c>
      <c r="V32" s="667" t="s">
        <v>14</v>
      </c>
      <c r="W32" s="668">
        <f t="shared" si="14"/>
        <v>100</v>
      </c>
      <c r="X32" s="1265"/>
      <c r="Y32" s="3452"/>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3" t="s">
        <v>1694</v>
      </c>
      <c r="Q33" s="1263" t="str">
        <f t="shared" si="11"/>
        <v>建筑类型</v>
      </c>
      <c r="R33" s="667" t="s">
        <v>14</v>
      </c>
      <c r="S33" s="668">
        <f t="shared" si="12"/>
        <v>100</v>
      </c>
      <c r="T33" s="667" t="s">
        <v>14</v>
      </c>
      <c r="U33" s="668">
        <f t="shared" si="13"/>
        <v>100</v>
      </c>
      <c r="V33" s="667" t="s">
        <v>14</v>
      </c>
      <c r="W33" s="668">
        <f t="shared" si="14"/>
        <v>100</v>
      </c>
      <c r="X33" s="1265"/>
      <c r="Y33" s="3456" t="s">
        <v>1694</v>
      </c>
      <c r="Z33" s="1264" t="str">
        <f t="shared" si="15"/>
        <v>建筑类型</v>
      </c>
      <c r="AA33" s="1264">
        <f t="shared" si="3"/>
        <v>1</v>
      </c>
      <c r="AB33" s="1264">
        <f t="shared" si="4"/>
        <v>1</v>
      </c>
      <c r="AC33" s="1812">
        <f t="shared" si="5"/>
        <v>1</v>
      </c>
    </row>
    <row r="34" spans="1:29" s="408" customFormat="1" ht="15">
      <c r="A34" s="406"/>
      <c r="B34" s="364" t="s">
        <v>1695</v>
      </c>
      <c r="C34" s="407">
        <f>最终结果!AE6</f>
        <v>66.12</v>
      </c>
      <c r="D34" s="119">
        <v>100</v>
      </c>
      <c r="E34" s="369">
        <f>市场售价案例!$F$40/2</f>
        <v>65</v>
      </c>
      <c r="F34" s="364">
        <f>LOOKUP(E34,104:104,105:105)-LOOKUP(C34,104:104,105:105)+100</f>
        <v>100</v>
      </c>
      <c r="G34" s="368">
        <f>市场售价案例!$S$79</f>
        <v>38</v>
      </c>
      <c r="H34" s="119">
        <f>LOOKUP(G34,104:104,105:105)-LOOKUP(C34,104:104,105:105)+100</f>
        <v>101</v>
      </c>
      <c r="I34" s="368">
        <f>83/2</f>
        <v>41.5</v>
      </c>
      <c r="J34" s="119">
        <f>LOOKUP(I34,104:104,105:105)-LOOKUP(C34,104:104,105:105)+100</f>
        <v>101</v>
      </c>
      <c r="K34" s="539"/>
      <c r="L34" s="2492"/>
      <c r="M34" s="2494"/>
      <c r="N34" s="2494"/>
      <c r="O34" s="2494"/>
      <c r="P34" s="3454"/>
      <c r="Q34" s="531" t="str">
        <f t="shared" si="11"/>
        <v>项目建筑规模</v>
      </c>
      <c r="R34" s="669" t="s">
        <v>14</v>
      </c>
      <c r="S34" s="670">
        <f t="shared" si="12"/>
        <v>100</v>
      </c>
      <c r="T34" s="669" t="s">
        <v>14</v>
      </c>
      <c r="U34" s="670">
        <f t="shared" si="13"/>
        <v>101</v>
      </c>
      <c r="V34" s="669" t="s">
        <v>14</v>
      </c>
      <c r="W34" s="670">
        <f t="shared" si="14"/>
        <v>101</v>
      </c>
      <c r="X34" s="671"/>
      <c r="Y34" s="3456"/>
      <c r="Z34" s="672" t="str">
        <f t="shared" si="15"/>
        <v>项目建筑规模</v>
      </c>
      <c r="AA34" s="1264">
        <f t="shared" si="3"/>
        <v>1</v>
      </c>
      <c r="AB34" s="1264">
        <f t="shared" si="4"/>
        <v>0.99009900990099009</v>
      </c>
      <c r="AC34" s="1812">
        <f t="shared" si="5"/>
        <v>0.99009900990099009</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4"/>
      <c r="Q35" s="1263" t="str">
        <f t="shared" si="11"/>
        <v>建筑结构</v>
      </c>
      <c r="R35" s="667" t="s">
        <v>14</v>
      </c>
      <c r="S35" s="668">
        <f t="shared" si="12"/>
        <v>100</v>
      </c>
      <c r="T35" s="667" t="s">
        <v>14</v>
      </c>
      <c r="U35" s="668">
        <f t="shared" si="13"/>
        <v>100</v>
      </c>
      <c r="V35" s="667" t="s">
        <v>14</v>
      </c>
      <c r="W35" s="668">
        <f t="shared" si="14"/>
        <v>100</v>
      </c>
      <c r="X35" s="1265"/>
      <c r="Y35" s="3456"/>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4"/>
      <c r="Q36" s="1263" t="str">
        <f t="shared" si="11"/>
        <v>公共部分装修</v>
      </c>
      <c r="R36" s="667" t="s">
        <v>14</v>
      </c>
      <c r="S36" s="668">
        <f t="shared" si="12"/>
        <v>100</v>
      </c>
      <c r="T36" s="667" t="s">
        <v>14</v>
      </c>
      <c r="U36" s="668">
        <f t="shared" si="13"/>
        <v>100</v>
      </c>
      <c r="V36" s="667" t="s">
        <v>14</v>
      </c>
      <c r="W36" s="668">
        <f t="shared" si="14"/>
        <v>100</v>
      </c>
      <c r="X36" s="1265"/>
      <c r="Y36" s="3456"/>
      <c r="Z36" s="1264" t="str">
        <f t="shared" si="15"/>
        <v>公共部分装修</v>
      </c>
      <c r="AA36" s="1264">
        <f t="shared" si="3"/>
        <v>1</v>
      </c>
      <c r="AB36" s="1264">
        <f t="shared" si="4"/>
        <v>1</v>
      </c>
      <c r="AC36" s="1812">
        <f t="shared" si="5"/>
        <v>1</v>
      </c>
    </row>
    <row r="37" spans="1:29" ht="15">
      <c r="A37" s="409"/>
      <c r="B37" s="364" t="s">
        <v>1784</v>
      </c>
      <c r="C37" s="411">
        <v>0.85</v>
      </c>
      <c r="D37" s="374">
        <v>100</v>
      </c>
      <c r="E37" s="411">
        <v>0.85</v>
      </c>
      <c r="F37" s="400">
        <f>LOOKUP(E37,111:111,112:112)-LOOKUP(C37,111:111,112:112)+100</f>
        <v>100</v>
      </c>
      <c r="G37" s="411">
        <v>0.85</v>
      </c>
      <c r="H37" s="400">
        <f>LOOKUP(G37,111:111,112:112)-LOOKUP(C37,111:111,112:112)+100</f>
        <v>100</v>
      </c>
      <c r="I37" s="411">
        <v>0.85</v>
      </c>
      <c r="J37" s="374">
        <f>LOOKUP(I37,111:111,112:112)-LOOKUP(C37,111:111,112:112)+100</f>
        <v>100</v>
      </c>
      <c r="K37" s="538"/>
      <c r="L37" s="2493"/>
      <c r="M37" s="2488"/>
      <c r="N37" s="2488"/>
      <c r="O37" s="2488"/>
      <c r="P37" s="3454"/>
      <c r="Q37" s="1263" t="str">
        <f t="shared" si="11"/>
        <v>成新度</v>
      </c>
      <c r="R37" s="667" t="s">
        <v>14</v>
      </c>
      <c r="S37" s="668">
        <f t="shared" si="12"/>
        <v>100</v>
      </c>
      <c r="T37" s="667" t="s">
        <v>14</v>
      </c>
      <c r="U37" s="668">
        <f t="shared" si="13"/>
        <v>100</v>
      </c>
      <c r="V37" s="667" t="s">
        <v>14</v>
      </c>
      <c r="W37" s="668">
        <f t="shared" si="14"/>
        <v>100</v>
      </c>
      <c r="X37" s="1265"/>
      <c r="Y37" s="3456"/>
      <c r="Z37" s="1264" t="str">
        <f t="shared" si="15"/>
        <v>成新度</v>
      </c>
      <c r="AA37" s="1264">
        <f t="shared" si="3"/>
        <v>1</v>
      </c>
      <c r="AB37" s="1264">
        <f t="shared" si="4"/>
        <v>1</v>
      </c>
      <c r="AC37" s="1812">
        <f t="shared" si="5"/>
        <v>1</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4"/>
      <c r="Q38" s="530" t="str">
        <f t="shared" si="11"/>
        <v>写字楼等级</v>
      </c>
      <c r="R38" s="664" t="s">
        <v>14</v>
      </c>
      <c r="S38" s="665">
        <f t="shared" si="12"/>
        <v>100</v>
      </c>
      <c r="T38" s="664" t="s">
        <v>14</v>
      </c>
      <c r="U38" s="665">
        <f t="shared" si="13"/>
        <v>100</v>
      </c>
      <c r="V38" s="664" t="s">
        <v>14</v>
      </c>
      <c r="W38" s="665">
        <f t="shared" si="14"/>
        <v>100</v>
      </c>
      <c r="X38" s="666"/>
      <c r="Y38" s="3456"/>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4" t="s">
        <v>1694</v>
      </c>
      <c r="Q39" s="1263" t="str">
        <f t="shared" si="11"/>
        <v>物业管理</v>
      </c>
      <c r="R39" s="667" t="s">
        <v>14</v>
      </c>
      <c r="S39" s="668">
        <f t="shared" si="12"/>
        <v>100</v>
      </c>
      <c r="T39" s="667" t="s">
        <v>14</v>
      </c>
      <c r="U39" s="668">
        <f t="shared" si="13"/>
        <v>100</v>
      </c>
      <c r="V39" s="667" t="s">
        <v>14</v>
      </c>
      <c r="W39" s="668">
        <f t="shared" si="14"/>
        <v>100</v>
      </c>
      <c r="X39" s="1265"/>
      <c r="Y39" s="3456"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4"/>
      <c r="Q40" s="1263" t="str">
        <f t="shared" si="11"/>
        <v>市政基础设施</v>
      </c>
      <c r="R40" s="667" t="s">
        <v>14</v>
      </c>
      <c r="S40" s="668">
        <f t="shared" si="12"/>
        <v>100</v>
      </c>
      <c r="T40" s="667" t="s">
        <v>14</v>
      </c>
      <c r="U40" s="668">
        <f t="shared" si="13"/>
        <v>100</v>
      </c>
      <c r="V40" s="667" t="s">
        <v>14</v>
      </c>
      <c r="W40" s="668">
        <f t="shared" si="14"/>
        <v>100</v>
      </c>
      <c r="X40" s="1265"/>
      <c r="Y40" s="3456"/>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4"/>
      <c r="Q41" s="1263" t="str">
        <f t="shared" si="11"/>
        <v>层高</v>
      </c>
      <c r="R41" s="667" t="s">
        <v>14</v>
      </c>
      <c r="S41" s="668">
        <f t="shared" si="12"/>
        <v>100</v>
      </c>
      <c r="T41" s="667" t="s">
        <v>14</v>
      </c>
      <c r="U41" s="668">
        <f t="shared" si="13"/>
        <v>100</v>
      </c>
      <c r="V41" s="667" t="s">
        <v>14</v>
      </c>
      <c r="W41" s="668">
        <f t="shared" si="14"/>
        <v>100</v>
      </c>
      <c r="X41" s="1265"/>
      <c r="Y41" s="3456"/>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4"/>
      <c r="Q42" s="531" t="str">
        <f t="shared" si="11"/>
        <v>单套建筑面积</v>
      </c>
      <c r="R42" s="669" t="s">
        <v>14</v>
      </c>
      <c r="S42" s="670">
        <f t="shared" si="12"/>
        <v>100</v>
      </c>
      <c r="T42" s="669" t="s">
        <v>14</v>
      </c>
      <c r="U42" s="670">
        <f t="shared" si="13"/>
        <v>100</v>
      </c>
      <c r="V42" s="669" t="s">
        <v>14</v>
      </c>
      <c r="W42" s="670">
        <f t="shared" si="14"/>
        <v>100</v>
      </c>
      <c r="X42" s="671"/>
      <c r="Y42" s="3456"/>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4"/>
      <c r="Q43" s="1263" t="str">
        <f t="shared" si="11"/>
        <v>内部装修</v>
      </c>
      <c r="R43" s="667" t="s">
        <v>14</v>
      </c>
      <c r="S43" s="668">
        <f t="shared" si="12"/>
        <v>100</v>
      </c>
      <c r="T43" s="667" t="s">
        <v>14</v>
      </c>
      <c r="U43" s="668">
        <f t="shared" si="13"/>
        <v>100</v>
      </c>
      <c r="V43" s="667" t="s">
        <v>14</v>
      </c>
      <c r="W43" s="668">
        <f t="shared" si="14"/>
        <v>100</v>
      </c>
      <c r="X43" s="1265"/>
      <c r="Y43" s="3456"/>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4"/>
      <c r="Q44" s="1263" t="str">
        <f t="shared" si="11"/>
        <v>内部装修维护情况</v>
      </c>
      <c r="R44" s="667" t="s">
        <v>14</v>
      </c>
      <c r="S44" s="668">
        <f t="shared" si="12"/>
        <v>100</v>
      </c>
      <c r="T44" s="667" t="s">
        <v>14</v>
      </c>
      <c r="U44" s="668">
        <f t="shared" si="13"/>
        <v>100</v>
      </c>
      <c r="V44" s="667" t="s">
        <v>14</v>
      </c>
      <c r="W44" s="668">
        <f t="shared" si="14"/>
        <v>100</v>
      </c>
      <c r="X44" s="1265"/>
      <c r="Y44" s="345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4"/>
      <c r="Q45" s="530">
        <f t="shared" si="11"/>
        <v>111</v>
      </c>
      <c r="R45" s="664" t="s">
        <v>14</v>
      </c>
      <c r="S45" s="665">
        <f t="shared" si="12"/>
        <v>100</v>
      </c>
      <c r="T45" s="664" t="s">
        <v>14</v>
      </c>
      <c r="U45" s="665">
        <f t="shared" si="13"/>
        <v>100</v>
      </c>
      <c r="V45" s="664" t="s">
        <v>14</v>
      </c>
      <c r="W45" s="665">
        <f t="shared" si="14"/>
        <v>100</v>
      </c>
      <c r="X45" s="666"/>
      <c r="Y45" s="345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4"/>
      <c r="Q46" s="1263">
        <f t="shared" si="11"/>
        <v>111</v>
      </c>
      <c r="R46" s="667" t="s">
        <v>14</v>
      </c>
      <c r="S46" s="668">
        <f t="shared" si="12"/>
        <v>100</v>
      </c>
      <c r="T46" s="667" t="s">
        <v>14</v>
      </c>
      <c r="U46" s="668">
        <f t="shared" si="13"/>
        <v>100</v>
      </c>
      <c r="V46" s="667" t="s">
        <v>14</v>
      </c>
      <c r="W46" s="668">
        <f t="shared" si="14"/>
        <v>100</v>
      </c>
      <c r="X46" s="1265"/>
      <c r="Y46" s="345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5"/>
      <c r="Q47" s="1263">
        <f t="shared" si="11"/>
        <v>111</v>
      </c>
      <c r="R47" s="667" t="s">
        <v>14</v>
      </c>
      <c r="S47" s="668">
        <f t="shared" si="12"/>
        <v>100</v>
      </c>
      <c r="T47" s="667" t="s">
        <v>14</v>
      </c>
      <c r="U47" s="668">
        <f t="shared" si="13"/>
        <v>100</v>
      </c>
      <c r="V47" s="667" t="s">
        <v>14</v>
      </c>
      <c r="W47" s="668">
        <f t="shared" si="14"/>
        <v>100</v>
      </c>
      <c r="X47" s="1265"/>
      <c r="Y47" s="3457"/>
      <c r="Z47" s="1264">
        <f t="shared" si="15"/>
        <v>111</v>
      </c>
      <c r="AA47" s="1264">
        <f t="shared" si="3"/>
        <v>1</v>
      </c>
      <c r="AB47" s="1264">
        <f t="shared" si="4"/>
        <v>1</v>
      </c>
      <c r="AC47" s="1812">
        <f t="shared" si="5"/>
        <v>1</v>
      </c>
    </row>
    <row r="48" spans="1:29" ht="15">
      <c r="A48" s="416" t="s">
        <v>1706</v>
      </c>
      <c r="B48" s="417"/>
      <c r="C48" s="1081" t="s">
        <v>0</v>
      </c>
      <c r="D48" s="418"/>
      <c r="E48" s="419">
        <f>市场售价案例!G40</f>
        <v>8002</v>
      </c>
      <c r="F48" s="420"/>
      <c r="G48" s="421">
        <f>市场售价案例!T79</f>
        <v>8401</v>
      </c>
      <c r="H48" s="422"/>
      <c r="I48" s="419">
        <v>6683</v>
      </c>
      <c r="J48" s="422"/>
      <c r="K48" s="674"/>
      <c r="L48" s="2495"/>
      <c r="M48" s="2488"/>
      <c r="N48" s="2488"/>
      <c r="O48" s="2488"/>
      <c r="P48" s="3432" t="str">
        <f>A48</f>
        <v>成交单价（元/平方米）</v>
      </c>
      <c r="Q48" s="3450"/>
      <c r="R48" s="3445">
        <f>E48</f>
        <v>8002</v>
      </c>
      <c r="S48" s="3445"/>
      <c r="T48" s="3445">
        <f>G48</f>
        <v>8401</v>
      </c>
      <c r="U48" s="3445"/>
      <c r="V48" s="3445">
        <f>I48</f>
        <v>6683</v>
      </c>
      <c r="W48" s="3445"/>
      <c r="X48" s="385"/>
      <c r="Y48" s="673"/>
      <c r="Z48" s="385"/>
      <c r="AA48" s="385"/>
      <c r="AB48" s="385"/>
      <c r="AC48" s="555"/>
    </row>
    <row r="49" spans="1:29" ht="15.75" thickBot="1">
      <c r="A49" s="423" t="s">
        <v>1791</v>
      </c>
      <c r="B49" s="424"/>
      <c r="C49" s="1082">
        <f>R50</f>
        <v>8013</v>
      </c>
      <c r="D49" s="2141" t="s">
        <v>2136</v>
      </c>
      <c r="E49" s="1083">
        <f>R49</f>
        <v>8513</v>
      </c>
      <c r="F49" s="2142"/>
      <c r="G49" s="1082">
        <f>T49</f>
        <v>8488</v>
      </c>
      <c r="H49" s="2142"/>
      <c r="I49" s="1083">
        <f>V49</f>
        <v>7039</v>
      </c>
      <c r="J49" s="2142"/>
      <c r="K49" s="2144">
        <f>F49+H49+J49</f>
        <v>0</v>
      </c>
      <c r="L49" s="2495"/>
      <c r="M49" s="2488"/>
      <c r="N49" s="2488"/>
      <c r="O49" s="2488"/>
      <c r="P49" s="3432" t="str">
        <f>A49</f>
        <v>比较价值（元/平方米）</v>
      </c>
      <c r="Q49" s="3450"/>
      <c r="R49" s="3445">
        <f>IF(F1="售价",ROUND(PRODUCT(R48,AA7:AA47),0),ROUND(PRODUCT(R48,AA7:AA47),1))</f>
        <v>8513</v>
      </c>
      <c r="S49" s="3445"/>
      <c r="T49" s="3445">
        <f>IF(F1="售价",ROUND(PRODUCT(T48,AB7:AB47),0),ROUND(PRODUCT(T48,AB7:AB47),1))</f>
        <v>8488</v>
      </c>
      <c r="U49" s="3445"/>
      <c r="V49" s="3445">
        <f>IF(F1="售价",ROUND(PRODUCT(V48,AC7:AC47),0),ROUND(PRODUCT(V48,AC7:AC47),1))</f>
        <v>7039</v>
      </c>
      <c r="W49" s="3445"/>
      <c r="X49" s="385"/>
      <c r="Y49" s="385"/>
      <c r="Z49" s="385"/>
      <c r="AA49" s="385"/>
      <c r="AB49" s="385"/>
      <c r="AC49" s="555"/>
    </row>
    <row r="50" spans="1:29" ht="15.75" thickBot="1">
      <c r="A50" s="427" t="s">
        <v>1792</v>
      </c>
      <c r="B50" s="428"/>
      <c r="C50" s="351">
        <f>R50</f>
        <v>8013</v>
      </c>
      <c r="D50" s="351"/>
      <c r="E50" s="351"/>
      <c r="F50" s="351"/>
      <c r="G50" s="351"/>
      <c r="H50" s="351"/>
      <c r="I50" s="351"/>
      <c r="J50" s="429"/>
      <c r="K50" s="675"/>
      <c r="L50" s="2495"/>
      <c r="M50" s="2488"/>
      <c r="N50" s="2488"/>
      <c r="O50" s="2488"/>
      <c r="P50" s="3472" t="str">
        <f>A50</f>
        <v>估价对象XX用房的比较价值（楼面单价，元/平方米）</v>
      </c>
      <c r="Q50" s="3473"/>
      <c r="R50" s="3474">
        <f>IF(F1="售价",ROUND(IF(D49="简单平均",AVERAGE(R49:V49),R49*F49+T49*H49+V49*J49),0),ROUND(IF(D49="简单平均",AVERAGE(R49:V49),R49*F49+T49*H49+V49*J49),1))</f>
        <v>8013</v>
      </c>
      <c r="S50" s="3474"/>
      <c r="T50" s="3474"/>
      <c r="U50" s="3474"/>
      <c r="V50" s="3474"/>
      <c r="W50" s="347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f>IF(E48&lt;E49,E49/E48-1,E48/E49-1)</f>
        <v>6.3859035241189632E-2</v>
      </c>
      <c r="F53" s="435" t="str">
        <f>IF(OR(E53&gt;=0.3,E53&lt;=-0.3),"超过30%","")</f>
        <v/>
      </c>
      <c r="G53" s="434">
        <f>IF(G48&lt;G49,G49/G48-1,G48/G49-1)</f>
        <v>1.0355910010713121E-2</v>
      </c>
      <c r="H53" s="435" t="str">
        <f>IF(OR(G53&gt;=0.3,G53&lt;=-0.3),"超过30%","")</f>
        <v/>
      </c>
      <c r="I53" s="434">
        <f>IF(I48&lt;I49,I49/I48-1,I48/I49-1)</f>
        <v>5.3269489750112253E-2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f>IF(E49&lt;G49,G49/E49-1,E49/G49-1)</f>
        <v>2.9453345900094519E-3</v>
      </c>
      <c r="F54" s="435" t="str">
        <f>IF(OR(E54&gt;=0.2,E54&lt;=-0.2),"超过20%","")</f>
        <v/>
      </c>
      <c r="G54" s="434">
        <f>IF(G49&lt;I49,I49/G49-1,G49/I49-1)</f>
        <v>0.20585310413411007</v>
      </c>
      <c r="H54" s="435" t="str">
        <f>IF(OR(G54&gt;=0.2,G54&lt;=-0.2),"超过20%","")</f>
        <v>超过20%</v>
      </c>
      <c r="I54" s="434">
        <f>IF(I49&lt;E49,E49/I49-1,I49/E49-1)</f>
        <v>0.20940474499218631</v>
      </c>
      <c r="J54" s="435" t="str">
        <f>IF(OR(I54&gt;=0.2,I54&lt;=-0.2),"超过20%","")</f>
        <v>超过20%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f>IF(E48&lt;G48,G48/E48-1,E48/G48-1)</f>
        <v>4.9862534366408306E-2</v>
      </c>
      <c r="F55" s="435" t="str">
        <f>IF(OR(E55&gt;=0.3,E55&lt;=-0.3),"超过30%","")</f>
        <v/>
      </c>
      <c r="G55" s="434">
        <f>IF(G48&lt;I48,I48/G48-1,G48/I48-1)</f>
        <v>0.25707017806374388</v>
      </c>
      <c r="H55" s="435" t="str">
        <f>IF(OR(G55&gt;=0.3,G55&lt;=-0.3),"超过30%","")</f>
        <v/>
      </c>
      <c r="I55" s="434">
        <f>IF(I48&lt;E48,E48/I48-1,I48/E48-1)</f>
        <v>0.19736645219212923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3571">
        <f t="shared" ref="P59" si="17">EDATE(O59,-1)</f>
        <v>45566</v>
      </c>
      <c r="Q59" s="3571">
        <f t="shared" ref="Q59" si="18">EDATE(P59,-1)</f>
        <v>45536</v>
      </c>
      <c r="R59" s="3571">
        <f t="shared" ref="R59" si="19">EDATE(Q59,-1)</f>
        <v>45505</v>
      </c>
      <c r="S59" s="3571">
        <f t="shared" ref="S59" si="20">EDATE(R59,-1)</f>
        <v>45474</v>
      </c>
      <c r="T59" s="3571">
        <f t="shared" ref="T59" si="21">EDATE(S59,-1)</f>
        <v>45444</v>
      </c>
      <c r="U59" s="3571">
        <f t="shared" ref="U59" si="22">EDATE(T59,-1)</f>
        <v>45413</v>
      </c>
      <c r="V59" s="3571">
        <f t="shared" ref="V59" si="23">EDATE(U59,-1)</f>
        <v>45383</v>
      </c>
      <c r="W59" s="3571">
        <f t="shared" ref="W59" si="24">EDATE(V59,-1)</f>
        <v>45352</v>
      </c>
      <c r="X59" s="3571">
        <f t="shared" ref="X59" si="25">EDATE(W59,-1)</f>
        <v>45323</v>
      </c>
      <c r="Y59" s="3571">
        <f t="shared" ref="Y59" si="26">EDATE(X59,-1)</f>
        <v>45292</v>
      </c>
      <c r="Z59" s="3571">
        <f t="shared" ref="Z59" si="27">EDATE(Y59,-1)</f>
        <v>45261</v>
      </c>
      <c r="AA59" s="2511"/>
      <c r="AB59" s="2511"/>
      <c r="AC59" s="2511"/>
    </row>
    <row r="60" spans="1:29" s="102" customFormat="1" ht="15">
      <c r="A60" s="443"/>
      <c r="B60" s="444"/>
      <c r="C60" s="1102">
        <v>100</v>
      </c>
      <c r="D60" s="446">
        <v>100</v>
      </c>
      <c r="E60" s="446">
        <v>100</v>
      </c>
      <c r="F60" s="446">
        <v>100</v>
      </c>
      <c r="G60" s="446">
        <v>100</v>
      </c>
      <c r="H60" s="446">
        <v>100</v>
      </c>
      <c r="I60" s="446">
        <f>H60-2</f>
        <v>98</v>
      </c>
      <c r="J60" s="446">
        <v>98</v>
      </c>
      <c r="K60" s="446">
        <v>98</v>
      </c>
      <c r="L60" s="446">
        <v>98</v>
      </c>
      <c r="M60" s="446">
        <v>98</v>
      </c>
      <c r="N60" s="446">
        <v>96</v>
      </c>
      <c r="O60" s="446">
        <v>96</v>
      </c>
      <c r="P60" s="446">
        <v>96</v>
      </c>
      <c r="Q60" s="446">
        <v>96</v>
      </c>
      <c r="R60" s="446">
        <v>96</v>
      </c>
      <c r="S60" s="446">
        <v>96</v>
      </c>
      <c r="T60" s="446">
        <v>96</v>
      </c>
      <c r="U60" s="446">
        <v>94</v>
      </c>
      <c r="V60" s="446">
        <v>94</v>
      </c>
      <c r="W60" s="446">
        <v>94</v>
      </c>
      <c r="X60" s="446">
        <v>94</v>
      </c>
      <c r="Y60" s="446">
        <v>94</v>
      </c>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28">D69&amp;"（含）"&amp;"-"&amp;E69</f>
        <v>3（含）-</v>
      </c>
      <c r="E68" s="478" t="str">
        <f t="shared" si="28"/>
        <v>（含）-</v>
      </c>
      <c r="F68" s="478" t="str">
        <f t="shared" si="28"/>
        <v>（含）-</v>
      </c>
      <c r="G68" s="478" t="str">
        <f t="shared" si="28"/>
        <v>（含）-</v>
      </c>
      <c r="H68" s="478" t="str">
        <f t="shared" si="28"/>
        <v>（含）-</v>
      </c>
      <c r="I68" s="478" t="str">
        <f t="shared" si="28"/>
        <v>（含）-</v>
      </c>
      <c r="J68" s="478" t="str">
        <f t="shared" si="28"/>
        <v>（含）-</v>
      </c>
      <c r="K68" s="478" t="str">
        <f t="shared" si="28"/>
        <v>（含）-</v>
      </c>
      <c r="L68" s="478" t="str">
        <f t="shared" si="2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29">C70-$K11</f>
        <v>100</v>
      </c>
      <c r="E70" s="475">
        <f t="shared" si="29"/>
        <v>100</v>
      </c>
      <c r="F70" s="475">
        <f t="shared" si="29"/>
        <v>100</v>
      </c>
      <c r="G70" s="475">
        <f t="shared" si="29"/>
        <v>100</v>
      </c>
      <c r="H70" s="475">
        <f t="shared" si="29"/>
        <v>100</v>
      </c>
      <c r="I70" s="475">
        <f t="shared" si="29"/>
        <v>100</v>
      </c>
      <c r="J70" s="475">
        <f t="shared" si="29"/>
        <v>100</v>
      </c>
      <c r="K70" s="475">
        <f t="shared" si="29"/>
        <v>100</v>
      </c>
      <c r="L70" s="475">
        <f t="shared" si="29"/>
        <v>100</v>
      </c>
      <c r="M70" s="476">
        <f t="shared" si="29"/>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0">C88-$K25</f>
        <v>100</v>
      </c>
      <c r="E88" s="475">
        <f t="shared" si="30"/>
        <v>100</v>
      </c>
      <c r="F88" s="475">
        <f t="shared" si="30"/>
        <v>100</v>
      </c>
      <c r="G88" s="475">
        <f t="shared" si="30"/>
        <v>100</v>
      </c>
      <c r="H88" s="475">
        <f t="shared" si="30"/>
        <v>100</v>
      </c>
      <c r="I88" s="475">
        <f t="shared" si="30"/>
        <v>100</v>
      </c>
      <c r="J88" s="475">
        <f t="shared" si="30"/>
        <v>100</v>
      </c>
      <c r="K88" s="475">
        <f t="shared" si="30"/>
        <v>100</v>
      </c>
      <c r="L88" s="475">
        <f t="shared" si="30"/>
        <v>100</v>
      </c>
      <c r="M88" s="475">
        <f t="shared" si="30"/>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1">D90-$K27</f>
        <v>100</v>
      </c>
      <c r="F90" s="475">
        <f t="shared" si="31"/>
        <v>100</v>
      </c>
      <c r="G90" s="475">
        <f t="shared" si="31"/>
        <v>100</v>
      </c>
      <c r="H90" s="475">
        <f t="shared" si="31"/>
        <v>100</v>
      </c>
      <c r="I90" s="475">
        <f t="shared" si="31"/>
        <v>100</v>
      </c>
      <c r="J90" s="475">
        <f t="shared" si="31"/>
        <v>100</v>
      </c>
      <c r="K90" s="475">
        <f t="shared" si="31"/>
        <v>100</v>
      </c>
      <c r="L90" s="475">
        <f t="shared" si="31"/>
        <v>100</v>
      </c>
      <c r="M90" s="475">
        <f t="shared" si="31"/>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2">C92-$K28</f>
        <v>100</v>
      </c>
      <c r="E92" s="475">
        <f t="shared" si="32"/>
        <v>100</v>
      </c>
      <c r="F92" s="475">
        <f t="shared" si="32"/>
        <v>100</v>
      </c>
      <c r="G92" s="475">
        <f t="shared" si="32"/>
        <v>100</v>
      </c>
      <c r="H92" s="475">
        <f t="shared" si="32"/>
        <v>100</v>
      </c>
      <c r="I92" s="475">
        <f t="shared" si="32"/>
        <v>100</v>
      </c>
      <c r="J92" s="475">
        <f t="shared" si="32"/>
        <v>100</v>
      </c>
      <c r="K92" s="475">
        <f t="shared" si="32"/>
        <v>100</v>
      </c>
      <c r="L92" s="475">
        <f t="shared" si="32"/>
        <v>100</v>
      </c>
      <c r="M92" s="475">
        <f t="shared" si="32"/>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3">C102-$K33</f>
        <v>100</v>
      </c>
      <c r="E102" s="475">
        <f t="shared" si="33"/>
        <v>100</v>
      </c>
      <c r="F102" s="475">
        <f t="shared" si="33"/>
        <v>100</v>
      </c>
      <c r="G102" s="475">
        <f t="shared" si="33"/>
        <v>100</v>
      </c>
      <c r="H102" s="475">
        <f t="shared" si="33"/>
        <v>100</v>
      </c>
      <c r="I102" s="475">
        <f t="shared" si="33"/>
        <v>100</v>
      </c>
      <c r="J102" s="475">
        <f t="shared" si="33"/>
        <v>100</v>
      </c>
      <c r="K102" s="475">
        <f t="shared" si="33"/>
        <v>100</v>
      </c>
      <c r="L102" s="475">
        <f t="shared" si="33"/>
        <v>100</v>
      </c>
      <c r="M102" s="476">
        <f t="shared" si="33"/>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0(含)-50</v>
      </c>
      <c r="D103" s="509" t="str">
        <f t="shared" ref="D103:L103" si="34">D104&amp;"(含)"&amp;"-"&amp;E104</f>
        <v>50(含)-100</v>
      </c>
      <c r="E103" s="509" t="str">
        <f t="shared" si="34"/>
        <v>100(含)-</v>
      </c>
      <c r="F103" s="509" t="str">
        <f t="shared" si="34"/>
        <v>(含)-</v>
      </c>
      <c r="G103" s="509" t="str">
        <f t="shared" si="34"/>
        <v>(含)-</v>
      </c>
      <c r="H103" s="509" t="str">
        <f t="shared" si="34"/>
        <v>(含)-</v>
      </c>
      <c r="I103" s="509" t="str">
        <f t="shared" si="34"/>
        <v>(含)-</v>
      </c>
      <c r="J103" s="509" t="str">
        <f t="shared" si="34"/>
        <v>(含)-</v>
      </c>
      <c r="K103" s="509" t="str">
        <f t="shared" si="34"/>
        <v>(含)-</v>
      </c>
      <c r="L103" s="509" t="str">
        <f t="shared" si="3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5">C107-$K35</f>
        <v>100</v>
      </c>
      <c r="E107" s="475">
        <f t="shared" si="35"/>
        <v>100</v>
      </c>
      <c r="F107" s="475">
        <f t="shared" si="35"/>
        <v>100</v>
      </c>
      <c r="G107" s="475">
        <f t="shared" si="35"/>
        <v>100</v>
      </c>
      <c r="H107" s="475">
        <f t="shared" si="35"/>
        <v>100</v>
      </c>
      <c r="I107" s="475">
        <f t="shared" si="35"/>
        <v>100</v>
      </c>
      <c r="J107" s="475">
        <f t="shared" si="35"/>
        <v>100</v>
      </c>
      <c r="K107" s="475">
        <f t="shared" si="35"/>
        <v>100</v>
      </c>
      <c r="L107" s="475">
        <f t="shared" si="35"/>
        <v>100</v>
      </c>
      <c r="M107" s="476">
        <f t="shared" si="3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36">C109-$K36</f>
        <v>100</v>
      </c>
      <c r="E109" s="475">
        <f t="shared" si="36"/>
        <v>100</v>
      </c>
      <c r="F109" s="475">
        <f t="shared" si="36"/>
        <v>100</v>
      </c>
      <c r="G109" s="475">
        <f t="shared" si="36"/>
        <v>100</v>
      </c>
      <c r="H109" s="475">
        <f t="shared" si="36"/>
        <v>100</v>
      </c>
      <c r="I109" s="475">
        <f t="shared" si="36"/>
        <v>100</v>
      </c>
      <c r="J109" s="475">
        <f t="shared" si="36"/>
        <v>100</v>
      </c>
      <c r="K109" s="475">
        <f t="shared" si="36"/>
        <v>100</v>
      </c>
      <c r="L109" s="475">
        <f t="shared" si="36"/>
        <v>100</v>
      </c>
      <c r="M109" s="476">
        <f t="shared" si="3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37">D112+$K37</f>
        <v>100</v>
      </c>
      <c r="F112" s="475">
        <f t="shared" si="37"/>
        <v>100</v>
      </c>
      <c r="G112" s="475">
        <f t="shared" si="37"/>
        <v>100</v>
      </c>
      <c r="H112" s="475">
        <f t="shared" si="37"/>
        <v>100</v>
      </c>
      <c r="I112" s="475">
        <f t="shared" si="37"/>
        <v>100</v>
      </c>
      <c r="J112" s="475">
        <f t="shared" si="37"/>
        <v>100</v>
      </c>
      <c r="K112" s="475">
        <f t="shared" si="37"/>
        <v>100</v>
      </c>
      <c r="L112" s="475">
        <f t="shared" si="37"/>
        <v>100</v>
      </c>
      <c r="M112" s="475">
        <f t="shared" si="37"/>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38">D114-$K38</f>
        <v>100</v>
      </c>
      <c r="F114" s="475">
        <f t="shared" si="38"/>
        <v>100</v>
      </c>
      <c r="G114" s="475">
        <f t="shared" si="38"/>
        <v>100</v>
      </c>
      <c r="H114" s="475">
        <f t="shared" si="38"/>
        <v>100</v>
      </c>
      <c r="I114" s="475">
        <f t="shared" si="38"/>
        <v>100</v>
      </c>
      <c r="J114" s="475">
        <f t="shared" si="38"/>
        <v>100</v>
      </c>
      <c r="K114" s="475">
        <f t="shared" si="38"/>
        <v>100</v>
      </c>
      <c r="L114" s="475">
        <f t="shared" si="38"/>
        <v>100</v>
      </c>
      <c r="M114" s="475">
        <f t="shared" si="3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39">C116-$K39</f>
        <v>100</v>
      </c>
      <c r="E116" s="475">
        <f t="shared" si="39"/>
        <v>100</v>
      </c>
      <c r="F116" s="475">
        <f t="shared" si="39"/>
        <v>100</v>
      </c>
      <c r="G116" s="475">
        <f t="shared" si="39"/>
        <v>100</v>
      </c>
      <c r="H116" s="475">
        <f t="shared" si="39"/>
        <v>100</v>
      </c>
      <c r="I116" s="475">
        <f t="shared" si="39"/>
        <v>100</v>
      </c>
      <c r="J116" s="475">
        <f t="shared" si="39"/>
        <v>100</v>
      </c>
      <c r="K116" s="475">
        <f t="shared" si="39"/>
        <v>100</v>
      </c>
      <c r="L116" s="475">
        <f t="shared" si="39"/>
        <v>100</v>
      </c>
      <c r="M116" s="476">
        <f t="shared" si="3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40">D120-$K41</f>
        <v>100</v>
      </c>
      <c r="F120" s="475">
        <f t="shared" si="40"/>
        <v>100</v>
      </c>
      <c r="G120" s="475">
        <f t="shared" si="40"/>
        <v>100</v>
      </c>
      <c r="H120" s="475">
        <f t="shared" si="40"/>
        <v>100</v>
      </c>
      <c r="I120" s="475">
        <f t="shared" si="40"/>
        <v>100</v>
      </c>
      <c r="J120" s="475">
        <f t="shared" si="40"/>
        <v>100</v>
      </c>
      <c r="K120" s="475">
        <f t="shared" si="40"/>
        <v>100</v>
      </c>
      <c r="L120" s="475">
        <f t="shared" si="40"/>
        <v>100</v>
      </c>
      <c r="M120" s="475">
        <f t="shared" si="4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1">C124-$K43</f>
        <v>100</v>
      </c>
      <c r="E124" s="475">
        <f t="shared" si="41"/>
        <v>100</v>
      </c>
      <c r="F124" s="475">
        <f t="shared" si="41"/>
        <v>100</v>
      </c>
      <c r="G124" s="475">
        <f t="shared" si="41"/>
        <v>100</v>
      </c>
      <c r="H124" s="475">
        <f t="shared" si="41"/>
        <v>100</v>
      </c>
      <c r="I124" s="475">
        <f t="shared" si="41"/>
        <v>100</v>
      </c>
      <c r="J124" s="475">
        <f t="shared" si="41"/>
        <v>100</v>
      </c>
      <c r="K124" s="475">
        <f t="shared" si="41"/>
        <v>100</v>
      </c>
      <c r="L124" s="475">
        <f t="shared" si="41"/>
        <v>100</v>
      </c>
      <c r="M124" s="476">
        <f t="shared" si="4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897</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898</v>
      </c>
    </row>
    <row r="6" spans="1:1" ht="18.75">
      <c r="A6" s="1384" t="s">
        <v>899</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估价对象为房地产，为所有。根据《国有土地使用证》[]，估价对象（分摊）出让国有建设用地使用权面积为0平方米，建筑面积为11841.61平方米。</v>
      </c>
    </row>
    <row r="8" spans="1:1" ht="57.75">
      <c r="A8" s="1385" t="s">
        <v>900</v>
      </c>
    </row>
    <row r="9" spans="1:1" ht="18.75">
      <c r="A9" s="1384" t="s">
        <v>901</v>
      </c>
    </row>
    <row r="10" spans="1:1" ht="18">
      <c r="A10" s="1382"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估价对象为房地产,属开发建设的，该项目尚在开发建设中。根据《国有土地使用证》[]，估价对象（分摊）出让国有建设用地使用权面积为0平方米，规划建筑面积为11841.61平方米。</v>
      </c>
    </row>
    <row r="11" spans="1:1" ht="76.5">
      <c r="A11" s="1385" t="s">
        <v>902</v>
      </c>
    </row>
    <row r="12" spans="1:1" ht="18.75">
      <c r="A12" s="1383" t="s">
        <v>903</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904</v>
      </c>
    </row>
    <row r="15" spans="1:1" ht="18">
      <c r="A15" s="1386" t="str">
        <f>TEXT(项目基本情况!D3,"yyyy年m月d日;;")&amp;IF(项目基本情况!D3=项目基本情况!B3,"（评估专业人员实地查勘之日）","")</f>
        <v>2025年11月13日（评估专业人员实地查勘之日）</v>
      </c>
    </row>
    <row r="16" spans="1:1" ht="18.75">
      <c r="A16" s="1381" t="s">
        <v>905</v>
      </c>
    </row>
    <row r="17" spans="1:1" ht="75">
      <c r="A17" s="1382" t="s">
        <v>906</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895</v>
      </c>
    </row>
    <row r="24" spans="1:1" ht="18">
      <c r="A24" s="1387" t="str">
        <f>"本次评估采用的主估价方法为"&amp;'结果表-1层商业'!K4&amp;"和"&amp;'结果表-1层商业'!L4&amp;"。"</f>
        <v>本次评估采用的主估价方法为收益法和比较法。</v>
      </c>
    </row>
    <row r="25" spans="1:1" ht="18">
      <c r="A25" s="1387"/>
    </row>
    <row r="26" spans="1:1" ht="18.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0EDD-9127-457A-A802-8852D73E1A39}">
  <sheetPr>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59" t="str">
        <f>项目基本情况!S2</f>
        <v>房地产</v>
      </c>
      <c r="B2" s="3360"/>
      <c r="C2" s="3360"/>
      <c r="D2" s="3360"/>
      <c r="E2" s="3360"/>
      <c r="F2" s="3360"/>
      <c r="G2" s="3360"/>
      <c r="H2" s="3360"/>
      <c r="I2" s="3361"/>
    </row>
    <row r="3" spans="1:12" ht="12.75">
      <c r="A3" s="3363" t="s">
        <v>1262</v>
      </c>
      <c r="B3" s="3364"/>
      <c r="C3" s="3364"/>
      <c r="D3" s="3364"/>
      <c r="E3" s="3364"/>
      <c r="F3" s="3364"/>
      <c r="G3" s="3364"/>
      <c r="H3" s="3364"/>
      <c r="I3" s="3364"/>
    </row>
    <row r="4" spans="1:12" ht="14.25">
      <c r="A4" s="1624" t="s">
        <v>1263</v>
      </c>
      <c r="B4" s="1625" t="s">
        <v>1264</v>
      </c>
      <c r="C4" s="1626" t="s">
        <v>4780</v>
      </c>
      <c r="D4" s="1626" t="s">
        <v>4784</v>
      </c>
      <c r="E4" s="3368" t="s">
        <v>1265</v>
      </c>
      <c r="F4" s="3369"/>
      <c r="G4" s="3369"/>
      <c r="H4" s="3369"/>
      <c r="I4" s="3370"/>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307" t="s">
        <v>1266</v>
      </c>
      <c r="B5" s="3362">
        <v>25</v>
      </c>
      <c r="C5" s="3365"/>
      <c r="D5" s="3353"/>
      <c r="E5" s="123" t="s">
        <v>1267</v>
      </c>
      <c r="F5" s="1627"/>
      <c r="G5" s="1627"/>
      <c r="H5" s="1627"/>
      <c r="I5" s="1281"/>
    </row>
    <row r="6" spans="1:12" ht="12.75">
      <c r="A6" s="3307"/>
      <c r="B6" s="3362"/>
      <c r="C6" s="3367"/>
      <c r="D6" s="3353"/>
      <c r="E6" s="123" t="s">
        <v>1268</v>
      </c>
      <c r="F6" s="1627"/>
      <c r="G6" s="1627"/>
      <c r="H6" s="1627"/>
      <c r="I6" s="1281"/>
    </row>
    <row r="7" spans="1:12" ht="12.75">
      <c r="A7" s="3307"/>
      <c r="B7" s="3362"/>
      <c r="C7" s="3366"/>
      <c r="D7" s="3353"/>
      <c r="E7" s="123" t="s">
        <v>1269</v>
      </c>
      <c r="F7" s="1627"/>
      <c r="G7" s="1627"/>
      <c r="H7" s="1627"/>
      <c r="I7" s="1281"/>
    </row>
    <row r="8" spans="1:12" ht="12.75">
      <c r="A8" s="3307" t="s">
        <v>1270</v>
      </c>
      <c r="B8" s="3362">
        <v>15</v>
      </c>
      <c r="C8" s="3365"/>
      <c r="D8" s="3353"/>
      <c r="E8" s="123" t="s">
        <v>1271</v>
      </c>
      <c r="F8" s="1627"/>
      <c r="G8" s="1627"/>
      <c r="H8" s="1627"/>
      <c r="I8" s="1281"/>
    </row>
    <row r="9" spans="1:12" ht="12.75">
      <c r="A9" s="3307"/>
      <c r="B9" s="3362"/>
      <c r="C9" s="3366"/>
      <c r="D9" s="3353"/>
      <c r="E9" s="123" t="s">
        <v>1272</v>
      </c>
      <c r="F9" s="1627"/>
      <c r="G9" s="1627"/>
      <c r="H9" s="1627"/>
      <c r="I9" s="1281"/>
    </row>
    <row r="10" spans="1:12" ht="12.75">
      <c r="A10" s="3307" t="s">
        <v>1273</v>
      </c>
      <c r="B10" s="3362">
        <v>15</v>
      </c>
      <c r="C10" s="3365"/>
      <c r="D10" s="3353"/>
      <c r="E10" s="123" t="s">
        <v>1274</v>
      </c>
      <c r="F10" s="1627"/>
      <c r="G10" s="1627"/>
      <c r="H10" s="1627"/>
      <c r="I10" s="1281"/>
    </row>
    <row r="11" spans="1:12" ht="12.75">
      <c r="A11" s="3307"/>
      <c r="B11" s="3362"/>
      <c r="C11" s="3366"/>
      <c r="D11" s="3353"/>
      <c r="E11" s="123" t="s">
        <v>1275</v>
      </c>
      <c r="F11" s="1627"/>
      <c r="G11" s="1627"/>
      <c r="H11" s="1627"/>
      <c r="I11" s="1281"/>
    </row>
    <row r="12" spans="1:12" ht="12.75">
      <c r="A12" s="3307" t="s">
        <v>1276</v>
      </c>
      <c r="B12" s="3362">
        <v>15</v>
      </c>
      <c r="C12" s="3365"/>
      <c r="D12" s="3353"/>
      <c r="E12" s="123" t="s">
        <v>1277</v>
      </c>
      <c r="F12" s="1627"/>
      <c r="G12" s="1627"/>
      <c r="H12" s="1627"/>
      <c r="I12" s="1281"/>
    </row>
    <row r="13" spans="1:12" ht="12.75">
      <c r="A13" s="3307"/>
      <c r="B13" s="3362"/>
      <c r="C13" s="3366"/>
      <c r="D13" s="3353"/>
      <c r="E13" s="123" t="s">
        <v>1278</v>
      </c>
      <c r="F13" s="1627"/>
      <c r="G13" s="1627"/>
      <c r="H13" s="1627"/>
      <c r="I13" s="1281"/>
    </row>
    <row r="14" spans="1:12" ht="12.75">
      <c r="A14" s="3307" t="s">
        <v>1279</v>
      </c>
      <c r="B14" s="3362">
        <v>30</v>
      </c>
      <c r="C14" s="3365">
        <v>4</v>
      </c>
      <c r="D14" s="3353">
        <f>10-C14</f>
        <v>6</v>
      </c>
      <c r="E14" s="123" t="s">
        <v>1280</v>
      </c>
      <c r="F14" s="1627"/>
      <c r="G14" s="1627"/>
      <c r="H14" s="1627"/>
      <c r="I14" s="1281"/>
    </row>
    <row r="15" spans="1:12" ht="12.75">
      <c r="A15" s="3307"/>
      <c r="B15" s="3362"/>
      <c r="C15" s="3367"/>
      <c r="D15" s="3353"/>
      <c r="E15" s="123" t="s">
        <v>1281</v>
      </c>
      <c r="F15" s="1627"/>
      <c r="G15" s="1627"/>
      <c r="H15" s="1627"/>
      <c r="I15" s="1281"/>
    </row>
    <row r="16" spans="1:12" ht="12.75">
      <c r="A16" s="3307"/>
      <c r="B16" s="3362"/>
      <c r="C16" s="3366"/>
      <c r="D16" s="3353"/>
      <c r="E16" s="123" t="s">
        <v>1282</v>
      </c>
      <c r="F16" s="1627"/>
      <c r="G16" s="1627"/>
      <c r="H16" s="1627"/>
      <c r="I16" s="1281"/>
    </row>
    <row r="17" spans="1:36" ht="15">
      <c r="A17" s="1628" t="s">
        <v>1283</v>
      </c>
      <c r="B17" s="54"/>
      <c r="C17" s="124">
        <f>SUM(C5:C16)</f>
        <v>4</v>
      </c>
      <c r="D17" s="124">
        <f>SUM(D5:D16)</f>
        <v>6</v>
      </c>
      <c r="E17" s="121"/>
      <c r="F17" s="121"/>
      <c r="G17" s="121"/>
      <c r="H17" s="121"/>
      <c r="I17" s="121"/>
      <c r="K17" s="294"/>
      <c r="L17" s="294" t="s">
        <v>1284</v>
      </c>
      <c r="M17" s="294" t="s">
        <v>1285</v>
      </c>
    </row>
    <row r="18" spans="1:36" ht="31.9" customHeight="1" thickBot="1">
      <c r="A18" s="1629" t="s">
        <v>1286</v>
      </c>
      <c r="B18" s="1542"/>
      <c r="C18" s="125">
        <f>ROUND(C17/SUM(C17:D17),2)</f>
        <v>0.4</v>
      </c>
      <c r="D18" s="125">
        <f>1-C18</f>
        <v>0.6</v>
      </c>
      <c r="E18" s="3384" t="s">
        <v>2129</v>
      </c>
      <c r="F18" s="3385"/>
      <c r="G18" s="3385"/>
      <c r="H18" s="3385"/>
      <c r="I18" s="3385"/>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SUMIF(INDIRECT("'"&amp;C4&amp;"'"&amp;"!A:A"),'结果表-车位'!B19,INDIRECT("'"&amp;C4&amp;"'"&amp;"!B:B"))</f>
        <v>613.44489999999996</v>
      </c>
      <c r="D19" s="127">
        <f ca="1">SUMIF(INDIRECT("'"&amp;D4&amp;"'"&amp;"!A:A"),'结果表-车位'!B19,INDIRECT("'"&amp;D4&amp;"'"&amp;"!B:B"))</f>
        <v>3303</v>
      </c>
      <c r="E19" s="1630" t="s">
        <v>1290</v>
      </c>
      <c r="F19" s="1631" t="s">
        <v>1289</v>
      </c>
      <c r="G19" s="128">
        <f ca="1">ROUND(C19*$C$18+D19*$D$18,0)</f>
        <v>2227</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920</v>
      </c>
      <c r="D20" s="130">
        <f ca="1">SUMIF(INDIRECT("'"&amp;D4&amp;"'"&amp;"!A:A"),'结果表-车位'!B20,INDIRECT("'"&amp;D4&amp;"'"&amp;"!B:B"))</f>
        <v>4955</v>
      </c>
      <c r="E20" s="1633"/>
      <c r="F20" s="43" t="s">
        <v>1293</v>
      </c>
      <c r="G20" s="131">
        <f ca="1">ROUND(C20*$C$18+D20*$D$18,0)</f>
        <v>3341</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4.3843466625934946</v>
      </c>
      <c r="E22" s="121"/>
      <c r="F22" s="121"/>
      <c r="G22" s="121"/>
      <c r="H22" s="121"/>
      <c r="I22" s="121"/>
    </row>
    <row r="23" spans="1:36" ht="13.5" thickBot="1">
      <c r="A23" s="646"/>
      <c r="B23" s="646"/>
      <c r="C23" s="646"/>
      <c r="D23" s="646"/>
      <c r="E23" s="121"/>
      <c r="F23" s="121"/>
      <c r="G23" s="121"/>
      <c r="H23" s="121"/>
      <c r="I23" s="121"/>
    </row>
    <row r="24" spans="1:36" ht="14.25">
      <c r="A24" s="3377" t="s">
        <v>1297</v>
      </c>
      <c r="B24" s="1631" t="s">
        <v>1289</v>
      </c>
      <c r="C24" s="128">
        <f>IF(B30=0,0,D30)</f>
        <v>0</v>
      </c>
      <c r="D24" s="1637"/>
      <c r="E24" s="121"/>
      <c r="F24" s="121"/>
      <c r="G24" s="121"/>
      <c r="H24" s="121"/>
      <c r="I24" s="121"/>
    </row>
    <row r="25" spans="1:36" ht="14.25">
      <c r="A25" s="337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3341</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54" t="s">
        <v>1310</v>
      </c>
      <c r="B36" s="1652" t="s">
        <v>1311</v>
      </c>
      <c r="C36" s="137"/>
      <c r="D36" s="1653"/>
      <c r="E36" s="1567"/>
      <c r="F36" s="1654"/>
      <c r="G36" s="121"/>
      <c r="H36" s="121"/>
      <c r="I36" s="121"/>
    </row>
    <row r="37" spans="1:15" ht="15.75" thickBot="1">
      <c r="A37" s="3355"/>
      <c r="B37" s="1555" t="s">
        <v>1312</v>
      </c>
      <c r="C37" s="139"/>
      <c r="D37" s="1071"/>
      <c r="E37" s="1071"/>
      <c r="F37" s="1654"/>
      <c r="G37" s="121"/>
      <c r="H37" s="121"/>
      <c r="I37" s="121"/>
    </row>
    <row r="38" spans="1:15" ht="15.75" thickBot="1">
      <c r="A38" s="3356"/>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4" t="s">
        <v>1324</v>
      </c>
      <c r="B45" s="3375"/>
      <c r="C45" s="3376"/>
      <c r="D45" s="147" t="e">
        <f ca="1">ROUND(H101*F45,0)</f>
        <v>#REF!</v>
      </c>
      <c r="E45" s="148" t="s">
        <v>1325</v>
      </c>
      <c r="F45" s="149">
        <v>1</v>
      </c>
      <c r="G45" s="150" t="s">
        <v>1326</v>
      </c>
      <c r="H45" s="121"/>
      <c r="I45" s="121"/>
      <c r="J45" s="3294" t="s">
        <v>1327</v>
      </c>
      <c r="K45" s="3294"/>
      <c r="L45" s="3294"/>
      <c r="M45" s="3294"/>
      <c r="N45" s="3294"/>
      <c r="O45" s="3294"/>
    </row>
    <row r="46" spans="1:15" ht="14.25" customHeight="1">
      <c r="A46" s="3371" t="s">
        <v>1328</v>
      </c>
      <c r="B46" s="3372"/>
      <c r="C46" s="3372"/>
      <c r="D46" s="3372"/>
      <c r="E46" s="3372"/>
      <c r="F46" s="3372"/>
      <c r="G46" s="3373"/>
      <c r="H46" s="1668"/>
      <c r="I46" s="151"/>
      <c r="J46" s="2310">
        <v>1</v>
      </c>
      <c r="K46" s="3295" t="s">
        <v>1329</v>
      </c>
      <c r="L46" s="3295"/>
      <c r="M46" s="3296"/>
      <c r="N46" s="3296"/>
      <c r="O46" s="3296"/>
    </row>
    <row r="47" spans="1:15" ht="12" customHeight="1">
      <c r="A47" s="152" t="s">
        <v>1330</v>
      </c>
      <c r="B47" s="153"/>
      <c r="C47" s="154"/>
      <c r="D47" s="1024" t="s">
        <v>1331</v>
      </c>
      <c r="E47" s="294" t="s">
        <v>1332</v>
      </c>
      <c r="F47" s="155" t="s">
        <v>1333</v>
      </c>
      <c r="G47" s="2333" t="s">
        <v>1334</v>
      </c>
      <c r="H47" s="2334"/>
      <c r="I47" s="151"/>
      <c r="J47" s="2310">
        <v>2</v>
      </c>
      <c r="K47" s="3295" t="s">
        <v>1335</v>
      </c>
      <c r="L47" s="3295"/>
      <c r="M47" s="3297">
        <f>'数据-取费表'!B2</f>
        <v>45974</v>
      </c>
      <c r="N47" s="3297"/>
      <c r="O47" s="3297"/>
    </row>
    <row r="48" spans="1:15" ht="25.5">
      <c r="A48" s="3357"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5" t="s">
        <v>1338</v>
      </c>
      <c r="L48" s="3295"/>
      <c r="M48" s="3298" t="e">
        <f ca="1">H101</f>
        <v>#REF!</v>
      </c>
      <c r="N48" s="3298"/>
      <c r="O48" s="3298"/>
    </row>
    <row r="49" spans="1:35" ht="25.5" customHeight="1">
      <c r="A49" s="2152" t="s">
        <v>1339</v>
      </c>
      <c r="B49" s="3343" t="s">
        <v>1340</v>
      </c>
      <c r="C49" s="3343"/>
      <c r="D49" s="1478">
        <v>0</v>
      </c>
      <c r="E49" s="316" t="s">
        <v>1341</v>
      </c>
      <c r="F49" s="2233" t="s">
        <v>28</v>
      </c>
      <c r="G49" s="3326"/>
      <c r="H49" s="2134" t="s">
        <v>2132</v>
      </c>
      <c r="I49" s="2135"/>
      <c r="J49" s="2310">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8"/>
      <c r="B50" s="3343" t="s">
        <v>1342</v>
      </c>
      <c r="C50" s="3343"/>
      <c r="D50" s="2189"/>
      <c r="E50" s="323"/>
      <c r="F50" s="2233"/>
      <c r="G50" s="3327"/>
      <c r="H50" s="2136" t="s">
        <v>2133</v>
      </c>
      <c r="I50" s="2135"/>
      <c r="J50" s="3294" t="s">
        <v>1343</v>
      </c>
      <c r="K50" s="3294"/>
      <c r="L50" s="3294"/>
      <c r="M50" s="3294"/>
      <c r="N50" s="3294"/>
      <c r="O50" s="3294"/>
    </row>
    <row r="51" spans="1:35" ht="20.45" customHeight="1">
      <c r="A51" s="2339"/>
      <c r="B51" s="3343" t="s">
        <v>1344</v>
      </c>
      <c r="C51" s="3343"/>
      <c r="D51" s="1024"/>
      <c r="E51" s="319"/>
      <c r="F51" s="2233"/>
      <c r="G51" s="3328"/>
      <c r="H51" s="2136" t="s">
        <v>2134</v>
      </c>
      <c r="I51" s="2135"/>
      <c r="J51" s="2311" t="s">
        <v>1345</v>
      </c>
      <c r="K51" s="3295" t="s">
        <v>1346</v>
      </c>
      <c r="L51" s="3295"/>
      <c r="M51" s="2311" t="s">
        <v>1347</v>
      </c>
      <c r="N51" s="2311" t="s">
        <v>1348</v>
      </c>
      <c r="O51" s="2311" t="s">
        <v>1349</v>
      </c>
    </row>
    <row r="52" spans="1:35" ht="24" customHeight="1">
      <c r="A52" s="2153" t="s">
        <v>1350</v>
      </c>
      <c r="B52" s="3343" t="s">
        <v>1351</v>
      </c>
      <c r="C52" s="3343"/>
      <c r="D52" s="1024" t="e">
        <f ca="1">ROUND(D45*'数据-取费表'!B41/(1+'数据-取费表'!C42),0)</f>
        <v>#REF!</v>
      </c>
      <c r="E52" s="1256" t="s">
        <v>1352</v>
      </c>
      <c r="F52" s="2340">
        <f>'数据-取费表'!B41</f>
        <v>5.6000000000000001E-2</v>
      </c>
      <c r="G52" s="2341"/>
      <c r="H52" s="2331"/>
      <c r="I52" s="1669"/>
      <c r="J52" s="2310">
        <v>1</v>
      </c>
      <c r="K52" s="3320" t="s">
        <v>1353</v>
      </c>
      <c r="L52" s="3320"/>
      <c r="M52" s="2312" t="b">
        <f>D48</f>
        <v>0</v>
      </c>
      <c r="N52" s="2310" t="str">
        <f>E48</f>
        <v>销售额×税（费）率</v>
      </c>
      <c r="O52" s="2313">
        <f>F48</f>
        <v>5.6000000000000001E-2</v>
      </c>
    </row>
    <row r="53" spans="1:35" ht="12" customHeight="1">
      <c r="A53" s="2153" t="s">
        <v>1354</v>
      </c>
      <c r="B53" s="3344" t="s">
        <v>2289</v>
      </c>
      <c r="C53" s="3345"/>
      <c r="D53" s="1024" t="e">
        <f ca="1">ROUND(D45*'数据-取费表'!B41/(1+'数据-取费表'!C42),0)</f>
        <v>#REF!</v>
      </c>
      <c r="E53" s="1256" t="s">
        <v>1352</v>
      </c>
      <c r="F53" s="2340">
        <f>'数据-取费表'!B41</f>
        <v>5.6000000000000001E-2</v>
      </c>
      <c r="G53" s="2341"/>
      <c r="H53" s="2331"/>
      <c r="I53" s="1669"/>
      <c r="J53" s="2310">
        <v>2</v>
      </c>
      <c r="K53" s="3320" t="s">
        <v>1355</v>
      </c>
      <c r="L53" s="3320"/>
      <c r="M53" s="2312" t="e">
        <f t="shared" ref="M53:O54" ca="1" si="0">D55</f>
        <v>#REF!</v>
      </c>
      <c r="N53" s="2310" t="str">
        <f t="shared" si="0"/>
        <v>销售额×税（费）率</v>
      </c>
      <c r="O53" s="2313" t="str">
        <f t="shared" si="0"/>
        <v>免征</v>
      </c>
    </row>
    <row r="54" spans="1:35" ht="12" customHeight="1">
      <c r="A54" s="2153" t="s">
        <v>1356</v>
      </c>
      <c r="B54" s="3344" t="s">
        <v>2290</v>
      </c>
      <c r="C54" s="3345"/>
      <c r="D54" s="1024" t="e">
        <f ca="1">C68</f>
        <v>#REF!</v>
      </c>
      <c r="E54" s="319" t="s">
        <v>1357</v>
      </c>
      <c r="F54" s="2340">
        <f>'数据-取费表'!B41</f>
        <v>5.6000000000000001E-2</v>
      </c>
      <c r="G54" s="2341"/>
      <c r="H54" s="2342"/>
      <c r="I54" s="1669"/>
      <c r="J54" s="2310">
        <v>3</v>
      </c>
      <c r="K54" s="3320" t="s">
        <v>1358</v>
      </c>
      <c r="L54" s="3320"/>
      <c r="M54" s="2312" t="e">
        <f t="shared" ca="1" si="0"/>
        <v>#REF!</v>
      </c>
      <c r="N54" s="2310" t="str">
        <f t="shared" si="0"/>
        <v>增值额×税（费）率</v>
      </c>
      <c r="O54" s="2314" t="str">
        <f t="shared" si="0"/>
        <v>免征</v>
      </c>
    </row>
    <row r="55" spans="1:35" ht="24" customHeight="1">
      <c r="A55" s="3380"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t="e">
        <f ca="1">D59</f>
        <v>#REF!</v>
      </c>
      <c r="N55" s="1883" t="str">
        <f>E59</f>
        <v>差额计税</v>
      </c>
      <c r="O55" s="2316">
        <f>F59</f>
        <v>0.01</v>
      </c>
    </row>
    <row r="56" spans="1:35" ht="24.75">
      <c r="A56" s="3380"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301" t="str">
        <f>IF(项目基本情况!K6="上海银行","其他处置费用","")</f>
        <v/>
      </c>
      <c r="L56" s="3302"/>
      <c r="M56" s="2312" t="str">
        <f>IF(项目基本情况!K6="上海银行",M69,"")</f>
        <v/>
      </c>
      <c r="N56" s="3301" t="str">
        <f>IF(项目基本情况!K6="上海银行","包含处置中涉及的律师、诉讼、拍卖、评估等费用","")</f>
        <v/>
      </c>
      <c r="O56" s="3304"/>
    </row>
    <row r="57" spans="1:35" ht="12.75">
      <c r="A57" s="2153" t="s">
        <v>1339</v>
      </c>
      <c r="B57" s="3344" t="s">
        <v>1364</v>
      </c>
      <c r="C57" s="3345"/>
      <c r="D57" s="1478">
        <v>0</v>
      </c>
      <c r="E57" s="316" t="s">
        <v>1341</v>
      </c>
      <c r="F57" s="294"/>
      <c r="G57" s="2341"/>
      <c r="H57" s="2345"/>
      <c r="I57" s="1670"/>
      <c r="J57" s="3320">
        <f>IF(AND(J55="",J56=""),4,IF(项目基本情况!K6="上海银行",'结果表-车位'!J56+1,'结果表-车位'!J55+1))</f>
        <v>5</v>
      </c>
      <c r="K57" s="3320" t="s">
        <v>1365</v>
      </c>
      <c r="L57" s="2317" t="s">
        <v>1366</v>
      </c>
      <c r="M57" s="2318"/>
      <c r="N57" s="2319">
        <f ca="1">SUMIF(M52:M56,"&lt;9e307")</f>
        <v>0</v>
      </c>
      <c r="O57" s="2320"/>
      <c r="P57" s="2465" t="e">
        <f ca="1">N57/M49</f>
        <v>#VALUE!</v>
      </c>
    </row>
    <row r="58" spans="1:35" ht="24.75">
      <c r="A58" s="2153" t="s">
        <v>1350</v>
      </c>
      <c r="B58" s="3344" t="s">
        <v>1367</v>
      </c>
      <c r="C58" s="3343"/>
      <c r="D58" s="12" t="e">
        <f ca="1">IF(H58="转让取得",C81,C97)</f>
        <v>#REF!</v>
      </c>
      <c r="E58" s="1256" t="s">
        <v>1362</v>
      </c>
      <c r="F58" s="294" t="s">
        <v>28</v>
      </c>
      <c r="G58" s="2341"/>
      <c r="H58" s="2344"/>
      <c r="I58" s="1670"/>
      <c r="J58" s="3320"/>
      <c r="K58" s="3320"/>
      <c r="L58" s="2317" t="s">
        <v>1368</v>
      </c>
      <c r="M58" s="2321"/>
      <c r="N58" s="2322" t="str">
        <f ca="1">NUMBERSTRING(INT(N57*10000),2)&amp;"元整"</f>
        <v>零元整</v>
      </c>
      <c r="O58" s="2323"/>
    </row>
    <row r="59" spans="1:35" ht="24.75" thickBot="1">
      <c r="A59" s="3324" t="s">
        <v>1369</v>
      </c>
      <c r="B59" s="3325"/>
      <c r="C59" s="332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2">
        <f>J57+1</f>
        <v>6</v>
      </c>
      <c r="K59" s="3320" t="s">
        <v>1370</v>
      </c>
      <c r="L59" s="2310" t="s">
        <v>1366</v>
      </c>
      <c r="M59" s="2324"/>
      <c r="N59" s="2325" t="e">
        <f ca="1">M49-N57</f>
        <v>#VALUE!</v>
      </c>
      <c r="O59" s="2326"/>
    </row>
    <row r="60" spans="1:35" ht="12" customHeight="1">
      <c r="A60" s="1671"/>
      <c r="B60" s="646"/>
      <c r="C60" s="646"/>
      <c r="D60" s="646"/>
      <c r="E60" s="1466"/>
      <c r="F60" s="1670"/>
      <c r="G60" s="1670"/>
      <c r="H60" s="151"/>
      <c r="I60" s="121"/>
      <c r="J60" s="3323"/>
      <c r="K60" s="3320"/>
      <c r="L60" s="2317" t="s">
        <v>1368</v>
      </c>
      <c r="M60" s="2321"/>
      <c r="N60" s="2322" t="e">
        <f ca="1">NUMBERSTRING(INT(N59*10000),2)&amp;"元整"</f>
        <v>#VALUE!</v>
      </c>
      <c r="O60" s="2323"/>
    </row>
    <row r="61" spans="1:35" ht="13.5" thickBot="1">
      <c r="A61" s="3379" t="s">
        <v>1371</v>
      </c>
      <c r="B61" s="3379"/>
      <c r="C61" s="3379"/>
      <c r="D61" s="3379"/>
      <c r="E61" s="3379"/>
      <c r="F61" s="1670"/>
      <c r="G61" s="1670"/>
      <c r="H61" s="151"/>
      <c r="I61" s="121"/>
      <c r="J61" s="2310">
        <f>J59+1</f>
        <v>7</v>
      </c>
      <c r="K61" s="3320" t="s">
        <v>1372</v>
      </c>
      <c r="L61" s="3320"/>
      <c r="M61" s="2327"/>
      <c r="N61" s="2328" t="e">
        <f ca="1">ROUND(N59*10000/'数据-汇总表'!E3,0)</f>
        <v>#VALUE!</v>
      </c>
      <c r="O61" s="2329"/>
    </row>
    <row r="62" spans="1:35" ht="12.75">
      <c r="A62" s="3339" t="s">
        <v>1373</v>
      </c>
      <c r="B62" s="3340"/>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03"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03"/>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03"/>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03"/>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03"/>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03"/>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03"/>
      <c r="K69" s="1245" t="s">
        <v>1391</v>
      </c>
      <c r="L69" s="1245"/>
      <c r="M69" s="294" t="e">
        <f>ROUND(SUM(M63:M68),0)</f>
        <v>#VALUE!</v>
      </c>
      <c r="N69" s="2332" t="e">
        <f>M69/M49</f>
        <v>#VALUE!</v>
      </c>
      <c r="Z69" s="1623"/>
      <c r="AI69" s="1561"/>
    </row>
    <row r="70" spans="1:35" s="642" customFormat="1" ht="15" thickBot="1">
      <c r="A70" s="3347" t="s">
        <v>1392</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1373</v>
      </c>
      <c r="B71" s="334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44" t="s">
        <v>1400</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36" t="s">
        <v>1404</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1408</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1373</v>
      </c>
      <c r="B84" s="334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05" t="s">
        <v>2127</v>
      </c>
      <c r="H90" s="3306"/>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36" t="s">
        <v>1417</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36" t="s">
        <v>1420</v>
      </c>
      <c r="F92" s="3337"/>
      <c r="G92" s="3337"/>
      <c r="H92" s="3338"/>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36" t="s">
        <v>1404</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81" t="s">
        <v>1424</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6" t="s">
        <v>1426</v>
      </c>
      <c r="B100" s="3287"/>
      <c r="C100" s="3287"/>
      <c r="D100" s="3321"/>
      <c r="E100" s="3287" t="s">
        <v>1427</v>
      </c>
      <c r="F100" s="3287"/>
      <c r="G100" s="3287"/>
      <c r="H100" s="3321"/>
      <c r="I100" s="121"/>
    </row>
    <row r="101" spans="1:35" ht="18.75" customHeight="1">
      <c r="A101" s="3329" t="s">
        <v>1428</v>
      </c>
      <c r="B101" s="3330"/>
      <c r="C101" s="2371" t="str">
        <f>C4</f>
        <v>收益法 (元)-车位</v>
      </c>
      <c r="D101" s="2372" t="str">
        <f>D4</f>
        <v>比较法-车位</v>
      </c>
      <c r="E101" s="3299" t="s">
        <v>1429</v>
      </c>
      <c r="F101" s="3300"/>
      <c r="G101" s="1687" t="s">
        <v>1430</v>
      </c>
      <c r="H101" s="2381" t="e">
        <f ca="1">H118</f>
        <v>#REF!</v>
      </c>
      <c r="I101" s="121"/>
    </row>
    <row r="102" spans="1:35" ht="18.75" customHeight="1">
      <c r="A102" s="3331" t="s">
        <v>1431</v>
      </c>
      <c r="B102" s="2370" t="s">
        <v>1430</v>
      </c>
      <c r="C102" s="2371">
        <f ca="1">IF(D32="楼面单价",ROUND(C19,0),C19)</f>
        <v>613.44489999999996</v>
      </c>
      <c r="D102" s="2372">
        <f ca="1">IF(D32="楼面单价",ROUND(D19,0),D19)</f>
        <v>3303</v>
      </c>
      <c r="E102" s="3299"/>
      <c r="F102" s="3300"/>
      <c r="G102" s="1687" t="s">
        <v>1432</v>
      </c>
      <c r="H102" s="2341" t="e">
        <f ca="1">I118</f>
        <v>#REF!</v>
      </c>
      <c r="I102" s="121"/>
    </row>
    <row r="103" spans="1:35" ht="42.75" customHeight="1">
      <c r="A103" s="3331"/>
      <c r="B103" s="2370" t="s">
        <v>1432</v>
      </c>
      <c r="C103" s="2373">
        <f ca="1">C20</f>
        <v>920</v>
      </c>
      <c r="D103" s="2374">
        <f ca="1">D20</f>
        <v>4955</v>
      </c>
      <c r="E103" s="3292" t="s">
        <v>1433</v>
      </c>
      <c r="F103" s="3293"/>
      <c r="G103" s="1688" t="s">
        <v>1434</v>
      </c>
      <c r="H103" s="2381">
        <f>IF(D36="正常操作",H104+H105+H106,H105+H106)</f>
        <v>0</v>
      </c>
      <c r="I103" s="121"/>
    </row>
    <row r="104" spans="1:35" ht="18.75" customHeight="1">
      <c r="A104" s="333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41"/>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2" t="str">
        <f>IF(项目基本情况!E8="已注销","——","3.房地产抵押价值")</f>
        <v>3.房地产抵押价值</v>
      </c>
      <c r="F107" s="3300"/>
      <c r="G107" s="1687" t="s">
        <v>1430</v>
      </c>
      <c r="H107" s="2381" t="e">
        <f ca="1">IF(E107="——","——",H101-H103)</f>
        <v>#REF!</v>
      </c>
      <c r="I107" s="121"/>
    </row>
    <row r="108" spans="1:35" ht="18.75" customHeight="1">
      <c r="A108" s="121"/>
      <c r="B108" s="121"/>
      <c r="C108" s="121"/>
      <c r="D108" s="121"/>
      <c r="E108" s="3332"/>
      <c r="F108" s="3300"/>
      <c r="G108" s="1687" t="s">
        <v>1432</v>
      </c>
      <c r="H108" s="2341">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1430</v>
      </c>
      <c r="H109" s="2384" t="str">
        <f>IF(E109="——","——",H101-H105-H106)</f>
        <v>——</v>
      </c>
      <c r="I109" s="121"/>
    </row>
    <row r="110" spans="1:35" ht="18.75" customHeight="1">
      <c r="A110" s="121"/>
      <c r="B110" s="121"/>
      <c r="C110" s="121"/>
      <c r="D110" s="121"/>
      <c r="E110" s="3332"/>
      <c r="F110" s="3300"/>
      <c r="G110" s="1687" t="s">
        <v>1432</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1430</v>
      </c>
      <c r="H111" s="2381" t="str">
        <f>IF(E111="——","——",N59)</f>
        <v>——</v>
      </c>
      <c r="I111" s="121"/>
    </row>
    <row r="112" spans="1:35" ht="18.75" customHeight="1" thickBot="1">
      <c r="A112" s="121"/>
      <c r="B112" s="121"/>
      <c r="C112" s="121"/>
      <c r="D112" s="121"/>
      <c r="E112" s="3334"/>
      <c r="F112" s="3335"/>
      <c r="G112" s="1690" t="s">
        <v>1432</v>
      </c>
      <c r="H112" s="2385" t="str">
        <f>IF(E111="——","——",N61)</f>
        <v>——</v>
      </c>
      <c r="I112" s="121"/>
    </row>
    <row r="113" spans="1:27" ht="18.75" customHeight="1">
      <c r="A113" s="121"/>
      <c r="B113" s="121"/>
      <c r="C113" s="121"/>
      <c r="D113" s="121"/>
      <c r="E113" s="3342" t="s">
        <v>1438</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1440</v>
      </c>
      <c r="B115" s="3351"/>
      <c r="C115" s="3351"/>
      <c r="D115" s="3351"/>
      <c r="E115" s="3351"/>
      <c r="F115" s="3351"/>
      <c r="G115" s="3351"/>
      <c r="H115" s="3351"/>
      <c r="I115" s="3352"/>
    </row>
    <row r="116" spans="1:27" ht="27" customHeight="1">
      <c r="A116" s="3307" t="s">
        <v>1441</v>
      </c>
      <c r="B116" s="3311" t="s">
        <v>1442</v>
      </c>
      <c r="C116" s="3311" t="s">
        <v>1443</v>
      </c>
      <c r="D116" s="3317" t="s">
        <v>1444</v>
      </c>
      <c r="E116" s="3318"/>
      <c r="F116" s="3349" t="s">
        <v>1445</v>
      </c>
      <c r="G116" s="3349"/>
      <c r="H116" s="3307" t="s">
        <v>1446</v>
      </c>
      <c r="I116" s="3307"/>
    </row>
    <row r="117" spans="1:27" ht="18.75" customHeight="1">
      <c r="A117" s="3307"/>
      <c r="B117" s="3312"/>
      <c r="C117" s="331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7" t="s">
        <v>1450</v>
      </c>
      <c r="B119" s="3307"/>
      <c r="C119" s="3307"/>
      <c r="D119" s="3313" t="e">
        <f ca="1">NUMBERSTRING(INT(D118*10000),2)&amp;"元整"</f>
        <v>#REF!</v>
      </c>
      <c r="E119" s="3314"/>
      <c r="F119" s="3313" t="e">
        <f ca="1">NUMBERSTRING(INT(F118*10000),2)&amp;"元整"</f>
        <v>#REF!</v>
      </c>
      <c r="G119" s="3314"/>
      <c r="H119" s="3313" t="e">
        <f ca="1">NUMBERSTRING(INT(H118*10000),2)&amp;"元整"</f>
        <v>#REF!</v>
      </c>
      <c r="I119" s="3314"/>
    </row>
    <row r="120" spans="1:27" ht="18.75" customHeight="1">
      <c r="A120" s="3308" t="str">
        <f>IF(项目基本情况!B9="房地产市场价值","",MID(E103,3,LEN(E103)-2))</f>
        <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3" t="s">
        <v>1450</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
      </c>
      <c r="B122" s="3319"/>
      <c r="C122" s="3319"/>
      <c r="D122" s="3308" t="e">
        <f ca="1">H107</f>
        <v>#REF!</v>
      </c>
      <c r="E122" s="3309"/>
      <c r="F122" s="3309"/>
      <c r="G122" s="3309"/>
      <c r="H122" s="3309"/>
      <c r="I122" s="3310"/>
      <c r="AA122" s="684"/>
    </row>
    <row r="123" spans="1:27" ht="18.75" customHeight="1">
      <c r="A123" s="3307" t="s">
        <v>1450</v>
      </c>
      <c r="B123" s="3307"/>
      <c r="C123" s="3307"/>
      <c r="D123" s="3313" t="e">
        <f ca="1">NUMBERSTRING(INT(D122*10000),2)&amp;"元整"</f>
        <v>#REF!</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1450</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1450</v>
      </c>
      <c r="B127" s="3307"/>
      <c r="C127" s="3307"/>
      <c r="D127" s="3313" t="e">
        <f>NUMBERSTRING(INT(D126*10000),2)&amp;"元整"</f>
        <v>#VALUE!</v>
      </c>
      <c r="E127" s="3315"/>
      <c r="F127" s="3315"/>
      <c r="G127" s="3315"/>
      <c r="H127" s="3315"/>
      <c r="I127" s="3314"/>
      <c r="AA127" s="684"/>
    </row>
    <row r="128" spans="1:27" ht="21.75" customHeight="1">
      <c r="A128" s="3316" t="s">
        <v>1451</v>
      </c>
      <c r="B128" s="3316"/>
      <c r="C128" s="3316"/>
      <c r="D128" s="3316"/>
      <c r="E128" s="3316"/>
      <c r="F128" s="3316"/>
      <c r="G128" s="3316"/>
      <c r="H128" s="3316"/>
      <c r="I128" s="331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6"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allowBlank="1" showInputMessage="1" showErrorMessage="1" sqref="C4:D4 D33" xr:uid="{D3589DE2-4B75-47D0-ABE8-6B24540D41CD}">
      <formula1>估价方法</formula1>
    </dataValidation>
    <dataValidation type="list" allowBlank="1" showInputMessage="1" showErrorMessage="1" sqref="H55:H56" xr:uid="{BE9B7B7E-EEEE-4C38-8279-07B01AC82742}">
      <formula1>"个人住宅,正常"</formula1>
    </dataValidation>
    <dataValidation type="list" allowBlank="1" showInputMessage="1" showErrorMessage="1" sqref="H48" xr:uid="{C8E91702-E694-4020-81AC-4B46FC98CE10}">
      <formula1>"情况1,情况2,情况3,情况4"</formula1>
    </dataValidation>
    <dataValidation type="list" allowBlank="1" showInputMessage="1" showErrorMessage="1" sqref="H58" xr:uid="{72D61A5A-F6F4-45B9-8CF8-9B652173792F}">
      <formula1>"转让取得,自行开发建设"</formula1>
    </dataValidation>
    <dataValidation type="list" allowBlank="1" showInputMessage="1" showErrorMessage="1" sqref="D32" xr:uid="{83C6BEB1-7BF0-4317-9C03-62CA82D17C65}">
      <formula1>"总价,楼面单价"</formula1>
    </dataValidation>
    <dataValidation type="list" allowBlank="1" showInputMessage="1" showErrorMessage="1" sqref="F45" xr:uid="{6C214F9F-39C8-47F2-9852-904EB843B57A}">
      <formula1>"100%,70%,56%"</formula1>
    </dataValidation>
    <dataValidation type="list" allowBlank="1" showInputMessage="1" showErrorMessage="1" sqref="C33" xr:uid="{8B54C52D-73ED-4D35-ABE1-98D9C0DACCC2}">
      <formula1>"成本比率,收益比率,自定义"</formula1>
    </dataValidation>
    <dataValidation type="list" allowBlank="1" showInputMessage="1" showErrorMessage="1" sqref="H91" xr:uid="{DA8453F9-780A-4D48-B594-FD0B196CD829}">
      <formula1>"企业提供（在右侧录入）,——"</formula1>
    </dataValidation>
    <dataValidation type="list" allowBlank="1" showInputMessage="1" showErrorMessage="1" sqref="H88" xr:uid="{15DCCED0-9204-4FA4-8CB0-CA13BE4E9C70}">
      <formula1>"仅含出让金,出让金+开发费"</formula1>
    </dataValidation>
    <dataValidation type="list" allowBlank="1" showInputMessage="1" showErrorMessage="1" sqref="F75" xr:uid="{23BF132D-76B3-4ABC-B48B-FEB3F60AB87F}">
      <formula1>"买卖合同,购房发票"</formula1>
    </dataValidation>
    <dataValidation type="list" allowBlank="1" showInputMessage="1" showErrorMessage="1" sqref="D36" xr:uid="{F90CA99E-B35E-4A5F-9F48-D82388B79DF1}">
      <formula1>"同一抵押权人同一抵押物续贷,注销后放款,正常操作"</formula1>
    </dataValidation>
    <dataValidation type="list" allowBlank="1" showInputMessage="1" showErrorMessage="1" sqref="B116:B117" xr:uid="{0DA635C5-47CE-458B-BAF3-A18A52170A24}">
      <formula1>"建筑面积,规划建筑面积,（规划）建筑面积"</formula1>
    </dataValidation>
    <dataValidation type="list" allowBlank="1" showInputMessage="1" showErrorMessage="1" sqref="C116:C117" xr:uid="{14116DA5-A598-462C-BAF0-60C0FC84829A}">
      <formula1>"土地面积,分摊土地面积,（分摊）土地面积"</formula1>
    </dataValidation>
    <dataValidation type="list" allowBlank="1" showInputMessage="1" showErrorMessage="1" sqref="D116:E116" xr:uid="{7A721F2D-DE20-4695-9C56-4457CDFE2E9F}">
      <formula1>"出让国有建设用地使用权价值,划拨国有建设用地使用权价值"</formula1>
    </dataValidation>
    <dataValidation type="list" allowBlank="1" showInputMessage="1" showErrorMessage="1" sqref="F116:G116" xr:uid="{00B0DA68-892F-4E86-BFF0-7973AC48DD00}">
      <formula1>"建筑物价值,在建建筑物价值,建筑物/在建建筑物价值"</formula1>
    </dataValidation>
    <dataValidation type="list" allowBlank="1" showInputMessage="1" showErrorMessage="1" sqref="C129" xr:uid="{FDF3CE26-2ECB-4AE1-900E-7F8868BEDCF7}">
      <formula1>"无,有"</formula1>
    </dataValidation>
    <dataValidation type="list" showInputMessage="1" showErrorMessage="1" sqref="G1" xr:uid="{BC0B556A-A46D-4491-88AB-A62096571626}">
      <formula1>"现房,在建,土地,-"</formula1>
    </dataValidation>
    <dataValidation type="list" allowBlank="1" showInputMessage="1" showErrorMessage="1" sqref="I1" xr:uid="{D291536F-CBCC-439B-8306-8F0FC34489F2}">
      <formula1>"项目局部,项目全部,——"</formula1>
    </dataValidation>
    <dataValidation type="list" allowBlank="1" showInputMessage="1" showErrorMessage="1" sqref="C1" xr:uid="{66C9EAA1-EBF3-4783-96E7-6E5C6B7AC1E2}">
      <formula1>项目类型</formula1>
    </dataValidation>
    <dataValidation type="list" allowBlank="1" showInputMessage="1" showErrorMessage="1" sqref="G77" xr:uid="{9A4177F5-E430-4602-AF4D-A8074B45807F}">
      <formula1>"个人住宅,2016年5月1日前购买,2016年5月1日后购买"</formula1>
    </dataValidation>
    <dataValidation type="list" allowBlank="1" showInputMessage="1" showErrorMessage="1" sqref="E103" xr:uid="{26D06C35-3559-4FEB-9826-C3ADD0B408CD}">
      <formula1>"2.估价师知悉的法定优先受偿款,2.估价师知悉的除抵押担保权以外的法定优先受偿款"</formula1>
    </dataValidation>
    <dataValidation type="list" allowBlank="1" showInputMessage="1" showErrorMessage="1" sqref="H59" xr:uid="{8D2D31DE-F31F-4178-A22B-6331BC5D9E4B}">
      <formula1>"非个人房产,个人住宅（满五唯一有凭证）,个人其他（有凭证）,个人其他（无凭证）"</formula1>
    </dataValidation>
    <dataValidation type="list" allowBlank="1" showInputMessage="1" showErrorMessage="1" sqref="D92" xr:uid="{DBC6C848-A907-4BA4-905E-09EBFCFC499A}">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A510-B535-4AE2-89DD-3B83CB1D7E72}">
  <sheetPr>
    <tabColor rgb="FF92D050"/>
  </sheetPr>
  <dimension ref="A1:AK83"/>
  <sheetViews>
    <sheetView view="pageBreakPreview" zoomScale="115" zoomScaleNormal="70" zoomScaleSheetLayoutView="115"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4773</v>
      </c>
      <c r="D1" s="1271" t="s">
        <v>43</v>
      </c>
      <c r="E1" s="1272" t="s">
        <v>677</v>
      </c>
      <c r="F1" s="999">
        <f ca="1">J53</f>
        <v>35.51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613.44489999999996</v>
      </c>
      <c r="C2" s="1289" t="s">
        <v>804</v>
      </c>
      <c r="D2" s="1375">
        <f ca="1">C40+J29+L46</f>
        <v>6134449</v>
      </c>
      <c r="E2" s="1295" t="s">
        <v>879</v>
      </c>
      <c r="F2" s="1296"/>
      <c r="G2" s="2479"/>
      <c r="H2" s="2469"/>
      <c r="I2" s="2469"/>
      <c r="J2" s="2469"/>
      <c r="K2" s="2470"/>
      <c r="L2" s="2469"/>
      <c r="M2" s="2469"/>
    </row>
    <row r="3" spans="1:37" ht="18" customHeight="1" thickBot="1">
      <c r="A3" s="1297" t="s">
        <v>805</v>
      </c>
      <c r="B3" s="1298">
        <f ca="1">IF(ISERROR(D2/F43),0,ROUND(D2/F43,0))</f>
        <v>920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444074</v>
      </c>
      <c r="D5" s="1273" t="s">
        <v>692</v>
      </c>
      <c r="E5" s="1008"/>
      <c r="F5" s="1009"/>
      <c r="G5" s="1292"/>
      <c r="H5" s="291">
        <v>1</v>
      </c>
      <c r="I5" s="292" t="s">
        <v>691</v>
      </c>
      <c r="J5" s="1007">
        <f ca="1">J6+J10+J12</f>
        <v>0</v>
      </c>
      <c r="K5" s="1273" t="s">
        <v>692</v>
      </c>
      <c r="L5" s="1008"/>
      <c r="M5" s="1009"/>
    </row>
    <row r="6" spans="1:37" ht="18" customHeight="1">
      <c r="A6" s="1006" t="s">
        <v>398</v>
      </c>
      <c r="B6" s="3391" t="s">
        <v>693</v>
      </c>
      <c r="C6" s="1011">
        <f ca="1">ROUND(F6*F8*F7*(1-F9),0)</f>
        <v>443520</v>
      </c>
      <c r="D6" s="147" t="s">
        <v>2104</v>
      </c>
      <c r="E6" s="294" t="s">
        <v>695</v>
      </c>
      <c r="F6" s="295">
        <f ca="1">INDIRECT("'数据-取费表'!u"&amp;$G$1)</f>
        <v>300</v>
      </c>
      <c r="G6" s="1292"/>
      <c r="H6" s="1006" t="s">
        <v>398</v>
      </c>
      <c r="I6" s="3391" t="s">
        <v>693</v>
      </c>
      <c r="J6" s="293">
        <f ca="1">ROUND(M6*M8*M7*(1-M9),0)</f>
        <v>0</v>
      </c>
      <c r="K6" s="1284" t="s">
        <v>2105</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154</v>
      </c>
      <c r="G7" s="1292"/>
      <c r="H7" s="296"/>
      <c r="I7" s="3392"/>
      <c r="J7" s="298"/>
      <c r="K7" s="299"/>
      <c r="L7" s="294" t="s">
        <v>696</v>
      </c>
      <c r="M7" s="295">
        <f ca="1">F7</f>
        <v>154</v>
      </c>
    </row>
    <row r="8" spans="1:37" ht="18" customHeight="1">
      <c r="A8" s="296"/>
      <c r="B8" s="3392"/>
      <c r="C8" s="298"/>
      <c r="D8" s="299"/>
      <c r="E8" s="294" t="s">
        <v>697</v>
      </c>
      <c r="F8" s="295">
        <f ca="1">INDIRECT("'数据-取费表'!ai"&amp;$G$1)</f>
        <v>12</v>
      </c>
      <c r="G8" s="1292"/>
      <c r="H8" s="296"/>
      <c r="I8" s="3392"/>
      <c r="J8" s="298"/>
      <c r="K8" s="299"/>
      <c r="L8" s="294" t="s">
        <v>697</v>
      </c>
      <c r="M8" s="295">
        <f ca="1">INDIRECT("'数据-取费表'!ai"&amp;$G$1)</f>
        <v>12</v>
      </c>
    </row>
    <row r="9" spans="1:37" ht="18" customHeight="1">
      <c r="A9" s="296"/>
      <c r="B9" s="3393"/>
      <c r="C9" s="298"/>
      <c r="D9" s="299"/>
      <c r="E9" s="294" t="s">
        <v>698</v>
      </c>
      <c r="F9" s="304">
        <f ca="1">INDIRECT("'数据-取费表'!w"&amp;$G$1)</f>
        <v>0.2</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554</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30634919</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26666400</v>
      </c>
      <c r="D14" s="1257" t="s">
        <v>707</v>
      </c>
      <c r="E14" s="1255"/>
      <c r="F14" s="311"/>
      <c r="G14" s="1292"/>
      <c r="H14" s="928" t="s">
        <v>398</v>
      </c>
      <c r="I14" s="294" t="s">
        <v>708</v>
      </c>
      <c r="J14" s="21">
        <f ca="1">C29</f>
        <v>36041081</v>
      </c>
      <c r="K14" s="12"/>
      <c r="L14" s="759"/>
      <c r="M14" s="760"/>
    </row>
    <row r="15" spans="1:37" s="1304" customFormat="1" ht="18" customHeight="1" thickBot="1">
      <c r="A15" s="928" t="s">
        <v>399</v>
      </c>
      <c r="B15" s="294" t="s">
        <v>709</v>
      </c>
      <c r="C15" s="21">
        <f ca="1">ROUND(C14*F15,0)</f>
        <v>1333320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72082</v>
      </c>
      <c r="K16" s="1024" t="s">
        <v>714</v>
      </c>
      <c r="L16" s="1025"/>
      <c r="M16" s="1009"/>
    </row>
    <row r="17" spans="1:37" s="1304" customFormat="1" ht="18" customHeight="1">
      <c r="A17" s="928" t="s">
        <v>680</v>
      </c>
      <c r="B17" s="294" t="s">
        <v>715</v>
      </c>
      <c r="C17" s="21">
        <f ca="1">ROUND(F17*(F43+INDIRECT("'数据-取费表'!S"&amp;$G$1)),0)</f>
        <v>1639984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533328</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30173032</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301730</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72082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953860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-72082</v>
      </c>
      <c r="K25" s="1032" t="s">
        <v>752</v>
      </c>
      <c r="L25" s="1033"/>
      <c r="M25" s="1034"/>
    </row>
    <row r="26" spans="1:37" ht="18" customHeight="1">
      <c r="A26" s="928" t="s">
        <v>397</v>
      </c>
      <c r="B26" s="294" t="s">
        <v>753</v>
      </c>
      <c r="C26" s="21">
        <f ca="1">ROUND((C19+C20)*F26,0)</f>
        <v>1523738</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36041081</v>
      </c>
      <c r="D29" s="1029"/>
      <c r="E29" s="1027"/>
      <c r="F29" s="1030"/>
      <c r="G29" s="1303"/>
      <c r="H29" s="325" t="s">
        <v>396</v>
      </c>
      <c r="I29" s="326" t="s">
        <v>767</v>
      </c>
      <c r="J29" s="327">
        <f ca="1">ROUND(J26/(1+F40)^F41,0)</f>
        <v>0</v>
      </c>
      <c r="K29" s="328" t="s">
        <v>768</v>
      </c>
      <c r="L29" s="329"/>
      <c r="M29" s="330">
        <f ca="1">INDIRECT("'数据-取费表'!k"&amp;$G$1)</f>
        <v>6666.6000000000076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181500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74342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23654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50688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72082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30635</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4441</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262574</v>
      </c>
      <c r="D39" s="1032" t="s">
        <v>752</v>
      </c>
      <c r="E39" s="1033"/>
      <c r="F39" s="1034"/>
      <c r="G39" s="1292"/>
      <c r="H39" s="2474"/>
      <c r="I39" s="1305"/>
      <c r="J39" s="1306"/>
      <c r="K39" s="2472"/>
      <c r="L39" s="2474"/>
      <c r="M39" s="2474"/>
    </row>
    <row r="40" spans="1:18" ht="18" customHeight="1">
      <c r="A40" s="291" t="s">
        <v>395</v>
      </c>
      <c r="B40" s="292" t="s">
        <v>773</v>
      </c>
      <c r="C40" s="293">
        <f ca="1">ROUND(C39*(1-((1+F42)/(1+F40))^F41)/(F40-F42),0)</f>
        <v>4593908</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0.01</v>
      </c>
      <c r="G42" s="1292"/>
      <c r="H42" s="121"/>
      <c r="I42" s="1305"/>
      <c r="J42" s="1306"/>
      <c r="K42" s="2331"/>
      <c r="L42" s="121"/>
      <c r="M42" s="121"/>
    </row>
    <row r="43" spans="1:18" ht="18" customHeight="1" thickBot="1">
      <c r="A43" s="325" t="s">
        <v>396</v>
      </c>
      <c r="B43" s="326" t="s">
        <v>775</v>
      </c>
      <c r="C43" s="327">
        <f ca="1">ROUND(C40/F43,0)</f>
        <v>689</v>
      </c>
      <c r="D43" s="328" t="s">
        <v>776</v>
      </c>
      <c r="E43" s="329" t="s">
        <v>777</v>
      </c>
      <c r="F43" s="330">
        <f ca="1">INDIRECT("'数据-取费表'!k"&amp;$G$1)</f>
        <v>6666.6000000000076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-618.25019999999995</v>
      </c>
      <c r="D45" s="3131" t="s">
        <v>3349</v>
      </c>
      <c r="E45" s="1307"/>
      <c r="F45" s="1307"/>
      <c r="O45" s="1310" t="s">
        <v>807</v>
      </c>
      <c r="P45" s="1366"/>
      <c r="Q45" s="1366"/>
      <c r="R45" s="1366"/>
    </row>
    <row r="46" spans="1:18" s="1292" customFormat="1" ht="13.5" thickBot="1">
      <c r="A46" s="1311" t="s">
        <v>808</v>
      </c>
      <c r="C46" s="1312">
        <f ca="1">ROUND(C45,0)</f>
        <v>-618</v>
      </c>
      <c r="D46" s="1313" t="str">
        <f>C2</f>
        <v>万元</v>
      </c>
      <c r="I46" s="1314" t="s">
        <v>809</v>
      </c>
      <c r="J46" s="1315"/>
      <c r="K46" s="1316"/>
      <c r="L46" s="1317">
        <f ca="1">IF(M47="住宅",0,IF(L48&gt;J51,L60,J60))</f>
        <v>1540541</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4593908</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1540541</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36041081</v>
      </c>
      <c r="R49" s="1327" t="s">
        <v>817</v>
      </c>
    </row>
    <row r="50" spans="1:18" s="1292" customFormat="1" ht="13.5" thickBot="1">
      <c r="A50" s="922"/>
      <c r="B50" s="925"/>
      <c r="C50" s="926"/>
      <c r="D50" s="899"/>
      <c r="E50" s="993" t="s">
        <v>696</v>
      </c>
      <c r="F50" s="994">
        <f ca="1">F7</f>
        <v>154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12</v>
      </c>
      <c r="I51" s="1338" t="s">
        <v>828</v>
      </c>
      <c r="J51" s="1331">
        <f>IF(J49="",J50,J49+J50-YEAR('数据-取费表'!B2))</f>
        <v>50</v>
      </c>
      <c r="K51" s="1339" t="s">
        <v>829</v>
      </c>
      <c r="L51" s="1340">
        <f ca="1">ROUND(-PV(INDIRECT("'数据-取费表'!h"&amp;$G$1),J51,(C39-C13*C76),0),0)</f>
        <v>-28762596</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389" t="s">
        <v>836</v>
      </c>
      <c r="L53" s="3390"/>
      <c r="O53" s="1325" t="s">
        <v>409</v>
      </c>
      <c r="P53" s="1326" t="s">
        <v>837</v>
      </c>
      <c r="Q53" s="1327">
        <f ca="1">Q47+Q48</f>
        <v>6134449</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30634919</v>
      </c>
      <c r="D56" s="1352"/>
      <c r="E56" s="1353"/>
      <c r="F56" s="1345"/>
      <c r="I56" s="1354" t="s">
        <v>841</v>
      </c>
      <c r="J56" s="1355" t="s">
        <v>4789</v>
      </c>
      <c r="K56" s="1328" t="s">
        <v>842</v>
      </c>
      <c r="L56" s="1331" t="str">
        <f ca="1">IF(L48&lt;J51,"——",L48-J51)</f>
        <v>——</v>
      </c>
      <c r="O56" s="1325" t="s">
        <v>403</v>
      </c>
      <c r="P56" s="1326" t="s">
        <v>816</v>
      </c>
      <c r="Q56" s="1327">
        <f ca="1">C40+J29</f>
        <v>4593908</v>
      </c>
      <c r="R56" s="1327" t="s">
        <v>817</v>
      </c>
    </row>
    <row r="57" spans="1:18" s="1292" customFormat="1" ht="24.75" thickBot="1">
      <c r="A57" s="1356"/>
      <c r="B57" s="896" t="s">
        <v>766</v>
      </c>
      <c r="C57" s="230">
        <f ca="1">C29</f>
        <v>36041081</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102717</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14416432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1540541</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4593908</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72082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30635</v>
      </c>
      <c r="D65" s="910" t="s">
        <v>742</v>
      </c>
      <c r="E65" s="896" t="s">
        <v>711</v>
      </c>
      <c r="F65" s="321">
        <f t="shared" ca="1" si="0"/>
        <v>1E-3</v>
      </c>
      <c r="I65" s="1367" t="s">
        <v>866</v>
      </c>
      <c r="J65" s="610">
        <v>40</v>
      </c>
      <c r="K65" s="610">
        <v>30</v>
      </c>
      <c r="L65" s="610">
        <v>50</v>
      </c>
      <c r="M65" s="1369">
        <v>0.02</v>
      </c>
      <c r="O65" s="1325" t="s">
        <v>403</v>
      </c>
      <c r="P65" s="1326" t="s">
        <v>816</v>
      </c>
      <c r="Q65" s="1327">
        <f ca="1">C40+J29</f>
        <v>4593908</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-102717</v>
      </c>
      <c r="D67" s="909" t="s">
        <v>752</v>
      </c>
      <c r="E67" s="914"/>
      <c r="F67" s="915"/>
      <c r="O67" s="1334" t="s">
        <v>405</v>
      </c>
      <c r="P67" s="1326" t="s">
        <v>849</v>
      </c>
      <c r="Q67" s="1370">
        <f ca="1">L51</f>
        <v>-28762596</v>
      </c>
      <c r="R67" s="1327" t="s">
        <v>869</v>
      </c>
    </row>
    <row r="68" spans="1:18" s="1292" customFormat="1" ht="16.5" thickBot="1">
      <c r="A68" s="893" t="s">
        <v>395</v>
      </c>
      <c r="B68" s="894" t="s">
        <v>773</v>
      </c>
      <c r="C68" s="293">
        <f ca="1">ROUND(C67*(1-((1+F70)/(1+F68))^F69)/(F68-F70),0)</f>
        <v>-1588594</v>
      </c>
      <c r="D68" s="911" t="s">
        <v>757</v>
      </c>
      <c r="E68" s="896" t="s">
        <v>758</v>
      </c>
      <c r="F68" s="304">
        <f ca="1">F40</f>
        <v>5.5E-2</v>
      </c>
      <c r="O68" s="1334" t="s">
        <v>406</v>
      </c>
      <c r="P68" s="1371" t="s">
        <v>870</v>
      </c>
      <c r="Q68" s="1327">
        <f ca="1">ROUND(Q69-Q70*Q71,0)</f>
        <v>-1575521</v>
      </c>
      <c r="R68" s="1327" t="s">
        <v>414</v>
      </c>
    </row>
    <row r="69" spans="1:18" s="1292" customFormat="1" ht="13.5" thickBot="1">
      <c r="A69" s="897"/>
      <c r="B69" s="898"/>
      <c r="C69" s="298"/>
      <c r="D69" s="916" t="s">
        <v>761</v>
      </c>
      <c r="E69" s="896" t="s">
        <v>762</v>
      </c>
      <c r="F69" s="324">
        <f ca="1">F41</f>
        <v>35.51</v>
      </c>
      <c r="O69" s="1334" t="s">
        <v>411</v>
      </c>
      <c r="P69" s="1371" t="s">
        <v>871</v>
      </c>
      <c r="Q69" s="1327">
        <f ca="1">C39</f>
        <v>262574</v>
      </c>
      <c r="R69" s="1327" t="s">
        <v>817</v>
      </c>
    </row>
    <row r="70" spans="1:18" s="1292" customFormat="1" ht="13.5" thickBot="1">
      <c r="A70" s="900"/>
      <c r="B70" s="901"/>
      <c r="C70" s="302"/>
      <c r="D70" s="912"/>
      <c r="E70" s="896" t="s">
        <v>765</v>
      </c>
      <c r="F70" s="991"/>
      <c r="O70" s="1334" t="s">
        <v>412</v>
      </c>
      <c r="P70" s="1371" t="s">
        <v>872</v>
      </c>
      <c r="Q70" s="1327">
        <f ca="1">C13</f>
        <v>30634919</v>
      </c>
      <c r="R70" s="1327" t="s">
        <v>817</v>
      </c>
    </row>
    <row r="71" spans="1:18" s="1292" customFormat="1" ht="13.5" thickBot="1">
      <c r="A71" s="917" t="s">
        <v>396</v>
      </c>
      <c r="B71" s="918" t="s">
        <v>775</v>
      </c>
      <c r="C71" s="327">
        <f ca="1">ROUND(C68/F71,0)</f>
        <v>-238</v>
      </c>
      <c r="D71" s="919" t="s">
        <v>776</v>
      </c>
      <c r="E71" s="920" t="s">
        <v>777</v>
      </c>
      <c r="F71" s="330">
        <f ca="1">F43</f>
        <v>6666.6000000000076</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1838095</v>
      </c>
      <c r="D75" s="1292"/>
      <c r="E75" s="1292"/>
      <c r="F75" s="1292"/>
      <c r="K75" s="1309"/>
      <c r="L75" s="1292"/>
      <c r="O75" s="1325" t="s">
        <v>409</v>
      </c>
      <c r="P75" s="1326" t="s">
        <v>837</v>
      </c>
      <c r="Q75" s="1327">
        <f ca="1">Q65+Q66</f>
        <v>4593908</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-6</v>
      </c>
    </row>
    <row r="80" spans="1:18">
      <c r="B80" s="331" t="s">
        <v>799</v>
      </c>
      <c r="C80" s="266">
        <f ca="1">ROUND(C75/C39,3)</f>
        <v>7</v>
      </c>
    </row>
    <row r="81" spans="2:3">
      <c r="B81" s="262" t="s">
        <v>800</v>
      </c>
      <c r="C81" s="230"/>
    </row>
    <row r="82" spans="2:3">
      <c r="B82" s="265" t="s">
        <v>801</v>
      </c>
      <c r="C82" s="267">
        <f ca="1">1-C83</f>
        <v>-5.6689999999999996</v>
      </c>
    </row>
    <row r="83" spans="2:3">
      <c r="B83" s="265" t="s">
        <v>802</v>
      </c>
      <c r="C83" s="266">
        <f ca="1">ROUND(C13/C40,3)</f>
        <v>6.6689999999999996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xr:uid="{CE858F2E-7873-48E4-AA10-B323B90B8514}">
      <formula1>"比较法,基准地价,收益还原"</formula1>
    </dataValidation>
    <dataValidation type="list" allowBlank="1" showInputMessage="1" showErrorMessage="1" sqref="J56" xr:uid="{067C20E8-479B-4D41-BD43-80CFA07D10EB}">
      <formula1>估价范围判定</formula1>
    </dataValidation>
    <dataValidation type="list" allowBlank="1" showInputMessage="1" showErrorMessage="1" sqref="J48" xr:uid="{1DF54065-D06B-462F-83D9-A41F25B5873C}">
      <formula1>"非生产用房,生产用房,受腐蚀的生产用房"</formula1>
    </dataValidation>
    <dataValidation type="list" allowBlank="1" showInputMessage="1" showErrorMessage="1" sqref="J47" xr:uid="{7B82761B-4020-427D-88BF-38193AA0BED1}">
      <formula1>"钢,钢混,砖混"</formula1>
    </dataValidation>
    <dataValidation type="list" allowBlank="1" showInputMessage="1" showErrorMessage="1" sqref="C1" xr:uid="{858B1663-F427-40D0-9FCD-6061D9E1DBB6}">
      <formula1>项目类型</formula1>
    </dataValidation>
    <dataValidation type="list" allowBlank="1" showInputMessage="1" showErrorMessage="1" sqref="D33 D61" xr:uid="{F1A34360-A5CC-4D8A-B680-266FAAC16824}">
      <formula1>"按租金收入计税,按房产原值计税,按票据"</formula1>
    </dataValidation>
    <dataValidation type="list" allowBlank="1" showInputMessage="1" showErrorMessage="1" sqref="K19" xr:uid="{758DAD98-DBFF-4C76-9C28-B81E9E010A4E}">
      <formula1>"按租金收入计税,按房产原值计税"</formula1>
    </dataValidation>
    <dataValidation type="list" allowBlank="1" showInputMessage="1" showErrorMessage="1" sqref="F10 F53 M10" xr:uid="{8A6A4951-1E73-493A-9A22-DF792C482D27}">
      <formula1>"押一,押二,押三,自定义"</formula1>
    </dataValidation>
    <dataValidation type="list" allowBlank="1" showInputMessage="1" showErrorMessage="1" sqref="D1" xr:uid="{7AC4EDEE-0EC4-4198-B16F-97B287F8028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Normal="60" zoomScaleSheetLayoutView="10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3329</v>
      </c>
      <c r="C1" s="1141" t="s">
        <v>1660</v>
      </c>
      <c r="D1" s="1142" t="s">
        <v>4773</v>
      </c>
      <c r="E1" s="3132" t="s">
        <v>4914</v>
      </c>
      <c r="F1" s="1735" t="s">
        <v>4915</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3303</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4955</v>
      </c>
      <c r="C3" s="344" t="s">
        <v>1766</v>
      </c>
      <c r="D3" s="343">
        <f>SUMIF('数据-汇总表'!$C19:$C33,D1,'数据-汇总表'!$E19:$E33)</f>
        <v>6666.6000000000076</v>
      </c>
      <c r="E3" s="344" t="s">
        <v>1830</v>
      </c>
      <c r="F3" s="343">
        <f>SUMIF('数据-取费表'!A5:A15,D1,'数据-取费表'!AH5:AH15)</f>
        <v>154</v>
      </c>
      <c r="G3" s="855"/>
      <c r="H3" s="855"/>
      <c r="I3" s="855"/>
      <c r="J3" s="855"/>
      <c r="K3" s="857"/>
      <c r="L3" s="2504"/>
      <c r="M3" s="2505">
        <f>IF(C2="——",IF(B37="元/平方米",ROUND(C39*D3/10000,0),ROUND(F3*C39/10000,0)),IF(B37="元/平方米",ROUND(C39*D3/10000,0),ROUND(F3*C39/10000,0))-D2)</f>
        <v>3303</v>
      </c>
      <c r="N3" s="2505"/>
      <c r="O3" s="2505"/>
      <c r="P3" s="1086"/>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
        <v>1672</v>
      </c>
      <c r="F5" s="3425"/>
      <c r="G5" s="3426" t="s">
        <v>1673</v>
      </c>
      <c r="H5" s="3427"/>
      <c r="I5" s="3426" t="s">
        <v>1674</v>
      </c>
      <c r="J5" s="3427"/>
      <c r="K5" s="537"/>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v>45962</v>
      </c>
      <c r="F7" s="357">
        <f>SUMIF(48:48,YEAR(E7)&amp;"-"&amp;MONTH(E7),49:49)</f>
        <v>100</v>
      </c>
      <c r="G7" s="356">
        <v>45962</v>
      </c>
      <c r="H7" s="355">
        <f>SUMIF(48:48,YEAR(G7)&amp;"-"&amp;MONTH(G7),49:49)</f>
        <v>100</v>
      </c>
      <c r="I7" s="356">
        <v>45962</v>
      </c>
      <c r="J7" s="355">
        <f>SUMIF(48:48,YEAR(I7)&amp;"-"&amp;MONTH(I7),49:49)</f>
        <v>100</v>
      </c>
      <c r="K7" s="38"/>
      <c r="L7" s="2489"/>
      <c r="M7" s="2440"/>
      <c r="N7" s="2440"/>
      <c r="O7" s="2440"/>
      <c r="P7" s="3418" t="s">
        <v>1678</v>
      </c>
      <c r="Q7" s="3446"/>
      <c r="R7" s="664" t="s">
        <v>14</v>
      </c>
      <c r="S7" s="665">
        <f t="shared" ref="S7:S14" si="0">F7</f>
        <v>100</v>
      </c>
      <c r="T7" s="664" t="s">
        <v>14</v>
      </c>
      <c r="U7" s="665">
        <f t="shared" ref="U7:U14" si="1">H7</f>
        <v>100</v>
      </c>
      <c r="V7" s="664" t="s">
        <v>14</v>
      </c>
      <c r="W7" s="665">
        <f t="shared" ref="W7:W14" si="2">J7</f>
        <v>100</v>
      </c>
      <c r="X7" s="666"/>
      <c r="Y7" s="3418" t="s">
        <v>1678</v>
      </c>
      <c r="Z7" s="3419"/>
      <c r="AA7" s="50">
        <f>D7/F7</f>
        <v>1</v>
      </c>
      <c r="AB7" s="50">
        <f>D7/H7</f>
        <v>1</v>
      </c>
      <c r="AC7" s="50">
        <f>D7/J7</f>
        <v>1</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8" t="s">
        <v>1681</v>
      </c>
      <c r="Q8" s="3419"/>
      <c r="R8" s="664" t="s">
        <v>14</v>
      </c>
      <c r="S8" s="665">
        <f t="shared" si="0"/>
        <v>100</v>
      </c>
      <c r="T8" s="664" t="s">
        <v>14</v>
      </c>
      <c r="U8" s="665">
        <f t="shared" si="1"/>
        <v>100</v>
      </c>
      <c r="V8" s="664" t="s">
        <v>14</v>
      </c>
      <c r="W8" s="665">
        <f t="shared" si="2"/>
        <v>100</v>
      </c>
      <c r="X8" s="666"/>
      <c r="Y8" s="3418" t="s">
        <v>1681</v>
      </c>
      <c r="Z8" s="3419"/>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50" t="s">
        <v>1684</v>
      </c>
      <c r="Q9" s="530" t="str">
        <f t="shared" ref="Q9:Q14" si="6">B9</f>
        <v>用途</v>
      </c>
      <c r="R9" s="664" t="s">
        <v>14</v>
      </c>
      <c r="S9" s="665">
        <f t="shared" si="0"/>
        <v>100</v>
      </c>
      <c r="T9" s="664" t="s">
        <v>14</v>
      </c>
      <c r="U9" s="665">
        <f t="shared" si="1"/>
        <v>100</v>
      </c>
      <c r="V9" s="664" t="s">
        <v>14</v>
      </c>
      <c r="W9" s="665">
        <f t="shared" si="2"/>
        <v>100</v>
      </c>
      <c r="X9" s="666"/>
      <c r="Y9" s="3362"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50"/>
      <c r="Q11" s="530">
        <f t="shared" si="6"/>
        <v>111</v>
      </c>
      <c r="R11" s="664" t="s">
        <v>14</v>
      </c>
      <c r="S11" s="665">
        <f t="shared" si="0"/>
        <v>100</v>
      </c>
      <c r="T11" s="664" t="s">
        <v>14</v>
      </c>
      <c r="U11" s="665">
        <f t="shared" si="1"/>
        <v>100</v>
      </c>
      <c r="V11" s="664" t="s">
        <v>14</v>
      </c>
      <c r="W11" s="665">
        <f t="shared" si="2"/>
        <v>100</v>
      </c>
      <c r="X11" s="666"/>
      <c r="Y11" s="33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51" t="s">
        <v>1689</v>
      </c>
      <c r="Q14" s="1263" t="str">
        <f t="shared" si="6"/>
        <v>交通便捷度</v>
      </c>
      <c r="R14" s="667" t="s">
        <v>14</v>
      </c>
      <c r="S14" s="668">
        <f t="shared" si="0"/>
        <v>100</v>
      </c>
      <c r="T14" s="667" t="s">
        <v>14</v>
      </c>
      <c r="U14" s="668">
        <f t="shared" si="1"/>
        <v>100</v>
      </c>
      <c r="V14" s="667" t="s">
        <v>14</v>
      </c>
      <c r="W14" s="668">
        <f t="shared" si="2"/>
        <v>100</v>
      </c>
      <c r="X14" s="1265"/>
      <c r="Y14" s="3451"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52"/>
      <c r="Q15" s="1263"/>
      <c r="R15" s="667"/>
      <c r="S15" s="668"/>
      <c r="T15" s="667"/>
      <c r="U15" s="668"/>
      <c r="V15" s="667"/>
      <c r="W15" s="668"/>
      <c r="X15" s="1265"/>
      <c r="Y15" s="3452"/>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52"/>
      <c r="Q16" s="1263" t="str">
        <f>B16</f>
        <v>公共配套设施</v>
      </c>
      <c r="R16" s="667" t="s">
        <v>14</v>
      </c>
      <c r="S16" s="668">
        <f>F16</f>
        <v>100</v>
      </c>
      <c r="T16" s="667" t="s">
        <v>14</v>
      </c>
      <c r="U16" s="668">
        <f>H16</f>
        <v>100</v>
      </c>
      <c r="V16" s="667" t="s">
        <v>14</v>
      </c>
      <c r="W16" s="668">
        <f>J16</f>
        <v>100</v>
      </c>
      <c r="X16" s="1265"/>
      <c r="Y16" s="345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52"/>
      <c r="Q17" s="1263"/>
      <c r="R17" s="667"/>
      <c r="S17" s="668"/>
      <c r="T17" s="667"/>
      <c r="U17" s="668"/>
      <c r="V17" s="667"/>
      <c r="W17" s="668"/>
      <c r="X17" s="1265"/>
      <c r="Y17" s="3452"/>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52"/>
      <c r="Q18" s="1263" t="str">
        <f>B18</f>
        <v>基础设施水平</v>
      </c>
      <c r="R18" s="667" t="s">
        <v>14</v>
      </c>
      <c r="S18" s="668">
        <f>F18</f>
        <v>100</v>
      </c>
      <c r="T18" s="667" t="s">
        <v>14</v>
      </c>
      <c r="U18" s="668">
        <f>H18</f>
        <v>100</v>
      </c>
      <c r="V18" s="667" t="s">
        <v>14</v>
      </c>
      <c r="W18" s="668">
        <f>J18</f>
        <v>100</v>
      </c>
      <c r="X18" s="1265"/>
      <c r="Y18" s="345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52"/>
      <c r="Q19" s="1263"/>
      <c r="R19" s="667"/>
      <c r="S19" s="668"/>
      <c r="T19" s="667"/>
      <c r="U19" s="668"/>
      <c r="V19" s="667"/>
      <c r="W19" s="668"/>
      <c r="X19" s="1265"/>
      <c r="Y19" s="3452"/>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52"/>
      <c r="Q20" s="1263" t="str">
        <f>B20</f>
        <v>自然及人文环境</v>
      </c>
      <c r="R20" s="667" t="s">
        <v>14</v>
      </c>
      <c r="S20" s="668">
        <f>F20</f>
        <v>100</v>
      </c>
      <c r="T20" s="667" t="s">
        <v>14</v>
      </c>
      <c r="U20" s="668">
        <f>H20</f>
        <v>100</v>
      </c>
      <c r="V20" s="667" t="s">
        <v>14</v>
      </c>
      <c r="W20" s="668">
        <f>J20</f>
        <v>100</v>
      </c>
      <c r="X20" s="1265"/>
      <c r="Y20" s="345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52"/>
      <c r="Q21" s="1263"/>
      <c r="R21" s="667"/>
      <c r="S21" s="668"/>
      <c r="T21" s="667"/>
      <c r="U21" s="668"/>
      <c r="V21" s="667"/>
      <c r="W21" s="668"/>
      <c r="X21" s="1265"/>
      <c r="Y21" s="3452"/>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52"/>
      <c r="Q22" s="1263" t="str">
        <f>B22</f>
        <v>楼层</v>
      </c>
      <c r="R22" s="667" t="s">
        <v>14</v>
      </c>
      <c r="S22" s="668">
        <f>F22</f>
        <v>100</v>
      </c>
      <c r="T22" s="667" t="s">
        <v>14</v>
      </c>
      <c r="U22" s="668">
        <f>H22</f>
        <v>100</v>
      </c>
      <c r="V22" s="667" t="s">
        <v>14</v>
      </c>
      <c r="W22" s="668">
        <f>J22</f>
        <v>100</v>
      </c>
      <c r="X22" s="1265"/>
      <c r="Y22" s="345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52"/>
      <c r="Q23" s="1263">
        <f>B23</f>
        <v>111</v>
      </c>
      <c r="R23" s="667" t="s">
        <v>14</v>
      </c>
      <c r="S23" s="668">
        <f>F23</f>
        <v>100</v>
      </c>
      <c r="T23" s="667" t="s">
        <v>14</v>
      </c>
      <c r="U23" s="668">
        <f>H23</f>
        <v>100</v>
      </c>
      <c r="V23" s="667" t="s">
        <v>14</v>
      </c>
      <c r="W23" s="668">
        <f>J23</f>
        <v>100</v>
      </c>
      <c r="X23" s="1265"/>
      <c r="Y23" s="345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52"/>
      <c r="Q24" s="1263">
        <f t="shared" ref="Q24:Q36" si="11">B24</f>
        <v>111</v>
      </c>
      <c r="R24" s="667" t="s">
        <v>14</v>
      </c>
      <c r="S24" s="668">
        <f>F24</f>
        <v>100</v>
      </c>
      <c r="T24" s="667" t="s">
        <v>14</v>
      </c>
      <c r="U24" s="668">
        <f>H24</f>
        <v>100</v>
      </c>
      <c r="V24" s="667" t="s">
        <v>14</v>
      </c>
      <c r="W24" s="668">
        <f>J24</f>
        <v>100</v>
      </c>
      <c r="X24" s="1265"/>
      <c r="Y24" s="345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52"/>
      <c r="Q25" s="530">
        <f t="shared" si="11"/>
        <v>111</v>
      </c>
      <c r="R25" s="664" t="s">
        <v>14</v>
      </c>
      <c r="S25" s="665">
        <f>F25</f>
        <v>100</v>
      </c>
      <c r="T25" s="664" t="s">
        <v>14</v>
      </c>
      <c r="U25" s="665">
        <f>H25</f>
        <v>100</v>
      </c>
      <c r="V25" s="664" t="s">
        <v>14</v>
      </c>
      <c r="W25" s="665">
        <f>J25</f>
        <v>100</v>
      </c>
      <c r="X25" s="666"/>
      <c r="Y25" s="3452"/>
      <c r="Z25" s="50">
        <f>Q25</f>
        <v>111</v>
      </c>
      <c r="AA25" s="1264">
        <f>D25/F25</f>
        <v>1</v>
      </c>
      <c r="AB25" s="1264">
        <f>D25/H25</f>
        <v>1</v>
      </c>
      <c r="AC25" s="1264">
        <f>D25/J25</f>
        <v>1</v>
      </c>
    </row>
    <row r="26" spans="1:29" ht="28.5">
      <c r="A26" s="574" t="s">
        <v>1692</v>
      </c>
      <c r="B26" s="59" t="s">
        <v>1834</v>
      </c>
      <c r="C26" s="1820" t="str">
        <f>B1</f>
        <v>车库</v>
      </c>
      <c r="D26" s="387">
        <v>100</v>
      </c>
      <c r="E26" s="386" t="s">
        <v>3329</v>
      </c>
      <c r="F26" s="388">
        <f>SUMIF(79:79,E26,80:80)-SUMIF(79:79,C26,80:80)+100</f>
        <v>100</v>
      </c>
      <c r="G26" s="386" t="s">
        <v>3329</v>
      </c>
      <c r="H26" s="387">
        <f>SUMIF(79:79,G26,80:80)-SUMIF(79:79,C26,80:80)+100</f>
        <v>100</v>
      </c>
      <c r="I26" s="386" t="s">
        <v>3329</v>
      </c>
      <c r="J26" s="387">
        <f>SUMIF(79:79,I26,80:80)-SUMIF(79:79,C26,80:80)+100</f>
        <v>100</v>
      </c>
      <c r="K26" s="538"/>
      <c r="L26" s="2493"/>
      <c r="M26" s="2488"/>
      <c r="N26" s="2488"/>
      <c r="O26" s="2488"/>
      <c r="P26" s="3475"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56" t="s">
        <v>1694</v>
      </c>
      <c r="Z26" s="1264" t="str">
        <f t="shared" ref="Z26:Z36" si="15">Q26</f>
        <v>配套类型</v>
      </c>
      <c r="AA26" s="1264">
        <f t="shared" si="3"/>
        <v>1</v>
      </c>
      <c r="AB26" s="1264">
        <f t="shared" si="4"/>
        <v>1</v>
      </c>
      <c r="AC26" s="1264">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56"/>
      <c r="Q27" s="531" t="str">
        <f t="shared" si="11"/>
        <v>项目停车位配比</v>
      </c>
      <c r="R27" s="669" t="s">
        <v>14</v>
      </c>
      <c r="S27" s="670">
        <f t="shared" si="12"/>
        <v>100</v>
      </c>
      <c r="T27" s="669" t="s">
        <v>14</v>
      </c>
      <c r="U27" s="670">
        <f t="shared" si="13"/>
        <v>100</v>
      </c>
      <c r="V27" s="669" t="s">
        <v>14</v>
      </c>
      <c r="W27" s="670">
        <f t="shared" si="14"/>
        <v>100</v>
      </c>
      <c r="X27" s="671"/>
      <c r="Y27" s="3456"/>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56"/>
      <c r="Q28" s="1263" t="str">
        <f t="shared" si="11"/>
        <v>公共部分装修</v>
      </c>
      <c r="R28" s="667" t="s">
        <v>14</v>
      </c>
      <c r="S28" s="668">
        <f t="shared" si="12"/>
        <v>100</v>
      </c>
      <c r="T28" s="667" t="s">
        <v>14</v>
      </c>
      <c r="U28" s="668">
        <f t="shared" si="13"/>
        <v>100</v>
      </c>
      <c r="V28" s="667" t="s">
        <v>14</v>
      </c>
      <c r="W28" s="668">
        <f t="shared" si="14"/>
        <v>100</v>
      </c>
      <c r="X28" s="1265"/>
      <c r="Y28" s="3456"/>
      <c r="Z28" s="1264" t="str">
        <f t="shared" si="15"/>
        <v>公共部分装修</v>
      </c>
      <c r="AA28" s="1264">
        <f t="shared" si="3"/>
        <v>1</v>
      </c>
      <c r="AB28" s="1264">
        <f t="shared" si="4"/>
        <v>1</v>
      </c>
      <c r="AC28" s="1264">
        <f t="shared" si="5"/>
        <v>1</v>
      </c>
    </row>
    <row r="29" spans="1:29" ht="15">
      <c r="A29" s="577"/>
      <c r="B29" s="119" t="s">
        <v>1837</v>
      </c>
      <c r="C29" s="411">
        <v>0.85</v>
      </c>
      <c r="D29" s="374">
        <v>100</v>
      </c>
      <c r="E29" s="411">
        <v>0.85</v>
      </c>
      <c r="F29" s="400">
        <f>LOOKUP(E29,86:86,87:87)-LOOKUP(C29,86:86,87:87)+100</f>
        <v>100</v>
      </c>
      <c r="G29" s="411">
        <v>0.85</v>
      </c>
      <c r="H29" s="400">
        <f>LOOKUP(G29,86:86,87:87)-LOOKUP(C29,86:86,87:87)+100</f>
        <v>100</v>
      </c>
      <c r="I29" s="411">
        <v>0.85</v>
      </c>
      <c r="J29" s="374">
        <f>LOOKUP(I29,86:86,87:87)-LOOKUP(C29,86:86,87:87)+100</f>
        <v>100</v>
      </c>
      <c r="K29" s="538"/>
      <c r="L29" s="2493"/>
      <c r="M29" s="2488"/>
      <c r="N29" s="2488"/>
      <c r="O29" s="2488"/>
      <c r="P29" s="3456"/>
      <c r="Q29" s="1263" t="str">
        <f t="shared" si="11"/>
        <v>成新率</v>
      </c>
      <c r="R29" s="667" t="s">
        <v>14</v>
      </c>
      <c r="S29" s="668">
        <f t="shared" si="12"/>
        <v>100</v>
      </c>
      <c r="T29" s="667" t="s">
        <v>14</v>
      </c>
      <c r="U29" s="668">
        <f t="shared" si="13"/>
        <v>100</v>
      </c>
      <c r="V29" s="667" t="s">
        <v>14</v>
      </c>
      <c r="W29" s="668">
        <f t="shared" si="14"/>
        <v>100</v>
      </c>
      <c r="X29" s="1265"/>
      <c r="Y29" s="3456"/>
      <c r="Z29" s="1264" t="str">
        <f t="shared" si="15"/>
        <v>成新率</v>
      </c>
      <c r="AA29" s="1264">
        <f t="shared" si="3"/>
        <v>1</v>
      </c>
      <c r="AB29" s="1264">
        <f t="shared" si="4"/>
        <v>1</v>
      </c>
      <c r="AC29" s="1264">
        <f t="shared" si="5"/>
        <v>1</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56"/>
      <c r="Q30" s="1263" t="str">
        <f t="shared" si="11"/>
        <v>物业等级</v>
      </c>
      <c r="R30" s="667" t="s">
        <v>14</v>
      </c>
      <c r="S30" s="668">
        <f t="shared" si="12"/>
        <v>100</v>
      </c>
      <c r="T30" s="667" t="s">
        <v>14</v>
      </c>
      <c r="U30" s="668">
        <f t="shared" si="13"/>
        <v>100</v>
      </c>
      <c r="V30" s="667" t="s">
        <v>14</v>
      </c>
      <c r="W30" s="668">
        <f t="shared" si="14"/>
        <v>100</v>
      </c>
      <c r="X30" s="1265"/>
      <c r="Y30" s="3456"/>
      <c r="Z30" s="1264" t="str">
        <f t="shared" si="15"/>
        <v>物业等级</v>
      </c>
      <c r="AA30" s="1264">
        <f t="shared" si="3"/>
        <v>1</v>
      </c>
      <c r="AB30" s="1264">
        <f t="shared" si="4"/>
        <v>1</v>
      </c>
      <c r="AC30" s="1264">
        <f t="shared" si="5"/>
        <v>1</v>
      </c>
    </row>
    <row r="31" spans="1:29" s="102" customFormat="1" ht="15">
      <c r="A31" s="579"/>
      <c r="B31" s="119" t="s">
        <v>1839</v>
      </c>
      <c r="C31" s="407">
        <v>30</v>
      </c>
      <c r="D31" s="119">
        <v>100</v>
      </c>
      <c r="E31" s="407">
        <v>30</v>
      </c>
      <c r="F31" s="400">
        <f>LOOKUP(E31,91:91,92:92)-LOOKUP(C31,91:91,92:92)+100</f>
        <v>100</v>
      </c>
      <c r="G31" s="407">
        <v>30</v>
      </c>
      <c r="H31" s="374">
        <f>LOOKUP(G31,91:91,92:92)-LOOKUP(C31,91:91,92:92)+100</f>
        <v>100</v>
      </c>
      <c r="I31" s="407">
        <v>30</v>
      </c>
      <c r="J31" s="374">
        <f>LOOKUP(I31,91:91,92:92)-LOOKUP(C31,91:91,92:92)+100</f>
        <v>100</v>
      </c>
      <c r="K31" s="538"/>
      <c r="L31" s="2489"/>
      <c r="M31" s="2440"/>
      <c r="N31" s="2440"/>
      <c r="O31" s="2440"/>
      <c r="P31" s="3456"/>
      <c r="Q31" s="530" t="str">
        <f t="shared" si="11"/>
        <v>停车位面积</v>
      </c>
      <c r="R31" s="664" t="s">
        <v>14</v>
      </c>
      <c r="S31" s="665">
        <f t="shared" si="12"/>
        <v>100</v>
      </c>
      <c r="T31" s="664" t="s">
        <v>14</v>
      </c>
      <c r="U31" s="665">
        <f t="shared" si="13"/>
        <v>100</v>
      </c>
      <c r="V31" s="664" t="s">
        <v>14</v>
      </c>
      <c r="W31" s="665">
        <f t="shared" si="14"/>
        <v>100</v>
      </c>
      <c r="X31" s="666"/>
      <c r="Y31" s="3456"/>
      <c r="Z31" s="50" t="str">
        <f t="shared" si="15"/>
        <v>停车位面积</v>
      </c>
      <c r="AA31" s="50">
        <f t="shared" si="3"/>
        <v>1</v>
      </c>
      <c r="AB31" s="50">
        <f t="shared" si="4"/>
        <v>1</v>
      </c>
      <c r="AC31" s="50">
        <f t="shared" si="5"/>
        <v>1</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56" t="s">
        <v>1694</v>
      </c>
      <c r="Q32" s="1263" t="str">
        <f t="shared" si="11"/>
        <v>车位类型</v>
      </c>
      <c r="R32" s="667" t="s">
        <v>14</v>
      </c>
      <c r="S32" s="668">
        <f t="shared" si="12"/>
        <v>100</v>
      </c>
      <c r="T32" s="667" t="s">
        <v>14</v>
      </c>
      <c r="U32" s="668">
        <f t="shared" si="13"/>
        <v>100</v>
      </c>
      <c r="V32" s="667" t="s">
        <v>14</v>
      </c>
      <c r="W32" s="668">
        <f t="shared" si="14"/>
        <v>100</v>
      </c>
      <c r="X32" s="1265"/>
      <c r="Y32" s="3456"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56"/>
      <c r="Q33" s="1263" t="str">
        <f t="shared" si="11"/>
        <v>是否直接入户</v>
      </c>
      <c r="R33" s="667" t="s">
        <v>14</v>
      </c>
      <c r="S33" s="668">
        <f t="shared" si="12"/>
        <v>100</v>
      </c>
      <c r="T33" s="667" t="s">
        <v>14</v>
      </c>
      <c r="U33" s="668">
        <f t="shared" si="13"/>
        <v>100</v>
      </c>
      <c r="V33" s="667" t="s">
        <v>14</v>
      </c>
      <c r="W33" s="668">
        <f t="shared" si="14"/>
        <v>100</v>
      </c>
      <c r="X33" s="1265"/>
      <c r="Y33" s="345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56"/>
      <c r="Q34" s="1263">
        <f t="shared" si="11"/>
        <v>111</v>
      </c>
      <c r="R34" s="667" t="s">
        <v>14</v>
      </c>
      <c r="S34" s="668">
        <f t="shared" si="12"/>
        <v>100</v>
      </c>
      <c r="T34" s="667" t="s">
        <v>14</v>
      </c>
      <c r="U34" s="668">
        <f t="shared" si="13"/>
        <v>100</v>
      </c>
      <c r="V34" s="667" t="s">
        <v>14</v>
      </c>
      <c r="W34" s="668">
        <f t="shared" si="14"/>
        <v>100</v>
      </c>
      <c r="X34" s="1265"/>
      <c r="Y34" s="345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56"/>
      <c r="Q35" s="531">
        <f t="shared" si="11"/>
        <v>111</v>
      </c>
      <c r="R35" s="669" t="s">
        <v>14</v>
      </c>
      <c r="S35" s="670">
        <f t="shared" si="12"/>
        <v>100</v>
      </c>
      <c r="T35" s="669" t="s">
        <v>14</v>
      </c>
      <c r="U35" s="670">
        <f t="shared" si="13"/>
        <v>100</v>
      </c>
      <c r="V35" s="669" t="s">
        <v>14</v>
      </c>
      <c r="W35" s="670">
        <f t="shared" si="14"/>
        <v>100</v>
      </c>
      <c r="X35" s="671"/>
      <c r="Y35" s="345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56"/>
      <c r="Q36" s="1263">
        <f t="shared" si="11"/>
        <v>111</v>
      </c>
      <c r="R36" s="667" t="s">
        <v>14</v>
      </c>
      <c r="S36" s="668">
        <f t="shared" si="12"/>
        <v>100</v>
      </c>
      <c r="T36" s="667" t="s">
        <v>14</v>
      </c>
      <c r="U36" s="668">
        <f t="shared" si="13"/>
        <v>100</v>
      </c>
      <c r="V36" s="667" t="s">
        <v>14</v>
      </c>
      <c r="W36" s="668">
        <f t="shared" si="14"/>
        <v>100</v>
      </c>
      <c r="X36" s="1265"/>
      <c r="Y36" s="3456"/>
      <c r="Z36" s="1264">
        <f t="shared" si="15"/>
        <v>111</v>
      </c>
      <c r="AA36" s="1264">
        <f t="shared" si="3"/>
        <v>1</v>
      </c>
      <c r="AB36" s="1264">
        <f t="shared" si="4"/>
        <v>1</v>
      </c>
      <c r="AC36" s="1264">
        <f t="shared" si="5"/>
        <v>1</v>
      </c>
    </row>
    <row r="37" spans="1:29" ht="15">
      <c r="A37" s="416" t="s">
        <v>1842</v>
      </c>
      <c r="B37" s="1821" t="s">
        <v>3350</v>
      </c>
      <c r="C37" s="1081" t="s">
        <v>0</v>
      </c>
      <c r="D37" s="418"/>
      <c r="E37" s="419">
        <f>市场售价案例!G7</f>
        <v>4482</v>
      </c>
      <c r="F37" s="420"/>
      <c r="G37" s="421">
        <f>市场售价案例!T3</f>
        <v>5201</v>
      </c>
      <c r="H37" s="422"/>
      <c r="I37" s="419">
        <f>市场售价案例!T63</f>
        <v>5181</v>
      </c>
      <c r="J37" s="422"/>
      <c r="K37" s="545"/>
      <c r="L37" s="2495"/>
      <c r="M37" s="2488"/>
      <c r="N37" s="2488"/>
      <c r="O37" s="2488"/>
      <c r="P37" s="3450" t="str">
        <f>A37</f>
        <v>成交单价</v>
      </c>
      <c r="Q37" s="3450"/>
      <c r="R37" s="3445">
        <f>E37</f>
        <v>4482</v>
      </c>
      <c r="S37" s="3445"/>
      <c r="T37" s="3445">
        <f>G37</f>
        <v>5201</v>
      </c>
      <c r="U37" s="3445"/>
      <c r="V37" s="3445">
        <f>I37</f>
        <v>5181</v>
      </c>
      <c r="W37" s="3445"/>
      <c r="X37" s="385"/>
      <c r="Y37" s="673"/>
      <c r="Z37" s="385"/>
      <c r="AA37" s="385"/>
      <c r="AB37" s="385"/>
      <c r="AC37" s="385"/>
    </row>
    <row r="38" spans="1:29" ht="15.75" thickBot="1">
      <c r="A38" s="423" t="s">
        <v>1843</v>
      </c>
      <c r="B38" s="424" t="str">
        <f>B37</f>
        <v>元/平方米</v>
      </c>
      <c r="C38" s="1082">
        <f>R39</f>
        <v>4955</v>
      </c>
      <c r="D38" s="2141" t="s">
        <v>2136</v>
      </c>
      <c r="E38" s="1083">
        <f>R38</f>
        <v>4482</v>
      </c>
      <c r="F38" s="2142"/>
      <c r="G38" s="1082">
        <f>T38</f>
        <v>5201</v>
      </c>
      <c r="H38" s="2142"/>
      <c r="I38" s="1083">
        <f>V38</f>
        <v>5181</v>
      </c>
      <c r="J38" s="2142"/>
      <c r="K38" s="2144">
        <f>F38+H38+J38</f>
        <v>0</v>
      </c>
      <c r="L38" s="2495"/>
      <c r="M38" s="2488"/>
      <c r="N38" s="2488"/>
      <c r="O38" s="2488"/>
      <c r="P38" s="3450" t="str">
        <f>A38</f>
        <v>比较价值（元/平方米）</v>
      </c>
      <c r="Q38" s="3450"/>
      <c r="R38" s="3445">
        <f>IF(F1="售价",ROUND(PRODUCT(R37,AA7:AA36),0),ROUND(PRODUCT(R37,AA7:AA36),1))</f>
        <v>4482</v>
      </c>
      <c r="S38" s="3445"/>
      <c r="T38" s="3445">
        <f>IF(F1="售价",ROUND(PRODUCT(T37,AB7:AB36),0),ROUND(PRODUCT(T37,AB7:AB36),1))</f>
        <v>5201</v>
      </c>
      <c r="U38" s="3445"/>
      <c r="V38" s="3445">
        <f>IF(F1="售价",ROUND(PRODUCT(V37,AC7:AC36),0),ROUND(PRODUCT(V37,AC7:AC36),1))</f>
        <v>5181</v>
      </c>
      <c r="W38" s="3445"/>
      <c r="X38" s="385"/>
      <c r="Y38" s="385"/>
      <c r="Z38" s="385"/>
      <c r="AA38" s="385"/>
      <c r="AB38" s="385"/>
      <c r="AC38" s="385"/>
    </row>
    <row r="39" spans="1:29" ht="15.75" thickBot="1">
      <c r="A39" s="427" t="s">
        <v>1844</v>
      </c>
      <c r="B39" s="428"/>
      <c r="C39" s="351">
        <f>R39</f>
        <v>4955</v>
      </c>
      <c r="D39" s="351"/>
      <c r="E39" s="351"/>
      <c r="F39" s="351"/>
      <c r="G39" s="351"/>
      <c r="H39" s="351"/>
      <c r="I39" s="351"/>
      <c r="J39" s="351"/>
      <c r="K39" s="546"/>
      <c r="L39" s="2495"/>
      <c r="M39" s="2488"/>
      <c r="N39" s="2488"/>
      <c r="O39" s="2488"/>
      <c r="P39" s="3447" t="str">
        <f>A39</f>
        <v>估价对象XX用房的比较价值（楼面单价，元/平方米）</v>
      </c>
      <c r="Q39" s="3448"/>
      <c r="R39" s="3476">
        <f>IF(F1="售价",ROUND(IF(D38="简单平均",AVERAGE(R38:W38),R38*F38+T38*H38+V38*J38),0),ROUND(IF(D38="简单平均",AVERAGE(R38:V38),R38*F38+T38*H38+V38*J38),1))</f>
        <v>4955</v>
      </c>
      <c r="S39" s="3476"/>
      <c r="T39" s="3476"/>
      <c r="U39" s="3476"/>
      <c r="V39" s="3476"/>
      <c r="W39" s="347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f>IF(E38&lt;G38,G38/E38-1,E38/G38-1)</f>
        <v>0.16041945560017856</v>
      </c>
      <c r="F43" s="435" t="str">
        <f>IF(OR(E43&gt;=0.2,E43&lt;=-0.2),"超过20%","")</f>
        <v/>
      </c>
      <c r="G43" s="434">
        <f>IF(G38&lt;I38,I38/G38-1,G38/I38-1)</f>
        <v>3.8602586373286396E-3</v>
      </c>
      <c r="H43" s="435" t="str">
        <f>IF(OR(G43&gt;=0.2,G43&lt;=-0.2),"超过20%","")</f>
        <v/>
      </c>
      <c r="I43" s="434">
        <f>IF(I38&lt;E38,E38/I38-1,I38/E38-1)</f>
        <v>0.15595716198125831</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f>IF(E37&lt;G37,G37/E37-1,E37/G37-1)</f>
        <v>0.16041945560017856</v>
      </c>
      <c r="F44" s="435" t="str">
        <f>IF(OR(E44&gt;=0.3,E44&lt;=-0.3),"超过30%","")</f>
        <v/>
      </c>
      <c r="G44" s="434">
        <f>IF(G37&lt;I37,I37/G37-1,G37/I37-1)</f>
        <v>3.8602586373286396E-3</v>
      </c>
      <c r="H44" s="435" t="str">
        <f>IF(OR(G44&gt;=0.3,G44&lt;=-0.3),"超过30%","")</f>
        <v/>
      </c>
      <c r="I44" s="434">
        <f>IF(I37&lt;E37,E37/I37-1,I37/E37-1)</f>
        <v>0.15595716198125831</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0(含)-30</v>
      </c>
      <c r="D90" s="509" t="str">
        <f t="shared" ref="D90:L90" si="21">D91&amp;"(含)"&amp;"-"&amp;E91</f>
        <v>30(含)-50</v>
      </c>
      <c r="E90" s="509" t="str">
        <f t="shared" si="21"/>
        <v>50(含)-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v>50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2" priority="13" stopIfTrue="1">
      <formula>$F$42="超过30%"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F7:F36 H7:H36 J7:J36">
    <cfRule type="cellIs" dxfId="99" priority="1" operator="notEqual">
      <formula>100</formula>
    </cfRule>
  </conditionalFormatting>
  <conditionalFormatting sqref="F38">
    <cfRule type="expression" dxfId="98" priority="4">
      <formula>$D$38="简单平均"</formula>
    </cfRule>
  </conditionalFormatting>
  <conditionalFormatting sqref="F42:F44 H42:H44 J42:J44">
    <cfRule type="containsText" dxfId="97" priority="14" stopIfTrue="1" operator="containsText" text="超过">
      <formula>NOT(ISERROR(SEARCH("超过",F42)))</formula>
    </cfRule>
  </conditionalFormatting>
  <conditionalFormatting sqref="G42">
    <cfRule type="expression" dxfId="96" priority="9" stopIfTrue="1">
      <formula>$H$52+$H$42="超过30%"</formula>
    </cfRule>
  </conditionalFormatting>
  <conditionalFormatting sqref="G43">
    <cfRule type="expression" dxfId="95" priority="8" stopIfTrue="1">
      <formula>$H$43="超过20%"</formula>
    </cfRule>
  </conditionalFormatting>
  <conditionalFormatting sqref="G44">
    <cfRule type="expression" dxfId="94" priority="12" stopIfTrue="1">
      <formula>$H$54+$H$44="超过30%"</formula>
    </cfRule>
  </conditionalFormatting>
  <conditionalFormatting sqref="H38">
    <cfRule type="expression" dxfId="93" priority="3">
      <formula>$D$38="简单平均"</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J38">
    <cfRule type="expression" dxfId="8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A384A-E897-4863-9BBD-79771841483F}">
  <sheetPr>
    <tabColor rgb="FFFF0000"/>
  </sheetPr>
  <dimension ref="A1:AJ512"/>
  <sheetViews>
    <sheetView view="pageBreakPreview" topLeftCell="A7" zoomScale="130" zoomScaleNormal="100" zoomScaleSheetLayoutView="130"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59" t="str">
        <f>项目基本情况!S2</f>
        <v>房地产</v>
      </c>
      <c r="B2" s="3360"/>
      <c r="C2" s="3360"/>
      <c r="D2" s="3360"/>
      <c r="E2" s="3360"/>
      <c r="F2" s="3360"/>
      <c r="G2" s="3360"/>
      <c r="H2" s="3360"/>
      <c r="I2" s="3361"/>
    </row>
    <row r="3" spans="1:12" ht="12.75">
      <c r="A3" s="3363" t="s">
        <v>1262</v>
      </c>
      <c r="B3" s="3364"/>
      <c r="C3" s="3364"/>
      <c r="D3" s="3364"/>
      <c r="E3" s="3364"/>
      <c r="F3" s="3364"/>
      <c r="G3" s="3364"/>
      <c r="H3" s="3364"/>
      <c r="I3" s="3364"/>
    </row>
    <row r="4" spans="1:12" ht="14.25">
      <c r="A4" s="1624" t="s">
        <v>1263</v>
      </c>
      <c r="B4" s="1625" t="s">
        <v>1264</v>
      </c>
      <c r="C4" s="1626" t="s">
        <v>4782</v>
      </c>
      <c r="D4" s="1626" t="s">
        <v>4919</v>
      </c>
      <c r="E4" s="3368" t="s">
        <v>1265</v>
      </c>
      <c r="F4" s="3369"/>
      <c r="G4" s="3369"/>
      <c r="H4" s="3369"/>
      <c r="I4" s="3370"/>
      <c r="K4" s="138" t="str">
        <f>IF(ISNUMBER(FIND("比较法",'结果表-仓储'!C4)),"比较法",IF(ISNUMBER(FIND("成本法",'结果表-仓储'!C4)),"成本法",IF(ISNUMBER(FIND("假设开发法",'结果表-仓储'!C4)),"假设开发法",IF(ISNUMBER(FIND("收益法",'结果表-仓储'!C4)),"收益法","基准地价系数修正法"))))</f>
        <v>收益法</v>
      </c>
      <c r="L4" s="138"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07" t="s">
        <v>1266</v>
      </c>
      <c r="B5" s="3362">
        <v>25</v>
      </c>
      <c r="C5" s="3365"/>
      <c r="D5" s="3353"/>
      <c r="E5" s="123" t="s">
        <v>1267</v>
      </c>
      <c r="F5" s="1627"/>
      <c r="G5" s="1627"/>
      <c r="H5" s="1627"/>
      <c r="I5" s="1281"/>
    </row>
    <row r="6" spans="1:12" ht="12.75">
      <c r="A6" s="3307"/>
      <c r="B6" s="3362"/>
      <c r="C6" s="3367"/>
      <c r="D6" s="3353"/>
      <c r="E6" s="123" t="s">
        <v>1268</v>
      </c>
      <c r="F6" s="1627"/>
      <c r="G6" s="1627"/>
      <c r="H6" s="1627"/>
      <c r="I6" s="1281"/>
    </row>
    <row r="7" spans="1:12" ht="12.75">
      <c r="A7" s="3307"/>
      <c r="B7" s="3362"/>
      <c r="C7" s="3366"/>
      <c r="D7" s="3353"/>
      <c r="E7" s="123" t="s">
        <v>1269</v>
      </c>
      <c r="F7" s="1627"/>
      <c r="G7" s="1627"/>
      <c r="H7" s="1627"/>
      <c r="I7" s="1281"/>
    </row>
    <row r="8" spans="1:12" ht="12.75">
      <c r="A8" s="3307" t="s">
        <v>1270</v>
      </c>
      <c r="B8" s="3362">
        <v>15</v>
      </c>
      <c r="C8" s="3365"/>
      <c r="D8" s="3353"/>
      <c r="E8" s="123" t="s">
        <v>1271</v>
      </c>
      <c r="F8" s="1627"/>
      <c r="G8" s="1627"/>
      <c r="H8" s="1627"/>
      <c r="I8" s="1281"/>
    </row>
    <row r="9" spans="1:12" ht="12.75">
      <c r="A9" s="3307"/>
      <c r="B9" s="3362"/>
      <c r="C9" s="3366"/>
      <c r="D9" s="3353"/>
      <c r="E9" s="123" t="s">
        <v>1272</v>
      </c>
      <c r="F9" s="1627"/>
      <c r="G9" s="1627"/>
      <c r="H9" s="1627"/>
      <c r="I9" s="1281"/>
    </row>
    <row r="10" spans="1:12" ht="12.75">
      <c r="A10" s="3307" t="s">
        <v>1273</v>
      </c>
      <c r="B10" s="3362">
        <v>15</v>
      </c>
      <c r="C10" s="3365"/>
      <c r="D10" s="3353"/>
      <c r="E10" s="123" t="s">
        <v>1274</v>
      </c>
      <c r="F10" s="1627"/>
      <c r="G10" s="1627"/>
      <c r="H10" s="1627"/>
      <c r="I10" s="1281"/>
    </row>
    <row r="11" spans="1:12" ht="12.75">
      <c r="A11" s="3307"/>
      <c r="B11" s="3362"/>
      <c r="C11" s="3366"/>
      <c r="D11" s="3353"/>
      <c r="E11" s="123" t="s">
        <v>1275</v>
      </c>
      <c r="F11" s="1627"/>
      <c r="G11" s="1627"/>
      <c r="H11" s="1627"/>
      <c r="I11" s="1281"/>
    </row>
    <row r="12" spans="1:12" ht="12.75">
      <c r="A12" s="3307" t="s">
        <v>1276</v>
      </c>
      <c r="B12" s="3362">
        <v>15</v>
      </c>
      <c r="C12" s="3365"/>
      <c r="D12" s="3353"/>
      <c r="E12" s="123" t="s">
        <v>1277</v>
      </c>
      <c r="F12" s="1627"/>
      <c r="G12" s="1627"/>
      <c r="H12" s="1627"/>
      <c r="I12" s="1281"/>
    </row>
    <row r="13" spans="1:12" ht="12.75">
      <c r="A13" s="3307"/>
      <c r="B13" s="3362"/>
      <c r="C13" s="3366"/>
      <c r="D13" s="3353"/>
      <c r="E13" s="123" t="s">
        <v>1278</v>
      </c>
      <c r="F13" s="1627"/>
      <c r="G13" s="1627"/>
      <c r="H13" s="1627"/>
      <c r="I13" s="1281"/>
    </row>
    <row r="14" spans="1:12" ht="12.75">
      <c r="A14" s="3307" t="s">
        <v>1279</v>
      </c>
      <c r="B14" s="3362">
        <v>30</v>
      </c>
      <c r="C14" s="3365">
        <v>6</v>
      </c>
      <c r="D14" s="3353">
        <f>10-C14</f>
        <v>4</v>
      </c>
      <c r="E14" s="123" t="s">
        <v>1280</v>
      </c>
      <c r="F14" s="1627"/>
      <c r="G14" s="1627"/>
      <c r="H14" s="1627"/>
      <c r="I14" s="1281"/>
    </row>
    <row r="15" spans="1:12" ht="12.75">
      <c r="A15" s="3307"/>
      <c r="B15" s="3362"/>
      <c r="C15" s="3367"/>
      <c r="D15" s="3353"/>
      <c r="E15" s="123" t="s">
        <v>1281</v>
      </c>
      <c r="F15" s="1627"/>
      <c r="G15" s="1627"/>
      <c r="H15" s="1627"/>
      <c r="I15" s="1281"/>
    </row>
    <row r="16" spans="1:12" ht="12.75">
      <c r="A16" s="3307"/>
      <c r="B16" s="3362"/>
      <c r="C16" s="3366"/>
      <c r="D16" s="3353"/>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384" t="s">
        <v>2129</v>
      </c>
      <c r="F18" s="3385"/>
      <c r="G18" s="3385"/>
      <c r="H18" s="3385"/>
      <c r="I18" s="3385"/>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SUMIF(INDIRECT("'"&amp;C4&amp;"'"&amp;"!A:A"),'结果表-仓储'!B19,INDIRECT("'"&amp;C4&amp;"'"&amp;"!B:B"))</f>
        <v>17.5563</v>
      </c>
      <c r="D19" s="127">
        <f ca="1">SUMIF(INDIRECT("'"&amp;D4&amp;"'"&amp;"!A:A"),'结果表-仓储'!B19,INDIRECT("'"&amp;D4&amp;"'"&amp;"!B:B"))</f>
        <v>0</v>
      </c>
      <c r="E19" s="1630" t="s">
        <v>1290</v>
      </c>
      <c r="F19" s="1631" t="s">
        <v>1289</v>
      </c>
      <c r="G19" s="128">
        <f ca="1">ROUND(C19*$C$18+D19*$D$18,0)</f>
        <v>11</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SUMIF(INDIRECT("'"&amp;C4&amp;"'"&amp;"!A:A"),'结果表-仓储'!B20,INDIRECT("'"&amp;C4&amp;"'"&amp;"!B:B"))</f>
        <v>2065</v>
      </c>
      <c r="D20" s="130">
        <f ca="1">SUMIF(INDIRECT("'"&amp;D4&amp;"'"&amp;"!A:A"),'结果表-仓储'!B20,INDIRECT("'"&amp;D4&amp;"'"&amp;"!B:B"))</f>
        <v>3273</v>
      </c>
      <c r="E20" s="1633"/>
      <c r="F20" s="43" t="s">
        <v>1293</v>
      </c>
      <c r="G20" s="131">
        <f ca="1">ROUND(C20*$C$18+D20*$D$18,0)</f>
        <v>2548</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77" t="s">
        <v>1297</v>
      </c>
      <c r="B24" s="1631" t="s">
        <v>1289</v>
      </c>
      <c r="C24" s="128">
        <f>IF(B30=0,0,D30)</f>
        <v>0</v>
      </c>
      <c r="D24" s="1637"/>
      <c r="E24" s="121"/>
      <c r="F24" s="121"/>
      <c r="G24" s="121"/>
      <c r="H24" s="121"/>
      <c r="I24" s="121"/>
    </row>
    <row r="25" spans="1:36" ht="14.25">
      <c r="A25" s="337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2548</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54" t="s">
        <v>1310</v>
      </c>
      <c r="B36" s="1652" t="s">
        <v>1311</v>
      </c>
      <c r="C36" s="137"/>
      <c r="D36" s="1653"/>
      <c r="E36" s="1567"/>
      <c r="F36" s="1654"/>
      <c r="G36" s="121"/>
      <c r="H36" s="121"/>
      <c r="I36" s="121"/>
    </row>
    <row r="37" spans="1:15" ht="15.75" thickBot="1">
      <c r="A37" s="3355"/>
      <c r="B37" s="1555" t="s">
        <v>1312</v>
      </c>
      <c r="C37" s="139"/>
      <c r="D37" s="1071"/>
      <c r="E37" s="1071"/>
      <c r="F37" s="1654"/>
      <c r="G37" s="121"/>
      <c r="H37" s="121"/>
      <c r="I37" s="121"/>
    </row>
    <row r="38" spans="1:15" ht="15.75" thickBot="1">
      <c r="A38" s="3356"/>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4" t="s">
        <v>1324</v>
      </c>
      <c r="B45" s="3375"/>
      <c r="C45" s="3376"/>
      <c r="D45" s="147" t="e">
        <f ca="1">ROUND(H101*F45,0)</f>
        <v>#REF!</v>
      </c>
      <c r="E45" s="148" t="s">
        <v>1325</v>
      </c>
      <c r="F45" s="149">
        <v>1</v>
      </c>
      <c r="G45" s="150" t="s">
        <v>1326</v>
      </c>
      <c r="H45" s="121"/>
      <c r="I45" s="121"/>
      <c r="J45" s="3294" t="s">
        <v>1327</v>
      </c>
      <c r="K45" s="3294"/>
      <c r="L45" s="3294"/>
      <c r="M45" s="3294"/>
      <c r="N45" s="3294"/>
      <c r="O45" s="3294"/>
    </row>
    <row r="46" spans="1:15" ht="14.25" customHeight="1">
      <c r="A46" s="3371" t="s">
        <v>1328</v>
      </c>
      <c r="B46" s="3372"/>
      <c r="C46" s="3372"/>
      <c r="D46" s="3372"/>
      <c r="E46" s="3372"/>
      <c r="F46" s="3372"/>
      <c r="G46" s="3373"/>
      <c r="H46" s="1668"/>
      <c r="I46" s="151"/>
      <c r="J46" s="2310">
        <v>1</v>
      </c>
      <c r="K46" s="3295" t="s">
        <v>1329</v>
      </c>
      <c r="L46" s="3295"/>
      <c r="M46" s="3296"/>
      <c r="N46" s="3296"/>
      <c r="O46" s="3296"/>
    </row>
    <row r="47" spans="1:15" ht="12" customHeight="1">
      <c r="A47" s="152" t="s">
        <v>1330</v>
      </c>
      <c r="B47" s="153"/>
      <c r="C47" s="154"/>
      <c r="D47" s="1024" t="s">
        <v>1331</v>
      </c>
      <c r="E47" s="294" t="s">
        <v>1332</v>
      </c>
      <c r="F47" s="155" t="s">
        <v>1333</v>
      </c>
      <c r="G47" s="2333" t="s">
        <v>1334</v>
      </c>
      <c r="H47" s="2334"/>
      <c r="I47" s="151"/>
      <c r="J47" s="2310">
        <v>2</v>
      </c>
      <c r="K47" s="3295" t="s">
        <v>1335</v>
      </c>
      <c r="L47" s="3295"/>
      <c r="M47" s="3297">
        <f>'数据-取费表'!B2</f>
        <v>45974</v>
      </c>
      <c r="N47" s="3297"/>
      <c r="O47" s="3297"/>
    </row>
    <row r="48" spans="1:15" ht="25.5">
      <c r="A48" s="3357"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5" t="s">
        <v>1338</v>
      </c>
      <c r="L48" s="3295"/>
      <c r="M48" s="3298" t="e">
        <f ca="1">H101</f>
        <v>#REF!</v>
      </c>
      <c r="N48" s="3298"/>
      <c r="O48" s="3298"/>
    </row>
    <row r="49" spans="1:35" ht="25.5" customHeight="1">
      <c r="A49" s="2152" t="s">
        <v>1339</v>
      </c>
      <c r="B49" s="3343" t="s">
        <v>1340</v>
      </c>
      <c r="C49" s="3343"/>
      <c r="D49" s="1478">
        <v>0</v>
      </c>
      <c r="E49" s="316" t="s">
        <v>1341</v>
      </c>
      <c r="F49" s="2233" t="s">
        <v>28</v>
      </c>
      <c r="G49" s="3326"/>
      <c r="H49" s="2134" t="s">
        <v>2132</v>
      </c>
      <c r="I49" s="2135"/>
      <c r="J49" s="2310">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8"/>
      <c r="B50" s="3343" t="s">
        <v>1342</v>
      </c>
      <c r="C50" s="3343"/>
      <c r="D50" s="2189"/>
      <c r="E50" s="323"/>
      <c r="F50" s="2233"/>
      <c r="G50" s="3327"/>
      <c r="H50" s="2136" t="s">
        <v>2133</v>
      </c>
      <c r="I50" s="2135"/>
      <c r="J50" s="3294" t="s">
        <v>1343</v>
      </c>
      <c r="K50" s="3294"/>
      <c r="L50" s="3294"/>
      <c r="M50" s="3294"/>
      <c r="N50" s="3294"/>
      <c r="O50" s="3294"/>
    </row>
    <row r="51" spans="1:35" ht="20.45" customHeight="1">
      <c r="A51" s="2339"/>
      <c r="B51" s="3343" t="s">
        <v>1344</v>
      </c>
      <c r="C51" s="3343"/>
      <c r="D51" s="1024"/>
      <c r="E51" s="319"/>
      <c r="F51" s="2233"/>
      <c r="G51" s="3328"/>
      <c r="H51" s="2136" t="s">
        <v>2134</v>
      </c>
      <c r="I51" s="2135"/>
      <c r="J51" s="2311" t="s">
        <v>1345</v>
      </c>
      <c r="K51" s="3295" t="s">
        <v>1346</v>
      </c>
      <c r="L51" s="3295"/>
      <c r="M51" s="2311" t="s">
        <v>1347</v>
      </c>
      <c r="N51" s="2311" t="s">
        <v>1348</v>
      </c>
      <c r="O51" s="2311" t="s">
        <v>1349</v>
      </c>
    </row>
    <row r="52" spans="1:35" ht="24" customHeight="1">
      <c r="A52" s="2153" t="s">
        <v>1350</v>
      </c>
      <c r="B52" s="3343" t="s">
        <v>1351</v>
      </c>
      <c r="C52" s="3343"/>
      <c r="D52" s="1024" t="e">
        <f ca="1">ROUND(D45*'数据-取费表'!B41/(1+'数据-取费表'!C42),0)</f>
        <v>#REF!</v>
      </c>
      <c r="E52" s="1256" t="s">
        <v>1352</v>
      </c>
      <c r="F52" s="2340">
        <f>'数据-取费表'!B41</f>
        <v>5.6000000000000001E-2</v>
      </c>
      <c r="G52" s="2341"/>
      <c r="H52" s="2331"/>
      <c r="I52" s="1669"/>
      <c r="J52" s="2310">
        <v>1</v>
      </c>
      <c r="K52" s="3320" t="s">
        <v>1353</v>
      </c>
      <c r="L52" s="3320"/>
      <c r="M52" s="2312" t="b">
        <f>D48</f>
        <v>0</v>
      </c>
      <c r="N52" s="2310" t="str">
        <f>E48</f>
        <v>销售额×税（费）率</v>
      </c>
      <c r="O52" s="2313">
        <f>F48</f>
        <v>5.6000000000000001E-2</v>
      </c>
    </row>
    <row r="53" spans="1:35" ht="12" customHeight="1">
      <c r="A53" s="2153" t="s">
        <v>1354</v>
      </c>
      <c r="B53" s="3344" t="s">
        <v>2289</v>
      </c>
      <c r="C53" s="3345"/>
      <c r="D53" s="1024" t="e">
        <f ca="1">ROUND(D45*'数据-取费表'!B41/(1+'数据-取费表'!C42),0)</f>
        <v>#REF!</v>
      </c>
      <c r="E53" s="1256" t="s">
        <v>1352</v>
      </c>
      <c r="F53" s="2340">
        <f>'数据-取费表'!B41</f>
        <v>5.6000000000000001E-2</v>
      </c>
      <c r="G53" s="2341"/>
      <c r="H53" s="2331"/>
      <c r="I53" s="1669"/>
      <c r="J53" s="2310">
        <v>2</v>
      </c>
      <c r="K53" s="3320" t="s">
        <v>1355</v>
      </c>
      <c r="L53" s="3320"/>
      <c r="M53" s="2312" t="e">
        <f t="shared" ref="M53:O54" ca="1" si="0">D55</f>
        <v>#REF!</v>
      </c>
      <c r="N53" s="2310" t="str">
        <f t="shared" si="0"/>
        <v>销售额×税（费）率</v>
      </c>
      <c r="O53" s="2313" t="str">
        <f t="shared" si="0"/>
        <v>免征</v>
      </c>
    </row>
    <row r="54" spans="1:35" ht="12" customHeight="1">
      <c r="A54" s="2153" t="s">
        <v>1356</v>
      </c>
      <c r="B54" s="3344" t="s">
        <v>2290</v>
      </c>
      <c r="C54" s="3345"/>
      <c r="D54" s="1024" t="e">
        <f ca="1">C68</f>
        <v>#REF!</v>
      </c>
      <c r="E54" s="319" t="s">
        <v>1357</v>
      </c>
      <c r="F54" s="2340">
        <f>'数据-取费表'!B41</f>
        <v>5.6000000000000001E-2</v>
      </c>
      <c r="G54" s="2341"/>
      <c r="H54" s="2342"/>
      <c r="I54" s="1669"/>
      <c r="J54" s="2310">
        <v>3</v>
      </c>
      <c r="K54" s="3320" t="s">
        <v>1358</v>
      </c>
      <c r="L54" s="3320"/>
      <c r="M54" s="2312" t="e">
        <f t="shared" ca="1" si="0"/>
        <v>#REF!</v>
      </c>
      <c r="N54" s="2310" t="str">
        <f t="shared" si="0"/>
        <v>增值额×税（费）率</v>
      </c>
      <c r="O54" s="2314" t="str">
        <f t="shared" si="0"/>
        <v>免征</v>
      </c>
    </row>
    <row r="55" spans="1:35" ht="24" customHeight="1">
      <c r="A55" s="3380"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t="e">
        <f ca="1">D59</f>
        <v>#REF!</v>
      </c>
      <c r="N55" s="1883" t="str">
        <f>E59</f>
        <v>差额计税</v>
      </c>
      <c r="O55" s="2316">
        <f>F59</f>
        <v>0.01</v>
      </c>
    </row>
    <row r="56" spans="1:35" ht="24.75">
      <c r="A56" s="3380"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301" t="str">
        <f>IF(项目基本情况!K6="上海银行","其他处置费用","")</f>
        <v/>
      </c>
      <c r="L56" s="3302"/>
      <c r="M56" s="2312" t="str">
        <f>IF(项目基本情况!K6="上海银行",M69,"")</f>
        <v/>
      </c>
      <c r="N56" s="3301" t="str">
        <f>IF(项目基本情况!K6="上海银行","包含处置中涉及的律师、诉讼、拍卖、评估等费用","")</f>
        <v/>
      </c>
      <c r="O56" s="3304"/>
    </row>
    <row r="57" spans="1:35" ht="12.75">
      <c r="A57" s="2153" t="s">
        <v>1339</v>
      </c>
      <c r="B57" s="3344" t="s">
        <v>1364</v>
      </c>
      <c r="C57" s="3345"/>
      <c r="D57" s="1478">
        <v>0</v>
      </c>
      <c r="E57" s="316" t="s">
        <v>1341</v>
      </c>
      <c r="F57" s="294"/>
      <c r="G57" s="2341"/>
      <c r="H57" s="2345"/>
      <c r="I57" s="1670"/>
      <c r="J57" s="3320">
        <f>IF(AND(J55="",J56=""),4,IF(项目基本情况!K6="上海银行",'结果表-仓储'!J56+1,'结果表-仓储'!J55+1))</f>
        <v>5</v>
      </c>
      <c r="K57" s="3320" t="s">
        <v>1365</v>
      </c>
      <c r="L57" s="2317" t="s">
        <v>1366</v>
      </c>
      <c r="M57" s="2318"/>
      <c r="N57" s="2319">
        <f ca="1">SUMIF(M52:M56,"&lt;9e307")</f>
        <v>0</v>
      </c>
      <c r="O57" s="2320"/>
      <c r="P57" s="2465" t="e">
        <f ca="1">N57/M49</f>
        <v>#VALUE!</v>
      </c>
    </row>
    <row r="58" spans="1:35" ht="24.75">
      <c r="A58" s="2153" t="s">
        <v>1350</v>
      </c>
      <c r="B58" s="3344" t="s">
        <v>1367</v>
      </c>
      <c r="C58" s="3343"/>
      <c r="D58" s="12" t="e">
        <f ca="1">IF(H58="转让取得",C81,C97)</f>
        <v>#REF!</v>
      </c>
      <c r="E58" s="1256" t="s">
        <v>1362</v>
      </c>
      <c r="F58" s="294" t="s">
        <v>28</v>
      </c>
      <c r="G58" s="2341"/>
      <c r="H58" s="2344"/>
      <c r="I58" s="1670"/>
      <c r="J58" s="3320"/>
      <c r="K58" s="3320"/>
      <c r="L58" s="2317" t="s">
        <v>1368</v>
      </c>
      <c r="M58" s="2321"/>
      <c r="N58" s="2322" t="str">
        <f ca="1">NUMBERSTRING(INT(N57*10000),2)&amp;"元整"</f>
        <v>零元整</v>
      </c>
      <c r="O58" s="2323"/>
    </row>
    <row r="59" spans="1:35" ht="24.75" thickBot="1">
      <c r="A59" s="3324" t="s">
        <v>1369</v>
      </c>
      <c r="B59" s="3325"/>
      <c r="C59" s="332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2">
        <f>J57+1</f>
        <v>6</v>
      </c>
      <c r="K59" s="3320" t="s">
        <v>1370</v>
      </c>
      <c r="L59" s="2310" t="s">
        <v>1366</v>
      </c>
      <c r="M59" s="2324"/>
      <c r="N59" s="2325" t="e">
        <f ca="1">M49-N57</f>
        <v>#VALUE!</v>
      </c>
      <c r="O59" s="2326"/>
    </row>
    <row r="60" spans="1:35" ht="12" customHeight="1">
      <c r="A60" s="1671"/>
      <c r="B60" s="646"/>
      <c r="C60" s="646"/>
      <c r="D60" s="646"/>
      <c r="E60" s="1466"/>
      <c r="F60" s="1670"/>
      <c r="G60" s="1670"/>
      <c r="H60" s="151"/>
      <c r="I60" s="121"/>
      <c r="J60" s="3323"/>
      <c r="K60" s="3320"/>
      <c r="L60" s="2317" t="s">
        <v>1368</v>
      </c>
      <c r="M60" s="2321"/>
      <c r="N60" s="2322" t="e">
        <f ca="1">NUMBERSTRING(INT(N59*10000),2)&amp;"元整"</f>
        <v>#VALUE!</v>
      </c>
      <c r="O60" s="2323"/>
    </row>
    <row r="61" spans="1:35" ht="13.5" thickBot="1">
      <c r="A61" s="3379" t="s">
        <v>1371</v>
      </c>
      <c r="B61" s="3379"/>
      <c r="C61" s="3379"/>
      <c r="D61" s="3379"/>
      <c r="E61" s="3379"/>
      <c r="F61" s="1670"/>
      <c r="G61" s="1670"/>
      <c r="H61" s="151"/>
      <c r="I61" s="121"/>
      <c r="J61" s="2310">
        <f>J59+1</f>
        <v>7</v>
      </c>
      <c r="K61" s="3320" t="s">
        <v>1372</v>
      </c>
      <c r="L61" s="3320"/>
      <c r="M61" s="2327"/>
      <c r="N61" s="2328" t="e">
        <f ca="1">ROUND(N59*10000/'数据-汇总表'!E3,0)</f>
        <v>#VALUE!</v>
      </c>
      <c r="O61" s="2329"/>
    </row>
    <row r="62" spans="1:35" ht="12.75">
      <c r="A62" s="3339" t="s">
        <v>1373</v>
      </c>
      <c r="B62" s="3340"/>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03"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03"/>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03"/>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03"/>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03"/>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03"/>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03"/>
      <c r="K69" s="1245" t="s">
        <v>1391</v>
      </c>
      <c r="L69" s="1245"/>
      <c r="M69" s="294" t="e">
        <f>ROUND(SUM(M63:M68),0)</f>
        <v>#VALUE!</v>
      </c>
      <c r="N69" s="2332" t="e">
        <f>M69/M49</f>
        <v>#VALUE!</v>
      </c>
      <c r="Z69" s="1623"/>
      <c r="AI69" s="1561"/>
    </row>
    <row r="70" spans="1:35" s="642" customFormat="1" ht="15" thickBot="1">
      <c r="A70" s="3347" t="s">
        <v>1392</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1373</v>
      </c>
      <c r="B71" s="334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44" t="s">
        <v>1400</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36" t="s">
        <v>1404</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1408</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1373</v>
      </c>
      <c r="B84" s="334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05" t="s">
        <v>2127</v>
      </c>
      <c r="H90" s="3306"/>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36" t="s">
        <v>1417</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36" t="s">
        <v>1420</v>
      </c>
      <c r="F92" s="3337"/>
      <c r="G92" s="3337"/>
      <c r="H92" s="3338"/>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36" t="s">
        <v>1404</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81" t="s">
        <v>1424</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6" t="s">
        <v>1426</v>
      </c>
      <c r="B100" s="3287"/>
      <c r="C100" s="3287"/>
      <c r="D100" s="3321"/>
      <c r="E100" s="3287" t="s">
        <v>1427</v>
      </c>
      <c r="F100" s="3287"/>
      <c r="G100" s="3287"/>
      <c r="H100" s="3321"/>
      <c r="I100" s="121"/>
    </row>
    <row r="101" spans="1:35" ht="18.75" customHeight="1">
      <c r="A101" s="3329" t="s">
        <v>1428</v>
      </c>
      <c r="B101" s="3330"/>
      <c r="C101" s="2371" t="str">
        <f>C4</f>
        <v>收益法 (元)-仓储</v>
      </c>
      <c r="D101" s="2372" t="str">
        <f>D4</f>
        <v>比较法-仓储</v>
      </c>
      <c r="E101" s="3299" t="s">
        <v>1429</v>
      </c>
      <c r="F101" s="3300"/>
      <c r="G101" s="1687" t="s">
        <v>1430</v>
      </c>
      <c r="H101" s="2381" t="e">
        <f ca="1">H118</f>
        <v>#REF!</v>
      </c>
      <c r="I101" s="121"/>
    </row>
    <row r="102" spans="1:35" ht="18.75" customHeight="1">
      <c r="A102" s="3331" t="s">
        <v>1431</v>
      </c>
      <c r="B102" s="2370" t="s">
        <v>1430</v>
      </c>
      <c r="C102" s="2371">
        <f ca="1">IF(D32="楼面单价",ROUND(C19,0),C19)</f>
        <v>17.5563</v>
      </c>
      <c r="D102" s="2372">
        <f ca="1">IF(D32="楼面单价",ROUND(D19,0),D19)</f>
        <v>0</v>
      </c>
      <c r="E102" s="3299"/>
      <c r="F102" s="3300"/>
      <c r="G102" s="1687" t="s">
        <v>1432</v>
      </c>
      <c r="H102" s="2341" t="e">
        <f ca="1">I118</f>
        <v>#REF!</v>
      </c>
      <c r="I102" s="121"/>
    </row>
    <row r="103" spans="1:35" ht="42.75" customHeight="1">
      <c r="A103" s="3331"/>
      <c r="B103" s="2370" t="s">
        <v>1432</v>
      </c>
      <c r="C103" s="2373">
        <f ca="1">C20</f>
        <v>2065</v>
      </c>
      <c r="D103" s="2374">
        <f ca="1">D20</f>
        <v>3273</v>
      </c>
      <c r="E103" s="3292" t="s">
        <v>1433</v>
      </c>
      <c r="F103" s="3293"/>
      <c r="G103" s="1688" t="s">
        <v>1434</v>
      </c>
      <c r="H103" s="2381">
        <f>IF(D36="正常操作",H104+H105+H106,H105+H106)</f>
        <v>0</v>
      </c>
      <c r="I103" s="121"/>
    </row>
    <row r="104" spans="1:35" ht="18.75" customHeight="1">
      <c r="A104" s="333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41"/>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2" t="str">
        <f>IF(项目基本情况!E8="已注销","——","3.房地产抵押价值")</f>
        <v>3.房地产抵押价值</v>
      </c>
      <c r="F107" s="3300"/>
      <c r="G107" s="1687" t="s">
        <v>1430</v>
      </c>
      <c r="H107" s="2381" t="e">
        <f ca="1">IF(E107="——","——",H101-H103)</f>
        <v>#REF!</v>
      </c>
      <c r="I107" s="121"/>
    </row>
    <row r="108" spans="1:35" ht="18.75" customHeight="1">
      <c r="A108" s="121"/>
      <c r="B108" s="121"/>
      <c r="C108" s="121"/>
      <c r="D108" s="121"/>
      <c r="E108" s="3332"/>
      <c r="F108" s="3300"/>
      <c r="G108" s="1687" t="s">
        <v>1432</v>
      </c>
      <c r="H108" s="2341">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1430</v>
      </c>
      <c r="H109" s="2384" t="str">
        <f>IF(E109="——","——",H101-H105-H106)</f>
        <v>——</v>
      </c>
      <c r="I109" s="121"/>
    </row>
    <row r="110" spans="1:35" ht="18.75" customHeight="1">
      <c r="A110" s="121"/>
      <c r="B110" s="121"/>
      <c r="C110" s="121"/>
      <c r="D110" s="121"/>
      <c r="E110" s="3332"/>
      <c r="F110" s="3300"/>
      <c r="G110" s="1687" t="s">
        <v>1432</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1430</v>
      </c>
      <c r="H111" s="2381" t="str">
        <f>IF(E111="——","——",N59)</f>
        <v>——</v>
      </c>
      <c r="I111" s="121"/>
    </row>
    <row r="112" spans="1:35" ht="18.75" customHeight="1" thickBot="1">
      <c r="A112" s="121"/>
      <c r="B112" s="121"/>
      <c r="C112" s="121"/>
      <c r="D112" s="121"/>
      <c r="E112" s="3334"/>
      <c r="F112" s="3335"/>
      <c r="G112" s="1690" t="s">
        <v>1432</v>
      </c>
      <c r="H112" s="2385" t="str">
        <f>IF(E111="——","——",N61)</f>
        <v>——</v>
      </c>
      <c r="I112" s="121"/>
    </row>
    <row r="113" spans="1:27" ht="18.75" customHeight="1">
      <c r="A113" s="121"/>
      <c r="B113" s="121"/>
      <c r="C113" s="121"/>
      <c r="D113" s="121"/>
      <c r="E113" s="3342" t="s">
        <v>1438</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1440</v>
      </c>
      <c r="B115" s="3351"/>
      <c r="C115" s="3351"/>
      <c r="D115" s="3351"/>
      <c r="E115" s="3351"/>
      <c r="F115" s="3351"/>
      <c r="G115" s="3351"/>
      <c r="H115" s="3351"/>
      <c r="I115" s="3352"/>
    </row>
    <row r="116" spans="1:27" ht="27" customHeight="1">
      <c r="A116" s="3307" t="s">
        <v>1441</v>
      </c>
      <c r="B116" s="3311" t="s">
        <v>1442</v>
      </c>
      <c r="C116" s="3311" t="s">
        <v>1443</v>
      </c>
      <c r="D116" s="3317" t="s">
        <v>1444</v>
      </c>
      <c r="E116" s="3318"/>
      <c r="F116" s="3349" t="s">
        <v>1445</v>
      </c>
      <c r="G116" s="3349"/>
      <c r="H116" s="3307" t="s">
        <v>1446</v>
      </c>
      <c r="I116" s="3307"/>
    </row>
    <row r="117" spans="1:27" ht="18.75" customHeight="1">
      <c r="A117" s="3307"/>
      <c r="B117" s="3312"/>
      <c r="C117" s="331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7" t="s">
        <v>1450</v>
      </c>
      <c r="B119" s="3307"/>
      <c r="C119" s="3307"/>
      <c r="D119" s="3313" t="e">
        <f ca="1">NUMBERSTRING(INT(D118*10000),2)&amp;"元整"</f>
        <v>#REF!</v>
      </c>
      <c r="E119" s="3314"/>
      <c r="F119" s="3313" t="e">
        <f ca="1">NUMBERSTRING(INT(F118*10000),2)&amp;"元整"</f>
        <v>#REF!</v>
      </c>
      <c r="G119" s="3314"/>
      <c r="H119" s="3313" t="e">
        <f ca="1">NUMBERSTRING(INT(H118*10000),2)&amp;"元整"</f>
        <v>#REF!</v>
      </c>
      <c r="I119" s="3314"/>
    </row>
    <row r="120" spans="1:27" ht="18.75" customHeight="1">
      <c r="A120" s="3308" t="str">
        <f>IF(项目基本情况!B9="房地产市场价值","",MID(E103,3,LEN(E103)-2))</f>
        <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3" t="s">
        <v>1450</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
      </c>
      <c r="B122" s="3319"/>
      <c r="C122" s="3319"/>
      <c r="D122" s="3308" t="e">
        <f ca="1">H107</f>
        <v>#REF!</v>
      </c>
      <c r="E122" s="3309"/>
      <c r="F122" s="3309"/>
      <c r="G122" s="3309"/>
      <c r="H122" s="3309"/>
      <c r="I122" s="3310"/>
      <c r="AA122" s="684"/>
    </row>
    <row r="123" spans="1:27" ht="18.75" customHeight="1">
      <c r="A123" s="3307" t="s">
        <v>1450</v>
      </c>
      <c r="B123" s="3307"/>
      <c r="C123" s="3307"/>
      <c r="D123" s="3313" t="e">
        <f ca="1">NUMBERSTRING(INT(D122*10000),2)&amp;"元整"</f>
        <v>#REF!</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1450</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1450</v>
      </c>
      <c r="B127" s="3307"/>
      <c r="C127" s="3307"/>
      <c r="D127" s="3313" t="e">
        <f>NUMBERSTRING(INT(D126*10000),2)&amp;"元整"</f>
        <v>#VALUE!</v>
      </c>
      <c r="E127" s="3315"/>
      <c r="F127" s="3315"/>
      <c r="G127" s="3315"/>
      <c r="H127" s="3315"/>
      <c r="I127" s="3314"/>
      <c r="AA127" s="684"/>
    </row>
    <row r="128" spans="1:27" ht="21.75" customHeight="1">
      <c r="A128" s="3316" t="s">
        <v>1451</v>
      </c>
      <c r="B128" s="3316"/>
      <c r="C128" s="3316"/>
      <c r="D128" s="3316"/>
      <c r="E128" s="3316"/>
      <c r="F128" s="3316"/>
      <c r="G128" s="3316"/>
      <c r="H128" s="3316"/>
      <c r="I128" s="331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FA82C4AC-E823-4B95-B973-7A65AD1E0EB0}">
      <formula1>"0,5%,10%"</formula1>
    </dataValidation>
    <dataValidation type="list" allowBlank="1" showInputMessage="1" showErrorMessage="1" sqref="H59" xr:uid="{193FB347-A1F2-4251-9CC5-1345473374D8}">
      <formula1>"非个人房产,个人住宅（满五唯一有凭证）,个人其他（有凭证）,个人其他（无凭证）"</formula1>
    </dataValidation>
    <dataValidation type="list" allowBlank="1" showInputMessage="1" showErrorMessage="1" sqref="E103" xr:uid="{DFCB7403-6CBA-4B37-ACBB-AE676B27661D}">
      <formula1>"2.估价师知悉的法定优先受偿款,2.估价师知悉的除抵押担保权以外的法定优先受偿款"</formula1>
    </dataValidation>
    <dataValidation type="list" allowBlank="1" showInputMessage="1" showErrorMessage="1" sqref="G77" xr:uid="{C456EF99-6D32-42A3-8BD8-8BAAD9B401E6}">
      <formula1>"个人住宅,2016年5月1日前购买,2016年5月1日后购买"</formula1>
    </dataValidation>
    <dataValidation type="list" allowBlank="1" showInputMessage="1" showErrorMessage="1" sqref="C1" xr:uid="{10F09AC6-0B64-4161-9918-6128CB49B808}">
      <formula1>项目类型</formula1>
    </dataValidation>
    <dataValidation type="list" allowBlank="1" showInputMessage="1" showErrorMessage="1" sqref="I1" xr:uid="{C1052931-F88F-4EA0-90FD-B51E51DD6864}">
      <formula1>"项目局部,项目全部,——"</formula1>
    </dataValidation>
    <dataValidation type="list" showInputMessage="1" showErrorMessage="1" sqref="G1" xr:uid="{B7E923F4-4F56-49AD-9486-9C17B709B6BA}">
      <formula1>"现房,在建,土地,-"</formula1>
    </dataValidation>
    <dataValidation type="list" allowBlank="1" showInputMessage="1" showErrorMessage="1" sqref="C129" xr:uid="{51D51551-F1FE-4A66-8E90-DB02F0908CCE}">
      <formula1>"无,有"</formula1>
    </dataValidation>
    <dataValidation type="list" allowBlank="1" showInputMessage="1" showErrorMessage="1" sqref="F116:G116" xr:uid="{9261E76E-F3A7-449D-B948-70EADC479926}">
      <formula1>"建筑物价值,在建建筑物价值,建筑物/在建建筑物价值"</formula1>
    </dataValidation>
    <dataValidation type="list" allowBlank="1" showInputMessage="1" showErrorMessage="1" sqref="D116:E116" xr:uid="{D05693AF-85E5-417E-BC07-A2CCF1A7A36A}">
      <formula1>"出让国有建设用地使用权价值,划拨国有建设用地使用权价值"</formula1>
    </dataValidation>
    <dataValidation type="list" allowBlank="1" showInputMessage="1" showErrorMessage="1" sqref="C116:C117" xr:uid="{CE1B82BC-E8D5-4E46-AEBD-BF2DD8B58D17}">
      <formula1>"土地面积,分摊土地面积,（分摊）土地面积"</formula1>
    </dataValidation>
    <dataValidation type="list" allowBlank="1" showInputMessage="1" showErrorMessage="1" sqref="B116:B117" xr:uid="{B28E4485-46C3-4A25-82F5-99B159969810}">
      <formula1>"建筑面积,规划建筑面积,（规划）建筑面积"</formula1>
    </dataValidation>
    <dataValidation type="list" allowBlank="1" showInputMessage="1" showErrorMessage="1" sqref="D36" xr:uid="{976AB407-2149-45F8-A40F-856232B5C82E}">
      <formula1>"同一抵押权人同一抵押物续贷,注销后放款,正常操作"</formula1>
    </dataValidation>
    <dataValidation type="list" allowBlank="1" showInputMessage="1" showErrorMessage="1" sqref="F75" xr:uid="{80E904AD-4BB6-40C8-B062-8A87E5B84708}">
      <formula1>"买卖合同,购房发票"</formula1>
    </dataValidation>
    <dataValidation type="list" allowBlank="1" showInputMessage="1" showErrorMessage="1" sqref="H88" xr:uid="{0D44BD91-F4AC-45DC-9B7D-6D2FCD553117}">
      <formula1>"仅含出让金,出让金+开发费"</formula1>
    </dataValidation>
    <dataValidation type="list" allowBlank="1" showInputMessage="1" showErrorMessage="1" sqref="H91" xr:uid="{21119AE9-6FE6-4718-9EDC-BA06BDDC570F}">
      <formula1>"企业提供（在右侧录入）,——"</formula1>
    </dataValidation>
    <dataValidation type="list" allowBlank="1" showInputMessage="1" showErrorMessage="1" sqref="C33" xr:uid="{D3C8DDCB-CF08-474A-BC28-24820F560EB8}">
      <formula1>"成本比率,收益比率,自定义"</formula1>
    </dataValidation>
    <dataValidation type="list" allowBlank="1" showInputMessage="1" showErrorMessage="1" sqref="F45" xr:uid="{F2C550BC-D264-4904-9E26-26A6636DB8EC}">
      <formula1>"100%,70%,56%"</formula1>
    </dataValidation>
    <dataValidation type="list" allowBlank="1" showInputMessage="1" showErrorMessage="1" sqref="D32" xr:uid="{F03804AF-2D5A-4493-AAEE-071C2A1C4B3A}">
      <formula1>"总价,楼面单价"</formula1>
    </dataValidation>
    <dataValidation type="list" allowBlank="1" showInputMessage="1" showErrorMessage="1" sqref="H58" xr:uid="{95A2F47C-E866-4800-8ABC-14C69C3D6FDD}">
      <formula1>"转让取得,自行开发建设"</formula1>
    </dataValidation>
    <dataValidation type="list" allowBlank="1" showInputMessage="1" showErrorMessage="1" sqref="H48" xr:uid="{E4AF9748-9C30-45C5-9A4E-D5C1620EAFAF}">
      <formula1>"情况1,情况2,情况3,情况4"</formula1>
    </dataValidation>
    <dataValidation type="list" allowBlank="1" showInputMessage="1" showErrorMessage="1" sqref="H55:H56" xr:uid="{68B97F54-8299-458C-90F0-F10F5E7F49F2}">
      <formula1>"个人住宅,正常"</formula1>
    </dataValidation>
    <dataValidation type="list" allowBlank="1" showInputMessage="1" showErrorMessage="1" sqref="C4:D4 D33" xr:uid="{9A178212-7F07-4410-82AA-53F6382E269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BD21-5EFD-4656-BF33-CCB9AB979D77}">
  <sheetPr>
    <tabColor rgb="FF92D050"/>
  </sheetPr>
  <dimension ref="A1:AK83"/>
  <sheetViews>
    <sheetView view="pageBreakPreview" zoomScale="115" zoomScaleNormal="70" zoomScaleSheetLayoutView="115" workbookViewId="0">
      <selection activeCell="H59" sqref="H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3330</v>
      </c>
      <c r="D1" s="1271" t="s">
        <v>43</v>
      </c>
      <c r="E1" s="1272" t="s">
        <v>677</v>
      </c>
      <c r="F1" s="999">
        <f ca="1">J53</f>
        <v>35.51</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17.5563</v>
      </c>
      <c r="C2" s="1289" t="s">
        <v>804</v>
      </c>
      <c r="D2" s="1375">
        <f ca="1">C40+J29+L46</f>
        <v>175563</v>
      </c>
      <c r="E2" s="1295" t="s">
        <v>879</v>
      </c>
      <c r="F2" s="1296"/>
      <c r="G2" s="2479"/>
      <c r="H2" s="2469"/>
      <c r="I2" s="2469"/>
      <c r="J2" s="2469"/>
      <c r="K2" s="2470"/>
      <c r="L2" s="2469"/>
      <c r="M2" s="2469"/>
    </row>
    <row r="3" spans="1:37" ht="18" customHeight="1" thickBot="1">
      <c r="A3" s="1297" t="s">
        <v>805</v>
      </c>
      <c r="B3" s="1298">
        <f ca="1">IF(ISERROR(D2/F43),0,ROUND(D2/F43,0))</f>
        <v>2065</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12426</v>
      </c>
      <c r="D5" s="1273" t="s">
        <v>692</v>
      </c>
      <c r="E5" s="1008"/>
      <c r="F5" s="1009"/>
      <c r="G5" s="1292"/>
      <c r="H5" s="291">
        <v>1</v>
      </c>
      <c r="I5" s="292" t="s">
        <v>691</v>
      </c>
      <c r="J5" s="1007">
        <f ca="1">J6+J10+J12</f>
        <v>0</v>
      </c>
      <c r="K5" s="1273" t="s">
        <v>692</v>
      </c>
      <c r="L5" s="1008"/>
      <c r="M5" s="1009"/>
    </row>
    <row r="6" spans="1:37" ht="18" customHeight="1">
      <c r="A6" s="1006" t="s">
        <v>398</v>
      </c>
      <c r="B6" s="3391" t="s">
        <v>693</v>
      </c>
      <c r="C6" s="1011">
        <f ca="1">ROUND(F6*F8*F7*(1-F9),0)</f>
        <v>12410</v>
      </c>
      <c r="D6" s="147" t="s">
        <v>2104</v>
      </c>
      <c r="E6" s="294" t="s">
        <v>695</v>
      </c>
      <c r="F6" s="295">
        <f ca="1">INDIRECT("'数据-取费表'!u"&amp;$G$1)</f>
        <v>0.5</v>
      </c>
      <c r="G6" s="1292"/>
      <c r="H6" s="1006" t="s">
        <v>398</v>
      </c>
      <c r="I6" s="3391" t="s">
        <v>693</v>
      </c>
      <c r="J6" s="293">
        <f ca="1">ROUND(M6*M8*M7*(1-M9),0)</f>
        <v>0</v>
      </c>
      <c r="K6" s="1284" t="s">
        <v>2105</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85</v>
      </c>
      <c r="G7" s="1292"/>
      <c r="H7" s="296"/>
      <c r="I7" s="3392"/>
      <c r="J7" s="298"/>
      <c r="K7" s="299"/>
      <c r="L7" s="294" t="s">
        <v>696</v>
      </c>
      <c r="M7" s="295">
        <f ca="1">F7</f>
        <v>85</v>
      </c>
    </row>
    <row r="8" spans="1:37" ht="18" customHeight="1">
      <c r="A8" s="296"/>
      <c r="B8" s="3392"/>
      <c r="C8" s="298"/>
      <c r="D8" s="299"/>
      <c r="E8" s="294" t="s">
        <v>697</v>
      </c>
      <c r="F8" s="295">
        <f ca="1">INDIRECT("'数据-取费表'!ai"&amp;$G$1)</f>
        <v>365</v>
      </c>
      <c r="G8" s="1292"/>
      <c r="H8" s="296"/>
      <c r="I8" s="3392"/>
      <c r="J8" s="298"/>
      <c r="K8" s="299"/>
      <c r="L8" s="294" t="s">
        <v>697</v>
      </c>
      <c r="M8" s="295">
        <f ca="1">INDIRECT("'数据-取费表'!ai"&amp;$G$1)</f>
        <v>365</v>
      </c>
    </row>
    <row r="9" spans="1:37" ht="18" customHeight="1">
      <c r="A9" s="296"/>
      <c r="B9" s="3393"/>
      <c r="C9" s="298"/>
      <c r="D9" s="299"/>
      <c r="E9" s="294" t="s">
        <v>698</v>
      </c>
      <c r="F9" s="304">
        <f ca="1">INDIRECT("'数据-取费表'!w"&amp;$G$1)</f>
        <v>0.2</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16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390599</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340000</v>
      </c>
      <c r="D14" s="1257" t="s">
        <v>707</v>
      </c>
      <c r="E14" s="1255"/>
      <c r="F14" s="311"/>
      <c r="G14" s="1292"/>
      <c r="H14" s="928" t="s">
        <v>398</v>
      </c>
      <c r="I14" s="294" t="s">
        <v>708</v>
      </c>
      <c r="J14" s="21">
        <f ca="1">C29</f>
        <v>459528</v>
      </c>
      <c r="K14" s="12"/>
      <c r="L14" s="759"/>
      <c r="M14" s="760"/>
    </row>
    <row r="15" spans="1:37" s="1304" customFormat="1" ht="18" customHeight="1" thickBot="1">
      <c r="A15" s="928" t="s">
        <v>399</v>
      </c>
      <c r="B15" s="294" t="s">
        <v>709</v>
      </c>
      <c r="C15" s="21">
        <f ca="1">ROUND(C14*F15,0)</f>
        <v>17000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919</v>
      </c>
      <c r="K16" s="1024" t="s">
        <v>714</v>
      </c>
      <c r="L16" s="1025"/>
      <c r="M16" s="1009"/>
    </row>
    <row r="17" spans="1:37" s="1304" customFormat="1" ht="18" customHeight="1">
      <c r="A17" s="928" t="s">
        <v>680</v>
      </c>
      <c r="B17" s="294" t="s">
        <v>715</v>
      </c>
      <c r="C17" s="21">
        <f ca="1">ROUND(F17*(F43+INDIRECT("'数据-取费表'!S"&amp;$G$1)),0)</f>
        <v>20910</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6800</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384710</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3847</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919</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12161</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-919</v>
      </c>
      <c r="K25" s="1032" t="s">
        <v>752</v>
      </c>
      <c r="L25" s="1033"/>
      <c r="M25" s="1034"/>
    </row>
    <row r="26" spans="1:37" ht="18" customHeight="1">
      <c r="A26" s="928" t="s">
        <v>397</v>
      </c>
      <c r="B26" s="294" t="s">
        <v>753</v>
      </c>
      <c r="C26" s="21">
        <f ca="1">ROUND((C19+C20)*F26,0)</f>
        <v>19428</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459528</v>
      </c>
      <c r="D29" s="1029"/>
      <c r="E29" s="1027"/>
      <c r="F29" s="1030"/>
      <c r="G29" s="1303"/>
      <c r="H29" s="325" t="s">
        <v>396</v>
      </c>
      <c r="I29" s="326" t="s">
        <v>767</v>
      </c>
      <c r="J29" s="327">
        <f ca="1">ROUND(J26/(1+F40)^F41,0)</f>
        <v>0</v>
      </c>
      <c r="K29" s="328" t="s">
        <v>768</v>
      </c>
      <c r="L29" s="329"/>
      <c r="M29" s="330">
        <f ca="1">INDIRECT("'数据-取费表'!k"&amp;$G$1)</f>
        <v>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3514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2080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662</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1418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919</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391</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124</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8912</v>
      </c>
      <c r="D39" s="1032" t="s">
        <v>752</v>
      </c>
      <c r="E39" s="1033"/>
      <c r="F39" s="1034"/>
      <c r="G39" s="1292"/>
      <c r="H39" s="2474"/>
      <c r="I39" s="1305"/>
      <c r="J39" s="1306"/>
      <c r="K39" s="2472"/>
      <c r="L39" s="2474"/>
      <c r="M39" s="2474"/>
    </row>
    <row r="40" spans="1:18" ht="18" customHeight="1">
      <c r="A40" s="291" t="s">
        <v>395</v>
      </c>
      <c r="B40" s="292" t="s">
        <v>773</v>
      </c>
      <c r="C40" s="293">
        <f ca="1">ROUND(C39*(1-((1+F42)/(1+F40))^F41)/(F40-F42),0)</f>
        <v>155921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0.01</v>
      </c>
      <c r="G42" s="1292"/>
      <c r="H42" s="121"/>
      <c r="I42" s="1305"/>
      <c r="J42" s="1306"/>
      <c r="K42" s="2331"/>
      <c r="L42" s="121"/>
      <c r="M42" s="121"/>
    </row>
    <row r="43" spans="1:18" ht="18" customHeight="1" thickBot="1">
      <c r="A43" s="325" t="s">
        <v>396</v>
      </c>
      <c r="B43" s="326" t="s">
        <v>775</v>
      </c>
      <c r="C43" s="327">
        <f ca="1">ROUND(C40/F43,0)</f>
        <v>1834</v>
      </c>
      <c r="D43" s="328" t="s">
        <v>776</v>
      </c>
      <c r="E43" s="329" t="s">
        <v>777</v>
      </c>
      <c r="F43" s="330">
        <f ca="1">INDIRECT("'数据-取费表'!k"&amp;$G$1)</f>
        <v>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-17.618099999999998</v>
      </c>
      <c r="D45" s="3131" t="s">
        <v>3349</v>
      </c>
      <c r="E45" s="1307"/>
      <c r="F45" s="1307"/>
      <c r="O45" s="1310" t="s">
        <v>807</v>
      </c>
      <c r="P45" s="1366"/>
      <c r="Q45" s="1366"/>
      <c r="R45" s="1366"/>
    </row>
    <row r="46" spans="1:18" s="1292" customFormat="1" ht="13.5" thickBot="1">
      <c r="A46" s="1311" t="s">
        <v>808</v>
      </c>
      <c r="C46" s="1312">
        <f ca="1">ROUND(C45,0)</f>
        <v>-18</v>
      </c>
      <c r="D46" s="1313" t="str">
        <f>C2</f>
        <v>万元</v>
      </c>
      <c r="I46" s="1314" t="s">
        <v>809</v>
      </c>
      <c r="J46" s="1315"/>
      <c r="K46" s="1316"/>
      <c r="L46" s="1317">
        <f ca="1">IF(M47="住宅",0,IF(L48&gt;J51,L60,J60))</f>
        <v>19642</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155921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19642</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459528</v>
      </c>
      <c r="R49" s="1327" t="s">
        <v>817</v>
      </c>
    </row>
    <row r="50" spans="1:18" s="1292" customFormat="1" ht="13.5" thickBot="1">
      <c r="A50" s="922"/>
      <c r="B50" s="925"/>
      <c r="C50" s="926"/>
      <c r="D50" s="899"/>
      <c r="E50" s="993" t="s">
        <v>696</v>
      </c>
      <c r="F50" s="994">
        <f ca="1">F7</f>
        <v>85</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-265148</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389" t="s">
        <v>836</v>
      </c>
      <c r="L53" s="3390"/>
      <c r="O53" s="1325" t="s">
        <v>409</v>
      </c>
      <c r="P53" s="1326" t="s">
        <v>837</v>
      </c>
      <c r="Q53" s="1327">
        <f ca="1">Q47+Q48</f>
        <v>175563</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390599</v>
      </c>
      <c r="D56" s="1352"/>
      <c r="E56" s="1353"/>
      <c r="F56" s="1345"/>
      <c r="I56" s="1354" t="s">
        <v>841</v>
      </c>
      <c r="J56" s="1355" t="s">
        <v>4789</v>
      </c>
      <c r="K56" s="1328" t="s">
        <v>842</v>
      </c>
      <c r="L56" s="1331" t="str">
        <f ca="1">IF(L48&lt;J51,"——",L48-J51)</f>
        <v>——</v>
      </c>
      <c r="O56" s="1325" t="s">
        <v>403</v>
      </c>
      <c r="P56" s="1326" t="s">
        <v>816</v>
      </c>
      <c r="Q56" s="1327">
        <f ca="1">C40+J29</f>
        <v>155921</v>
      </c>
      <c r="R56" s="1327" t="s">
        <v>817</v>
      </c>
    </row>
    <row r="57" spans="1:18" s="1292" customFormat="1" ht="24.75" thickBot="1">
      <c r="A57" s="1356"/>
      <c r="B57" s="896" t="s">
        <v>766</v>
      </c>
      <c r="C57" s="230">
        <f ca="1">C29</f>
        <v>459528</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1310</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183811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19642</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155921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919</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391</v>
      </c>
      <c r="D65" s="910" t="s">
        <v>742</v>
      </c>
      <c r="E65" s="896" t="s">
        <v>711</v>
      </c>
      <c r="F65" s="321">
        <f t="shared" ca="1" si="0"/>
        <v>1E-3</v>
      </c>
      <c r="I65" s="1367" t="s">
        <v>866</v>
      </c>
      <c r="J65" s="610">
        <v>40</v>
      </c>
      <c r="K65" s="610">
        <v>30</v>
      </c>
      <c r="L65" s="610">
        <v>50</v>
      </c>
      <c r="M65" s="1369">
        <v>0.02</v>
      </c>
      <c r="O65" s="1325" t="s">
        <v>403</v>
      </c>
      <c r="P65" s="1326" t="s">
        <v>816</v>
      </c>
      <c r="Q65" s="1327">
        <f ca="1">C40+J29</f>
        <v>155921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-1310</v>
      </c>
      <c r="D67" s="909" t="s">
        <v>752</v>
      </c>
      <c r="E67" s="914"/>
      <c r="F67" s="915"/>
      <c r="O67" s="1334" t="s">
        <v>405</v>
      </c>
      <c r="P67" s="1326" t="s">
        <v>849</v>
      </c>
      <c r="Q67" s="1370">
        <f ca="1">L51</f>
        <v>-265148</v>
      </c>
      <c r="R67" s="1327" t="s">
        <v>869</v>
      </c>
    </row>
    <row r="68" spans="1:18" s="1292" customFormat="1" ht="16.5" thickBot="1">
      <c r="A68" s="893" t="s">
        <v>395</v>
      </c>
      <c r="B68" s="894" t="s">
        <v>773</v>
      </c>
      <c r="C68" s="293">
        <f ca="1">ROUND(C67*(1-((1+F70)/(1+F68))^F69)/(F68-F70),0)</f>
        <v>-20260</v>
      </c>
      <c r="D68" s="911" t="s">
        <v>757</v>
      </c>
      <c r="E68" s="896" t="s">
        <v>758</v>
      </c>
      <c r="F68" s="304">
        <f ca="1">F40</f>
        <v>5.5E-2</v>
      </c>
      <c r="O68" s="1334" t="s">
        <v>406</v>
      </c>
      <c r="P68" s="1371" t="s">
        <v>870</v>
      </c>
      <c r="Q68" s="1327">
        <f ca="1">ROUND(Q69-Q70*Q71,0)</f>
        <v>-14524</v>
      </c>
      <c r="R68" s="1327" t="s">
        <v>414</v>
      </c>
    </row>
    <row r="69" spans="1:18" s="1292" customFormat="1" ht="13.5" thickBot="1">
      <c r="A69" s="897"/>
      <c r="B69" s="898"/>
      <c r="C69" s="298"/>
      <c r="D69" s="916" t="s">
        <v>761</v>
      </c>
      <c r="E69" s="896" t="s">
        <v>762</v>
      </c>
      <c r="F69" s="324">
        <f ca="1">F41</f>
        <v>35.51</v>
      </c>
      <c r="O69" s="1334" t="s">
        <v>411</v>
      </c>
      <c r="P69" s="1371" t="s">
        <v>871</v>
      </c>
      <c r="Q69" s="1327">
        <f ca="1">C39</f>
        <v>8912</v>
      </c>
      <c r="R69" s="1327" t="s">
        <v>817</v>
      </c>
    </row>
    <row r="70" spans="1:18" s="1292" customFormat="1" ht="13.5" thickBot="1">
      <c r="A70" s="900"/>
      <c r="B70" s="901"/>
      <c r="C70" s="302"/>
      <c r="D70" s="912"/>
      <c r="E70" s="896" t="s">
        <v>765</v>
      </c>
      <c r="F70" s="991"/>
      <c r="O70" s="1334" t="s">
        <v>412</v>
      </c>
      <c r="P70" s="1371" t="s">
        <v>872</v>
      </c>
      <c r="Q70" s="1327">
        <f ca="1">C13</f>
        <v>390599</v>
      </c>
      <c r="R70" s="1327" t="s">
        <v>817</v>
      </c>
    </row>
    <row r="71" spans="1:18" s="1292" customFormat="1" ht="13.5" thickBot="1">
      <c r="A71" s="917" t="s">
        <v>396</v>
      </c>
      <c r="B71" s="918" t="s">
        <v>775</v>
      </c>
      <c r="C71" s="327">
        <f ca="1">ROUND(C68/F71,0)</f>
        <v>-238</v>
      </c>
      <c r="D71" s="919" t="s">
        <v>776</v>
      </c>
      <c r="E71" s="920" t="s">
        <v>777</v>
      </c>
      <c r="F71" s="330">
        <f ca="1">F43</f>
        <v>85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23436</v>
      </c>
      <c r="D75" s="1292"/>
      <c r="E75" s="1292"/>
      <c r="F75" s="1292"/>
      <c r="K75" s="1309"/>
      <c r="L75" s="1292"/>
      <c r="O75" s="1325" t="s">
        <v>409</v>
      </c>
      <c r="P75" s="1326" t="s">
        <v>837</v>
      </c>
      <c r="Q75" s="1327">
        <f ca="1">Q65+Q66</f>
        <v>155921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-1.63</v>
      </c>
    </row>
    <row r="80" spans="1:18">
      <c r="B80" s="331" t="s">
        <v>799</v>
      </c>
      <c r="C80" s="266">
        <f ca="1">ROUND(C75/C39,3)</f>
        <v>2.63</v>
      </c>
    </row>
    <row r="81" spans="2:3">
      <c r="B81" s="262" t="s">
        <v>800</v>
      </c>
      <c r="C81" s="230"/>
    </row>
    <row r="82" spans="2:3">
      <c r="B82" s="265" t="s">
        <v>801</v>
      </c>
      <c r="C82" s="267">
        <f ca="1">1-C83</f>
        <v>-1.5049999999999999</v>
      </c>
    </row>
    <row r="83" spans="2:3">
      <c r="B83" s="265" t="s">
        <v>802</v>
      </c>
      <c r="C83" s="266">
        <f ca="1">ROUND(C13/C40,3)</f>
        <v>2.5049999999999999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3D7BDD9C-1894-48F2-829C-BDC6EF5EF772}">
      <formula1>"在建（套用方法）,土地（套用方法）,——"</formula1>
    </dataValidation>
    <dataValidation type="list" allowBlank="1" showInputMessage="1" showErrorMessage="1" sqref="F10 F53 M10" xr:uid="{2F66B351-7E6B-4D0F-9594-3AFB82AB19D0}">
      <formula1>"押一,押二,押三,自定义"</formula1>
    </dataValidation>
    <dataValidation type="list" allowBlank="1" showInputMessage="1" showErrorMessage="1" sqref="K19" xr:uid="{5EE4F57A-352F-4699-B754-AE8A15648E99}">
      <formula1>"按租金收入计税,按房产原值计税"</formula1>
    </dataValidation>
    <dataValidation type="list" allowBlank="1" showInputMessage="1" showErrorMessage="1" sqref="D33 D61" xr:uid="{F0127B76-7730-45AF-B2AA-4619B78AB378}">
      <formula1>"按租金收入计税,按房产原值计税,按票据"</formula1>
    </dataValidation>
    <dataValidation type="list" allowBlank="1" showInputMessage="1" showErrorMessage="1" sqref="C1" xr:uid="{7AE914EE-E160-4CC0-8143-03DE799412E4}">
      <formula1>项目类型</formula1>
    </dataValidation>
    <dataValidation type="list" allowBlank="1" showInputMessage="1" showErrorMessage="1" sqref="J47" xr:uid="{EEF77CEE-3E3A-4BB1-B078-57D51E5D6501}">
      <formula1>"钢,钢混,砖混"</formula1>
    </dataValidation>
    <dataValidation type="list" allowBlank="1" showInputMessage="1" showErrorMessage="1" sqref="J48" xr:uid="{04FEA411-791B-4C16-AA88-7453CC4E80F8}">
      <formula1>"非生产用房,生产用房,受腐蚀的生产用房"</formula1>
    </dataValidation>
    <dataValidation type="list" allowBlank="1" showInputMessage="1" showErrorMessage="1" sqref="J56" xr:uid="{D995469C-2447-4D5D-B6C6-D707D9D25A54}">
      <formula1>估价范围判定</formula1>
    </dataValidation>
    <dataValidation type="list" allowBlank="1" showInputMessage="1" showErrorMessage="1" sqref="L55" xr:uid="{448051D9-C4FF-4537-A4CB-9CB80A8B1F0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Normal="70" zoomScaleSheetLayoutView="100" workbookViewId="0">
      <selection activeCell="I35" sqref="I3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3330</v>
      </c>
      <c r="C1" s="1141" t="s">
        <v>1660</v>
      </c>
      <c r="D1" s="1142" t="s">
        <v>3330</v>
      </c>
      <c r="E1" s="3132"/>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IF(C2="——",C37,ROUND(B2*10000/D3,0))</f>
        <v>3273</v>
      </c>
      <c r="C3" s="344" t="s">
        <v>1766</v>
      </c>
      <c r="D3" s="343">
        <f>SUMIF('数据-汇总表'!$C19:$C33,D1,'数据-汇总表'!$E19:$E33)</f>
        <v>85</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tr">
        <f>市场售价案例!C43</f>
        <v>泉星小区仓储</v>
      </c>
      <c r="F5" s="3425"/>
      <c r="G5" s="3426" t="str">
        <f>市场售价案例!P15</f>
        <v>博翠明湖仓储</v>
      </c>
      <c r="H5" s="3427"/>
      <c r="I5" s="3426" t="str">
        <f>市场售价案例!P34</f>
        <v>世茂天城仓储</v>
      </c>
      <c r="J5" s="3427"/>
      <c r="K5" s="537"/>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t="str">
        <f>市场售价案例!D46</f>
        <v>2024-03</v>
      </c>
      <c r="F7" s="357">
        <f>SUMIF(46:46,YEAR(E7)&amp;"-"&amp;MONTH(E7),47:47)</f>
        <v>100</v>
      </c>
      <c r="G7" s="1822" t="str">
        <f>市场售价案例!Q17</f>
        <v>2025-01</v>
      </c>
      <c r="H7" s="355">
        <f>SUMIF(46:46,YEAR(G7)&amp;"-"&amp;MONTH(G7),47:47)</f>
        <v>100</v>
      </c>
      <c r="I7" s="356" t="str">
        <f>市场售价案例!Q36</f>
        <v>2024-04</v>
      </c>
      <c r="J7" s="355">
        <f>SUMIF(46:46,YEAR(I7)&amp;"-"&amp;MONTH(I7),47:47)</f>
        <v>100</v>
      </c>
      <c r="K7" s="38"/>
      <c r="L7" s="2489"/>
      <c r="M7" s="2440"/>
      <c r="N7" s="2440"/>
      <c r="O7" s="2440"/>
      <c r="P7" s="3418" t="s">
        <v>1678</v>
      </c>
      <c r="Q7" s="3446"/>
      <c r="R7" s="664" t="s">
        <v>14</v>
      </c>
      <c r="S7" s="665">
        <f t="shared" ref="S7:S14" si="0">F7</f>
        <v>100</v>
      </c>
      <c r="T7" s="664" t="s">
        <v>14</v>
      </c>
      <c r="U7" s="665">
        <f t="shared" ref="U7:U14" si="1">H7</f>
        <v>100</v>
      </c>
      <c r="V7" s="664" t="s">
        <v>14</v>
      </c>
      <c r="W7" s="665">
        <f t="shared" ref="W7:W14" si="2">J7</f>
        <v>100</v>
      </c>
      <c r="X7" s="666"/>
      <c r="Y7" s="3418" t="s">
        <v>1678</v>
      </c>
      <c r="Z7" s="3419"/>
      <c r="AA7" s="50">
        <f>D7/F7</f>
        <v>1</v>
      </c>
      <c r="AB7" s="50">
        <f>D7/H7</f>
        <v>1</v>
      </c>
      <c r="AC7" s="50">
        <f>D7/J7</f>
        <v>1</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8" t="s">
        <v>1681</v>
      </c>
      <c r="Q8" s="3419"/>
      <c r="R8" s="664" t="s">
        <v>14</v>
      </c>
      <c r="S8" s="665">
        <f t="shared" si="0"/>
        <v>100</v>
      </c>
      <c r="T8" s="664" t="s">
        <v>14</v>
      </c>
      <c r="U8" s="665">
        <f t="shared" si="1"/>
        <v>100</v>
      </c>
      <c r="V8" s="664" t="s">
        <v>14</v>
      </c>
      <c r="W8" s="665">
        <f t="shared" si="2"/>
        <v>100</v>
      </c>
      <c r="X8" s="666"/>
      <c r="Y8" s="3418" t="s">
        <v>1681</v>
      </c>
      <c r="Z8" s="3419"/>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50" t="s">
        <v>1684</v>
      </c>
      <c r="Q9" s="530" t="str">
        <f t="shared" ref="Q9:Q14" si="6">B9</f>
        <v>用途</v>
      </c>
      <c r="R9" s="664" t="s">
        <v>14</v>
      </c>
      <c r="S9" s="665">
        <f t="shared" si="0"/>
        <v>100</v>
      </c>
      <c r="T9" s="664" t="s">
        <v>14</v>
      </c>
      <c r="U9" s="665">
        <f t="shared" si="1"/>
        <v>100</v>
      </c>
      <c r="V9" s="664" t="s">
        <v>14</v>
      </c>
      <c r="W9" s="665">
        <f t="shared" si="2"/>
        <v>100</v>
      </c>
      <c r="X9" s="666"/>
      <c r="Y9" s="3362"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50"/>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50"/>
      <c r="Q11" s="530">
        <f t="shared" si="6"/>
        <v>111</v>
      </c>
      <c r="R11" s="664" t="s">
        <v>14</v>
      </c>
      <c r="S11" s="665">
        <f t="shared" si="0"/>
        <v>100</v>
      </c>
      <c r="T11" s="664" t="s">
        <v>14</v>
      </c>
      <c r="U11" s="665">
        <f t="shared" si="1"/>
        <v>100</v>
      </c>
      <c r="V11" s="664" t="s">
        <v>14</v>
      </c>
      <c r="W11" s="665">
        <f t="shared" si="2"/>
        <v>100</v>
      </c>
      <c r="X11" s="666"/>
      <c r="Y11" s="33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50"/>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51" t="s">
        <v>1689</v>
      </c>
      <c r="Q14" s="1263" t="str">
        <f t="shared" si="6"/>
        <v>交通便捷度</v>
      </c>
      <c r="R14" s="667" t="s">
        <v>14</v>
      </c>
      <c r="S14" s="668">
        <f t="shared" si="0"/>
        <v>100</v>
      </c>
      <c r="T14" s="667" t="s">
        <v>14</v>
      </c>
      <c r="U14" s="668">
        <f t="shared" si="1"/>
        <v>100</v>
      </c>
      <c r="V14" s="667" t="s">
        <v>14</v>
      </c>
      <c r="W14" s="668">
        <f t="shared" si="2"/>
        <v>100</v>
      </c>
      <c r="X14" s="1265"/>
      <c r="Y14" s="3451"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52"/>
      <c r="Q15" s="1263"/>
      <c r="R15" s="667"/>
      <c r="S15" s="668"/>
      <c r="T15" s="667"/>
      <c r="U15" s="668"/>
      <c r="V15" s="667"/>
      <c r="W15" s="668"/>
      <c r="X15" s="1265"/>
      <c r="Y15" s="3452"/>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52"/>
      <c r="Q16" s="1263" t="str">
        <f>B16</f>
        <v>公共配套设施</v>
      </c>
      <c r="R16" s="667" t="s">
        <v>14</v>
      </c>
      <c r="S16" s="668">
        <f>F16</f>
        <v>100</v>
      </c>
      <c r="T16" s="667" t="s">
        <v>14</v>
      </c>
      <c r="U16" s="668">
        <f>H16</f>
        <v>100</v>
      </c>
      <c r="V16" s="667" t="s">
        <v>14</v>
      </c>
      <c r="W16" s="668">
        <f>J16</f>
        <v>100</v>
      </c>
      <c r="X16" s="1265"/>
      <c r="Y16" s="345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52"/>
      <c r="Q17" s="1263"/>
      <c r="R17" s="667"/>
      <c r="S17" s="668"/>
      <c r="T17" s="667"/>
      <c r="U17" s="668"/>
      <c r="V17" s="667"/>
      <c r="W17" s="668"/>
      <c r="X17" s="1265"/>
      <c r="Y17" s="3452"/>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52"/>
      <c r="Q18" s="1263" t="str">
        <f>B18</f>
        <v>基础设施水平</v>
      </c>
      <c r="R18" s="667" t="s">
        <v>14</v>
      </c>
      <c r="S18" s="668">
        <f>F18</f>
        <v>100</v>
      </c>
      <c r="T18" s="667" t="s">
        <v>14</v>
      </c>
      <c r="U18" s="668">
        <f>H18</f>
        <v>100</v>
      </c>
      <c r="V18" s="667" t="s">
        <v>14</v>
      </c>
      <c r="W18" s="668">
        <f>J18</f>
        <v>100</v>
      </c>
      <c r="X18" s="1265"/>
      <c r="Y18" s="345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52"/>
      <c r="Q19" s="1263"/>
      <c r="R19" s="667"/>
      <c r="S19" s="668"/>
      <c r="T19" s="667"/>
      <c r="U19" s="668"/>
      <c r="V19" s="667"/>
      <c r="W19" s="668"/>
      <c r="X19" s="1265"/>
      <c r="Y19" s="3452"/>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52"/>
      <c r="Q20" s="1263" t="str">
        <f>B20</f>
        <v>自然及人文环境</v>
      </c>
      <c r="R20" s="667" t="s">
        <v>14</v>
      </c>
      <c r="S20" s="668">
        <f>F20</f>
        <v>100</v>
      </c>
      <c r="T20" s="667" t="s">
        <v>14</v>
      </c>
      <c r="U20" s="668">
        <f>H20</f>
        <v>100</v>
      </c>
      <c r="V20" s="667" t="s">
        <v>14</v>
      </c>
      <c r="W20" s="668">
        <f>J20</f>
        <v>100</v>
      </c>
      <c r="X20" s="1265"/>
      <c r="Y20" s="345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52"/>
      <c r="Q21" s="1263"/>
      <c r="R21" s="667"/>
      <c r="S21" s="668"/>
      <c r="T21" s="667"/>
      <c r="U21" s="668"/>
      <c r="V21" s="667"/>
      <c r="W21" s="668"/>
      <c r="X21" s="1265"/>
      <c r="Y21" s="3452"/>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52"/>
      <c r="Q22" s="1263" t="str">
        <f>B22</f>
        <v>楼层</v>
      </c>
      <c r="R22" s="667" t="s">
        <v>14</v>
      </c>
      <c r="S22" s="668">
        <f>F22</f>
        <v>100</v>
      </c>
      <c r="T22" s="667" t="s">
        <v>14</v>
      </c>
      <c r="U22" s="668">
        <f>H22</f>
        <v>100</v>
      </c>
      <c r="V22" s="667" t="s">
        <v>14</v>
      </c>
      <c r="W22" s="668">
        <f>J22</f>
        <v>100</v>
      </c>
      <c r="X22" s="1265"/>
      <c r="Y22" s="345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52"/>
      <c r="Q23" s="1263">
        <f>B23</f>
        <v>111</v>
      </c>
      <c r="R23" s="667" t="s">
        <v>14</v>
      </c>
      <c r="S23" s="668">
        <f>F23</f>
        <v>100</v>
      </c>
      <c r="T23" s="667" t="s">
        <v>14</v>
      </c>
      <c r="U23" s="668">
        <f>H23</f>
        <v>100</v>
      </c>
      <c r="V23" s="667" t="s">
        <v>14</v>
      </c>
      <c r="W23" s="668">
        <f>J23</f>
        <v>100</v>
      </c>
      <c r="X23" s="1265"/>
      <c r="Y23" s="345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52"/>
      <c r="Q24" s="1263">
        <f t="shared" ref="Q24:Q34" si="11">B24</f>
        <v>111</v>
      </c>
      <c r="R24" s="667" t="s">
        <v>14</v>
      </c>
      <c r="S24" s="668">
        <f>F24</f>
        <v>100</v>
      </c>
      <c r="T24" s="667" t="s">
        <v>14</v>
      </c>
      <c r="U24" s="668">
        <f>H24</f>
        <v>100</v>
      </c>
      <c r="V24" s="667" t="s">
        <v>14</v>
      </c>
      <c r="W24" s="668">
        <f>J24</f>
        <v>100</v>
      </c>
      <c r="X24" s="1265"/>
      <c r="Y24" s="345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52"/>
      <c r="Q25" s="530">
        <f t="shared" si="11"/>
        <v>111</v>
      </c>
      <c r="R25" s="664" t="s">
        <v>14</v>
      </c>
      <c r="S25" s="665">
        <f>F25</f>
        <v>100</v>
      </c>
      <c r="T25" s="664" t="s">
        <v>14</v>
      </c>
      <c r="U25" s="665">
        <f>H25</f>
        <v>100</v>
      </c>
      <c r="V25" s="664" t="s">
        <v>14</v>
      </c>
      <c r="W25" s="665">
        <f>J25</f>
        <v>100</v>
      </c>
      <c r="X25" s="666"/>
      <c r="Y25" s="3452"/>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5"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6" t="s">
        <v>1694</v>
      </c>
      <c r="Z26" s="1264" t="str">
        <f t="shared" ref="Z26:Z34" si="15">Q26</f>
        <v>公共部分装修</v>
      </c>
      <c r="AA26" s="1264">
        <f t="shared" si="3"/>
        <v>1</v>
      </c>
      <c r="AB26" s="1264">
        <f t="shared" si="4"/>
        <v>1</v>
      </c>
      <c r="AC26" s="1264">
        <f t="shared" si="5"/>
        <v>1</v>
      </c>
    </row>
    <row r="27" spans="1:29" s="408" customFormat="1" ht="15">
      <c r="A27" s="406"/>
      <c r="B27" s="364" t="s">
        <v>1837</v>
      </c>
      <c r="C27" s="411">
        <v>0.85</v>
      </c>
      <c r="D27" s="119">
        <v>100</v>
      </c>
      <c r="E27" s="412">
        <v>0.85</v>
      </c>
      <c r="F27" s="400">
        <f>LOOKUP(E27,80:80,81:81)-LOOKUP(C27,80:80,81:81)+100</f>
        <v>100</v>
      </c>
      <c r="G27" s="413">
        <v>0.85</v>
      </c>
      <c r="H27" s="374">
        <f>LOOKUP(G27,80:80,81:81)-LOOKUP(C27,80:80,81:81)+100</f>
        <v>100</v>
      </c>
      <c r="I27" s="413">
        <v>0.85</v>
      </c>
      <c r="J27" s="374">
        <f>LOOKUP(I27,80:80,81:81)-LOOKUP(C27,80:80,81:81)+100</f>
        <v>100</v>
      </c>
      <c r="K27" s="538"/>
      <c r="L27" s="2492"/>
      <c r="M27" s="2494"/>
      <c r="N27" s="2494"/>
      <c r="O27" s="2544"/>
      <c r="P27" s="3456"/>
      <c r="Q27" s="531" t="str">
        <f t="shared" si="11"/>
        <v>成新率</v>
      </c>
      <c r="R27" s="669" t="s">
        <v>14</v>
      </c>
      <c r="S27" s="670">
        <f t="shared" si="12"/>
        <v>100</v>
      </c>
      <c r="T27" s="669" t="s">
        <v>14</v>
      </c>
      <c r="U27" s="670">
        <f t="shared" si="13"/>
        <v>100</v>
      </c>
      <c r="V27" s="669" t="s">
        <v>14</v>
      </c>
      <c r="W27" s="670">
        <f t="shared" si="14"/>
        <v>100</v>
      </c>
      <c r="X27" s="671"/>
      <c r="Y27" s="3456"/>
      <c r="Z27" s="672" t="str">
        <f t="shared" si="15"/>
        <v>成新率</v>
      </c>
      <c r="AA27" s="1264">
        <f t="shared" si="3"/>
        <v>1</v>
      </c>
      <c r="AB27" s="1264">
        <f t="shared" si="4"/>
        <v>1</v>
      </c>
      <c r="AC27" s="1264">
        <f t="shared" si="5"/>
        <v>1</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56"/>
      <c r="Q28" s="1263" t="str">
        <f t="shared" si="11"/>
        <v>物业等级</v>
      </c>
      <c r="R28" s="667" t="s">
        <v>14</v>
      </c>
      <c r="S28" s="668">
        <f t="shared" si="12"/>
        <v>100</v>
      </c>
      <c r="T28" s="667" t="s">
        <v>14</v>
      </c>
      <c r="U28" s="668">
        <f t="shared" si="13"/>
        <v>100</v>
      </c>
      <c r="V28" s="667" t="s">
        <v>14</v>
      </c>
      <c r="W28" s="668">
        <f t="shared" si="14"/>
        <v>100</v>
      </c>
      <c r="X28" s="1265"/>
      <c r="Y28" s="3456"/>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56"/>
      <c r="Q29" s="1263" t="str">
        <f t="shared" si="11"/>
        <v>有无电梯</v>
      </c>
      <c r="R29" s="667" t="s">
        <v>14</v>
      </c>
      <c r="S29" s="668">
        <f t="shared" si="12"/>
        <v>100</v>
      </c>
      <c r="T29" s="667" t="s">
        <v>14</v>
      </c>
      <c r="U29" s="668">
        <f t="shared" si="13"/>
        <v>100</v>
      </c>
      <c r="V29" s="667" t="s">
        <v>14</v>
      </c>
      <c r="W29" s="668">
        <f t="shared" si="14"/>
        <v>100</v>
      </c>
      <c r="X29" s="1265"/>
      <c r="Y29" s="3456"/>
      <c r="Z29" s="1264" t="str">
        <f t="shared" si="15"/>
        <v>有无电梯</v>
      </c>
      <c r="AA29" s="1264">
        <f t="shared" si="3"/>
        <v>1</v>
      </c>
      <c r="AB29" s="1264">
        <f t="shared" si="4"/>
        <v>1</v>
      </c>
      <c r="AC29" s="1264">
        <f t="shared" si="5"/>
        <v>1</v>
      </c>
    </row>
    <row r="30" spans="1:29" ht="15">
      <c r="A30" s="409"/>
      <c r="B30" s="364" t="s">
        <v>1859</v>
      </c>
      <c r="C30" s="407">
        <v>85</v>
      </c>
      <c r="D30" s="374">
        <v>100</v>
      </c>
      <c r="E30" s="407">
        <v>7</v>
      </c>
      <c r="F30" s="400">
        <f>LOOKUP(E30,87:87,88:88)-LOOKUP(C30,87:87,88:88)+100</f>
        <v>96</v>
      </c>
      <c r="G30" s="407">
        <v>84</v>
      </c>
      <c r="H30" s="374">
        <f>LOOKUP(G30,87:87,88:88)-LOOKUP(C30,87:87,88:88)+100</f>
        <v>100</v>
      </c>
      <c r="I30" s="407">
        <v>19</v>
      </c>
      <c r="J30" s="374">
        <f>LOOKUP(I30,87:87,88:88)-LOOKUP(C30,87:87,88:88)+100</f>
        <v>96</v>
      </c>
      <c r="K30" s="539"/>
      <c r="L30" s="2493"/>
      <c r="M30" s="2488"/>
      <c r="N30" s="2488"/>
      <c r="O30" s="2543"/>
      <c r="P30" s="3456"/>
      <c r="Q30" s="1263" t="str">
        <f t="shared" si="11"/>
        <v>建筑面积</v>
      </c>
      <c r="R30" s="667" t="s">
        <v>14</v>
      </c>
      <c r="S30" s="668">
        <f t="shared" si="12"/>
        <v>96</v>
      </c>
      <c r="T30" s="667" t="s">
        <v>14</v>
      </c>
      <c r="U30" s="668">
        <f t="shared" si="13"/>
        <v>100</v>
      </c>
      <c r="V30" s="667" t="s">
        <v>14</v>
      </c>
      <c r="W30" s="668">
        <f t="shared" si="14"/>
        <v>96</v>
      </c>
      <c r="X30" s="1265"/>
      <c r="Y30" s="3456"/>
      <c r="Z30" s="1264" t="str">
        <f t="shared" si="15"/>
        <v>建筑面积</v>
      </c>
      <c r="AA30" s="1264">
        <f t="shared" si="3"/>
        <v>1.0416666666666667</v>
      </c>
      <c r="AB30" s="1264">
        <f t="shared" si="4"/>
        <v>1</v>
      </c>
      <c r="AC30" s="1264">
        <f t="shared" si="5"/>
        <v>1.0416666666666667</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56"/>
      <c r="Q31" s="530" t="str">
        <f t="shared" si="11"/>
        <v>是否封闭</v>
      </c>
      <c r="R31" s="664" t="s">
        <v>14</v>
      </c>
      <c r="S31" s="665">
        <f t="shared" si="12"/>
        <v>100</v>
      </c>
      <c r="T31" s="664" t="s">
        <v>14</v>
      </c>
      <c r="U31" s="665">
        <f t="shared" si="13"/>
        <v>100</v>
      </c>
      <c r="V31" s="664" t="s">
        <v>14</v>
      </c>
      <c r="W31" s="665">
        <f t="shared" si="14"/>
        <v>100</v>
      </c>
      <c r="X31" s="666"/>
      <c r="Y31" s="345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56" t="s">
        <v>1694</v>
      </c>
      <c r="Q32" s="1263">
        <f t="shared" si="11"/>
        <v>111</v>
      </c>
      <c r="R32" s="667" t="s">
        <v>14</v>
      </c>
      <c r="S32" s="668">
        <f t="shared" si="12"/>
        <v>100</v>
      </c>
      <c r="T32" s="667" t="s">
        <v>14</v>
      </c>
      <c r="U32" s="668">
        <f t="shared" si="13"/>
        <v>100</v>
      </c>
      <c r="V32" s="667" t="s">
        <v>14</v>
      </c>
      <c r="W32" s="668">
        <f t="shared" si="14"/>
        <v>100</v>
      </c>
      <c r="X32" s="1265"/>
      <c r="Y32" s="3456"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56"/>
      <c r="Q33" s="1263">
        <f t="shared" si="11"/>
        <v>111</v>
      </c>
      <c r="R33" s="667" t="s">
        <v>14</v>
      </c>
      <c r="S33" s="668">
        <f t="shared" si="12"/>
        <v>100</v>
      </c>
      <c r="T33" s="667" t="s">
        <v>14</v>
      </c>
      <c r="U33" s="668">
        <f t="shared" si="13"/>
        <v>100</v>
      </c>
      <c r="V33" s="667" t="s">
        <v>14</v>
      </c>
      <c r="W33" s="668">
        <f t="shared" si="14"/>
        <v>100</v>
      </c>
      <c r="X33" s="1265"/>
      <c r="Y33" s="345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56"/>
      <c r="Q34" s="1263">
        <f t="shared" si="11"/>
        <v>111</v>
      </c>
      <c r="R34" s="667" t="s">
        <v>14</v>
      </c>
      <c r="S34" s="668">
        <f t="shared" si="12"/>
        <v>100</v>
      </c>
      <c r="T34" s="667" t="s">
        <v>14</v>
      </c>
      <c r="U34" s="668">
        <f t="shared" si="13"/>
        <v>100</v>
      </c>
      <c r="V34" s="667" t="s">
        <v>14</v>
      </c>
      <c r="W34" s="668">
        <f t="shared" si="14"/>
        <v>100</v>
      </c>
      <c r="X34" s="1265"/>
      <c r="Y34" s="3456"/>
      <c r="Z34" s="1264">
        <f t="shared" si="15"/>
        <v>111</v>
      </c>
      <c r="AA34" s="1264">
        <f t="shared" si="3"/>
        <v>1</v>
      </c>
      <c r="AB34" s="1264">
        <f t="shared" si="4"/>
        <v>1</v>
      </c>
      <c r="AC34" s="1264">
        <f t="shared" si="5"/>
        <v>1</v>
      </c>
    </row>
    <row r="35" spans="1:30" ht="15">
      <c r="A35" s="416" t="s">
        <v>1706</v>
      </c>
      <c r="B35" s="417"/>
      <c r="C35" s="1081" t="s">
        <v>0</v>
      </c>
      <c r="D35" s="418"/>
      <c r="E35" s="419">
        <f>市场售价案例!G46</f>
        <v>3473</v>
      </c>
      <c r="F35" s="420"/>
      <c r="G35" s="421">
        <f>市场售价案例!T17</f>
        <v>3367</v>
      </c>
      <c r="H35" s="422"/>
      <c r="I35" s="419">
        <f>市场售价案例!T36</f>
        <v>2722</v>
      </c>
      <c r="J35" s="422"/>
      <c r="K35" s="674"/>
      <c r="L35" s="2495"/>
      <c r="M35" s="2488"/>
      <c r="N35" s="2488"/>
      <c r="O35" s="2488"/>
      <c r="P35" s="3450" t="str">
        <f>A35</f>
        <v>成交单价（元/平方米）</v>
      </c>
      <c r="Q35" s="3450"/>
      <c r="R35" s="3445">
        <f>E35</f>
        <v>3473</v>
      </c>
      <c r="S35" s="3445"/>
      <c r="T35" s="3445">
        <f>G35</f>
        <v>3367</v>
      </c>
      <c r="U35" s="3445"/>
      <c r="V35" s="3445">
        <f>I35</f>
        <v>2722</v>
      </c>
      <c r="W35" s="3445"/>
      <c r="X35" s="385"/>
      <c r="Y35" s="673"/>
      <c r="Z35" s="385"/>
      <c r="AA35" s="385"/>
      <c r="AB35" s="385"/>
      <c r="AC35" s="385"/>
    </row>
    <row r="36" spans="1:30" ht="15.75" thickBot="1">
      <c r="A36" s="423" t="s">
        <v>1791</v>
      </c>
      <c r="B36" s="424"/>
      <c r="C36" s="1082">
        <f>R37</f>
        <v>3273</v>
      </c>
      <c r="D36" s="2141" t="s">
        <v>2136</v>
      </c>
      <c r="E36" s="1083">
        <f>R36</f>
        <v>3618</v>
      </c>
      <c r="F36" s="2142"/>
      <c r="G36" s="1082">
        <f>T36</f>
        <v>3367</v>
      </c>
      <c r="H36" s="2142"/>
      <c r="I36" s="1083">
        <f>V36</f>
        <v>2835</v>
      </c>
      <c r="J36" s="2142"/>
      <c r="K36" s="2144">
        <f>F36+H36+J36</f>
        <v>0</v>
      </c>
      <c r="L36" s="2495"/>
      <c r="M36" s="2488"/>
      <c r="N36" s="2488"/>
      <c r="O36" s="2488"/>
      <c r="P36" s="3450" t="str">
        <f>A36</f>
        <v>比较价值（元/平方米）</v>
      </c>
      <c r="Q36" s="3450"/>
      <c r="R36" s="3445">
        <f>IF(F1="售价",ROUND(PRODUCT(R35,AA7:AA34),0),ROUND(PRODUCT(R35,AA7:AA34),1))</f>
        <v>3618</v>
      </c>
      <c r="S36" s="3445"/>
      <c r="T36" s="3445">
        <f>IF(F1="售价",ROUND(PRODUCT(T35,AB7:AB34),0),ROUND(PRODUCT(T35,AB7:AB34),1))</f>
        <v>3367</v>
      </c>
      <c r="U36" s="3445"/>
      <c r="V36" s="3445">
        <f>IF(F1="售价",ROUND(PRODUCT(V35,AC7:AC34),0),ROUND(PRODUCT(V35,AC7:AC34),1))</f>
        <v>2835</v>
      </c>
      <c r="W36" s="3445"/>
      <c r="X36" s="385"/>
      <c r="Y36" s="385"/>
      <c r="Z36" s="385"/>
      <c r="AA36" s="385"/>
      <c r="AB36" s="385"/>
      <c r="AC36" s="385"/>
    </row>
    <row r="37" spans="1:30" ht="15.75" thickBot="1">
      <c r="A37" s="427" t="s">
        <v>1792</v>
      </c>
      <c r="B37" s="428"/>
      <c r="C37" s="351">
        <f>R37</f>
        <v>3273</v>
      </c>
      <c r="D37" s="351"/>
      <c r="E37" s="351"/>
      <c r="F37" s="351"/>
      <c r="G37" s="351"/>
      <c r="H37" s="351"/>
      <c r="I37" s="351"/>
      <c r="J37" s="351"/>
      <c r="K37" s="675"/>
      <c r="L37" s="2495"/>
      <c r="M37" s="2488"/>
      <c r="N37" s="2488"/>
      <c r="O37" s="2488"/>
      <c r="P37" s="3447" t="str">
        <f>A37</f>
        <v>估价对象XX用房的比较价值（楼面单价，元/平方米）</v>
      </c>
      <c r="Q37" s="3448"/>
      <c r="R37" s="3476">
        <f>IF(F1="售价",ROUND(IF(D36="简单平均",AVERAGE(R36:W36),R36*F36+T36*H36+V36*J36),0),ROUND(IF(D36="简单平均",AVERAGE(R36:V36),R36*F36+T36*H36+V36*J36),1))</f>
        <v>3273</v>
      </c>
      <c r="S37" s="3476"/>
      <c r="T37" s="3476"/>
      <c r="U37" s="3476"/>
      <c r="V37" s="3476"/>
      <c r="W37" s="347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f>IF(E35&lt;E36,E36/E35-1,E35/E36-1)</f>
        <v>4.1750647854880585E-2</v>
      </c>
      <c r="F40" s="435" t="str">
        <f>IF(OR(E40&gt;=0.3,E40&lt;=-0.3),"超过30%","")</f>
        <v/>
      </c>
      <c r="G40" s="434">
        <f>IF(G35&lt;G36,G36/G35-1,G35/G36-1)</f>
        <v>0</v>
      </c>
      <c r="H40" s="435" t="str">
        <f>IF(OR(G40&gt;=0.3,G40&lt;=-0.3),"超过30%","")</f>
        <v/>
      </c>
      <c r="I40" s="434">
        <f>IF(I35&lt;I36,I36/I35-1,I35/I36-1)</f>
        <v>4.1513592946363032E-2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f>IF(E36&lt;G36,G36/E36-1,E36/G36-1)</f>
        <v>7.4547074547074654E-2</v>
      </c>
      <c r="F41" s="435" t="str">
        <f>IF(OR(E41&gt;=0.2,E41&lt;=-0.2),"超过20%","")</f>
        <v/>
      </c>
      <c r="G41" s="434">
        <f>IF(G36&lt;I36,I36/G36-1,G36/I36-1)</f>
        <v>0.18765432098765422</v>
      </c>
      <c r="H41" s="435" t="str">
        <f>IF(OR(G41&gt;=0.2,G41&lt;=-0.2),"超过20%","")</f>
        <v/>
      </c>
      <c r="I41" s="434">
        <f>IF(I36&lt;E36,E36/I36-1,I36/E36-1)</f>
        <v>0.2761904761904761</v>
      </c>
      <c r="J41" s="435" t="str">
        <f>IF(OR(I41&gt;=0.2,I41&lt;=-0.2),"超过20%","")</f>
        <v>超过20%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f>IF(E35&lt;G35,G35/E35-1,E35/G35-1)</f>
        <v>3.1482031482031436E-2</v>
      </c>
      <c r="F42" s="435" t="str">
        <f>IF(OR(E42&gt;=0.3,E42&lt;=-0.3),"超过30%","")</f>
        <v/>
      </c>
      <c r="G42" s="434">
        <f>IF(G35&lt;I35,I35/G35-1,G35/I35-1)</f>
        <v>0.23695811903012487</v>
      </c>
      <c r="H42" s="435" t="str">
        <f>IF(OR(G42&gt;=0.3,G42&lt;=-0.3),"超过30%","")</f>
        <v/>
      </c>
      <c r="I42" s="434">
        <f>IF(I35&lt;E35,E35/I35-1,I35/E35-1)</f>
        <v>0.27590007347538581</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3571">
        <f t="shared" ref="P46" si="17">EDATE(O46,-1)</f>
        <v>45566</v>
      </c>
      <c r="Q46" s="3571">
        <f t="shared" ref="Q46" si="18">EDATE(P46,-1)</f>
        <v>45536</v>
      </c>
      <c r="R46" s="3571">
        <f t="shared" ref="R46" si="19">EDATE(Q46,-1)</f>
        <v>45505</v>
      </c>
      <c r="S46" s="3571">
        <f t="shared" ref="S46" si="20">EDATE(R46,-1)</f>
        <v>45474</v>
      </c>
      <c r="T46" s="3571">
        <f t="shared" ref="T46" si="21">EDATE(S46,-1)</f>
        <v>45444</v>
      </c>
      <c r="U46" s="3571">
        <f t="shared" ref="U46" si="22">EDATE(T46,-1)</f>
        <v>45413</v>
      </c>
      <c r="V46" s="3571">
        <f t="shared" ref="V46" si="23">EDATE(U46,-1)</f>
        <v>45383</v>
      </c>
      <c r="W46" s="3571">
        <f t="shared" ref="W46" si="24">EDATE(V46,-1)</f>
        <v>45352</v>
      </c>
      <c r="X46" s="3571">
        <f t="shared" ref="X46" si="25">EDATE(W46,-1)</f>
        <v>45323</v>
      </c>
      <c r="Y46" s="3571">
        <f t="shared" ref="Y46" si="26">EDATE(X46,-1)</f>
        <v>45292</v>
      </c>
      <c r="Z46" s="3571">
        <f t="shared" ref="Z46" si="27">EDATE(Y46,-1)</f>
        <v>45261</v>
      </c>
      <c r="AA46" s="3571">
        <f t="shared" ref="AA46" si="28">EDATE(Z46,-1)</f>
        <v>45231</v>
      </c>
      <c r="AB46" s="3571">
        <f t="shared" ref="AB46" si="29">EDATE(AA46,-1)</f>
        <v>45200</v>
      </c>
      <c r="AC46" s="3571">
        <f t="shared" ref="AC46" si="30">EDATE(AB46,-1)</f>
        <v>45170</v>
      </c>
      <c r="AD46" s="2511"/>
    </row>
    <row r="47" spans="1:30" s="102" customFormat="1" ht="15">
      <c r="A47" s="443"/>
      <c r="B47" s="444"/>
      <c r="C47" s="1102">
        <v>100</v>
      </c>
      <c r="D47" s="446">
        <v>100</v>
      </c>
      <c r="E47" s="446">
        <v>100</v>
      </c>
      <c r="F47" s="446">
        <v>100</v>
      </c>
      <c r="G47" s="446">
        <v>100</v>
      </c>
      <c r="H47" s="446">
        <v>100</v>
      </c>
      <c r="I47" s="446">
        <v>100</v>
      </c>
      <c r="J47" s="446">
        <v>100</v>
      </c>
      <c r="K47" s="446">
        <v>100</v>
      </c>
      <c r="L47" s="446">
        <v>100</v>
      </c>
      <c r="M47" s="446">
        <v>100</v>
      </c>
      <c r="N47" s="446">
        <v>100</v>
      </c>
      <c r="O47" s="446">
        <v>100</v>
      </c>
      <c r="P47" s="446">
        <v>100</v>
      </c>
      <c r="Q47" s="446">
        <v>100</v>
      </c>
      <c r="R47" s="446">
        <v>100</v>
      </c>
      <c r="S47" s="446">
        <v>100</v>
      </c>
      <c r="T47" s="446">
        <v>100</v>
      </c>
      <c r="U47" s="446">
        <v>100</v>
      </c>
      <c r="V47" s="446">
        <v>100</v>
      </c>
      <c r="W47" s="446">
        <v>100</v>
      </c>
      <c r="X47" s="446">
        <v>100</v>
      </c>
      <c r="Y47" s="446">
        <v>100</v>
      </c>
      <c r="Z47" s="446">
        <v>100</v>
      </c>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31">C78-$K26</f>
        <v>100</v>
      </c>
      <c r="E78" s="475">
        <f t="shared" si="31"/>
        <v>100</v>
      </c>
      <c r="F78" s="475">
        <f t="shared" si="31"/>
        <v>100</v>
      </c>
      <c r="G78" s="475">
        <f t="shared" si="31"/>
        <v>100</v>
      </c>
      <c r="H78" s="475">
        <f t="shared" si="31"/>
        <v>100</v>
      </c>
      <c r="I78" s="475">
        <f t="shared" si="31"/>
        <v>100</v>
      </c>
      <c r="J78" s="475">
        <f t="shared" si="31"/>
        <v>100</v>
      </c>
      <c r="K78" s="475">
        <f t="shared" si="31"/>
        <v>100</v>
      </c>
      <c r="L78" s="475">
        <f t="shared" si="31"/>
        <v>100</v>
      </c>
      <c r="M78" s="476">
        <f t="shared" si="31"/>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32">C81+$K27</f>
        <v>100</v>
      </c>
      <c r="E81" s="475">
        <f t="shared" si="32"/>
        <v>100</v>
      </c>
      <c r="F81" s="475">
        <f t="shared" si="32"/>
        <v>100</v>
      </c>
      <c r="G81" s="475">
        <f t="shared" si="32"/>
        <v>100</v>
      </c>
      <c r="H81" s="475">
        <f t="shared" si="32"/>
        <v>100</v>
      </c>
      <c r="I81" s="475">
        <f t="shared" si="32"/>
        <v>100</v>
      </c>
      <c r="J81" s="475">
        <f t="shared" si="32"/>
        <v>100</v>
      </c>
      <c r="K81" s="475">
        <f t="shared" si="32"/>
        <v>100</v>
      </c>
      <c r="L81" s="475">
        <f t="shared" si="32"/>
        <v>100</v>
      </c>
      <c r="M81" s="475">
        <f t="shared" si="32"/>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33">C83-$K28</f>
        <v>100</v>
      </c>
      <c r="E83" s="475">
        <f t="shared" si="33"/>
        <v>100</v>
      </c>
      <c r="F83" s="475">
        <f t="shared" si="33"/>
        <v>100</v>
      </c>
      <c r="G83" s="475">
        <f t="shared" si="33"/>
        <v>100</v>
      </c>
      <c r="H83" s="475">
        <f t="shared" si="33"/>
        <v>100</v>
      </c>
      <c r="I83" s="475">
        <f t="shared" si="33"/>
        <v>100</v>
      </c>
      <c r="J83" s="475">
        <f t="shared" si="33"/>
        <v>100</v>
      </c>
      <c r="K83" s="475">
        <f t="shared" si="33"/>
        <v>100</v>
      </c>
      <c r="L83" s="475">
        <f t="shared" si="33"/>
        <v>100</v>
      </c>
      <c r="M83" s="476">
        <f t="shared" si="33"/>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34">C85+$K29</f>
        <v>100</v>
      </c>
      <c r="E85" s="475">
        <f t="shared" si="34"/>
        <v>100</v>
      </c>
      <c r="F85" s="475">
        <f t="shared" si="34"/>
        <v>100</v>
      </c>
      <c r="G85" s="475">
        <f t="shared" si="34"/>
        <v>100</v>
      </c>
      <c r="H85" s="475">
        <f t="shared" si="34"/>
        <v>100</v>
      </c>
      <c r="I85" s="475">
        <f t="shared" si="34"/>
        <v>100</v>
      </c>
      <c r="J85" s="475">
        <f t="shared" si="34"/>
        <v>100</v>
      </c>
      <c r="K85" s="475">
        <f t="shared" si="34"/>
        <v>100</v>
      </c>
      <c r="L85" s="475">
        <f t="shared" si="34"/>
        <v>100</v>
      </c>
      <c r="M85" s="475">
        <f t="shared" si="34"/>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35">C87&amp;"(含)"&amp;"-"&amp;D87</f>
        <v>0(含)-20</v>
      </c>
      <c r="D86" s="509" t="str">
        <f t="shared" si="35"/>
        <v>20(含)-40</v>
      </c>
      <c r="E86" s="509" t="str">
        <f t="shared" si="35"/>
        <v>40(含)-60</v>
      </c>
      <c r="F86" s="509" t="str">
        <f t="shared" si="35"/>
        <v>60(含)-80</v>
      </c>
      <c r="G86" s="509" t="str">
        <f t="shared" si="35"/>
        <v>80(含)-</v>
      </c>
      <c r="H86" s="509" t="str">
        <f t="shared" si="35"/>
        <v>(含)-</v>
      </c>
      <c r="I86" s="509" t="str">
        <f t="shared" si="35"/>
        <v>(含)-</v>
      </c>
      <c r="J86" s="509" t="str">
        <f t="shared" si="35"/>
        <v>(含)-</v>
      </c>
      <c r="K86" s="509" t="str">
        <f t="shared" si="35"/>
        <v>(含)-</v>
      </c>
      <c r="L86" s="509" t="str">
        <f t="shared" si="35"/>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20</v>
      </c>
      <c r="E87" s="6">
        <v>40</v>
      </c>
      <c r="F87" s="6">
        <v>60</v>
      </c>
      <c r="G87" s="6">
        <v>80</v>
      </c>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101</v>
      </c>
      <c r="E88" s="467">
        <v>102</v>
      </c>
      <c r="F88" s="467">
        <v>103</v>
      </c>
      <c r="G88" s="467">
        <v>104</v>
      </c>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7" priority="13" stopIfTrue="1">
      <formula>$F$40="超过30%"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F7:F34 H7:H34 J7:J34">
    <cfRule type="cellIs" dxfId="74" priority="1" operator="notEqual">
      <formula>100</formula>
    </cfRule>
  </conditionalFormatting>
  <conditionalFormatting sqref="F36">
    <cfRule type="expression" dxfId="73" priority="4">
      <formula>$D$36="简单平均"</formula>
    </cfRule>
  </conditionalFormatting>
  <conditionalFormatting sqref="F40:F42 H40:H42 J40:J42">
    <cfRule type="containsText" dxfId="72" priority="14" stopIfTrue="1" operator="containsText" text="超过">
      <formula>NOT(ISERROR(SEARCH("超过",F40)))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G42">
    <cfRule type="expression" dxfId="69" priority="12" stopIfTrue="1">
      <formula>$H$54+$H$42="超过30%"</formula>
    </cfRule>
  </conditionalFormatting>
  <conditionalFormatting sqref="H36">
    <cfRule type="expression" dxfId="68" priority="3">
      <formula>$D$36="简单平均"</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J36">
    <cfRule type="expression" dxfId="6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115" zoomScaleNormal="100" zoomScaleSheetLayoutView="115" workbookViewId="0">
      <selection activeCell="H29" sqref="H2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2921.1909000000001</v>
      </c>
      <c r="C2" s="1729" t="s">
        <v>1649</v>
      </c>
      <c r="D2" s="1730" t="s">
        <v>1650</v>
      </c>
      <c r="E2" s="2393">
        <f>SUM(E6:E13)</f>
        <v>10007.760000000006</v>
      </c>
      <c r="F2" s="2480"/>
      <c r="G2" s="459"/>
      <c r="H2" s="459"/>
      <c r="I2" s="459"/>
      <c r="J2" s="459"/>
      <c r="K2" s="459"/>
      <c r="L2" s="459"/>
      <c r="M2" s="459"/>
      <c r="N2" s="459"/>
      <c r="O2" s="459"/>
      <c r="P2" s="459"/>
      <c r="Q2" s="459"/>
      <c r="R2" s="459"/>
      <c r="S2" s="459"/>
    </row>
    <row r="3" spans="1:22" ht="15.75">
      <c r="A3" s="1728" t="s">
        <v>685</v>
      </c>
      <c r="B3" s="2387">
        <f ca="1">ROUND(B2*10000/E2,0)</f>
        <v>2919</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13" t="s">
        <v>1652</v>
      </c>
      <c r="C5" s="3414"/>
      <c r="D5" s="2481"/>
      <c r="E5" s="1731" t="s">
        <v>1653</v>
      </c>
      <c r="F5" s="129" t="s">
        <v>1654</v>
      </c>
      <c r="G5" s="459"/>
      <c r="H5" s="459"/>
      <c r="I5" s="459"/>
      <c r="J5" s="459"/>
      <c r="K5" s="459"/>
      <c r="L5" s="459"/>
      <c r="M5" s="459"/>
      <c r="N5" s="459"/>
      <c r="O5" s="459"/>
      <c r="P5" s="459"/>
      <c r="Q5" s="459"/>
      <c r="R5" s="459"/>
      <c r="S5" s="459"/>
    </row>
    <row r="6" spans="1:22">
      <c r="A6" s="2390" t="str">
        <f>'数据-取费表'!AN6</f>
        <v>收益法 (元)-商业</v>
      </c>
      <c r="B6" s="2388">
        <f ca="1">IF(F6="是",'数据-取费表'!AO6,0)</f>
        <v>280.43669999999997</v>
      </c>
      <c r="C6" s="1729" t="s">
        <v>1649</v>
      </c>
      <c r="D6" s="2480"/>
      <c r="E6" s="2392">
        <f>IF(OR(A6=0,F6="否"),0,'数据-取费表'!K6+'数据-取费表'!S6)</f>
        <v>173.35</v>
      </c>
      <c r="F6" s="1732" t="s">
        <v>1655</v>
      </c>
      <c r="G6" s="459"/>
      <c r="H6" s="459"/>
      <c r="I6" s="459"/>
      <c r="J6" s="459"/>
      <c r="K6" s="459"/>
      <c r="L6" s="459"/>
      <c r="M6" s="459"/>
      <c r="N6" s="459"/>
      <c r="O6" s="459"/>
      <c r="P6" s="459"/>
      <c r="Q6" s="459"/>
      <c r="R6" s="459"/>
      <c r="S6" s="459"/>
    </row>
    <row r="7" spans="1:22">
      <c r="A7" s="2390" t="str">
        <f>'数据-取费表'!AN7</f>
        <v>收益法 (元)-办公</v>
      </c>
      <c r="B7" s="2388">
        <f ca="1">IF(F7="是",'数据-取费表'!AO7,0)</f>
        <v>2009.7529999999999</v>
      </c>
      <c r="C7" s="1729" t="s">
        <v>1649</v>
      </c>
      <c r="D7" s="2480"/>
      <c r="E7" s="2392">
        <f>IF(OR(A7=0,F7="否"),0,'数据-取费表'!K7+'数据-取费表'!S7)</f>
        <v>3082.8099999999981</v>
      </c>
      <c r="F7" s="1732" t="s">
        <v>1655</v>
      </c>
      <c r="G7" s="459"/>
      <c r="H7" s="459"/>
      <c r="I7" s="459"/>
      <c r="J7" s="459"/>
      <c r="K7" s="459"/>
      <c r="L7" s="459"/>
      <c r="M7" s="459"/>
      <c r="N7" s="459"/>
      <c r="O7" s="459"/>
      <c r="P7" s="459"/>
      <c r="Q7" s="459"/>
      <c r="R7" s="459"/>
      <c r="S7" s="459"/>
    </row>
    <row r="8" spans="1:22">
      <c r="A8" s="2390" t="str">
        <f>'数据-取费表'!AN8</f>
        <v>收益法 (元)-车位</v>
      </c>
      <c r="B8" s="2388">
        <f ca="1">IF(F8="是",'数据-取费表'!AO8,0)</f>
        <v>613.44489999999996</v>
      </c>
      <c r="C8" s="1729" t="s">
        <v>1649</v>
      </c>
      <c r="D8" s="2480"/>
      <c r="E8" s="2392">
        <f>IF(OR(A8=0,F8="否"),0,'数据-取费表'!K8+'数据-取费表'!S8)</f>
        <v>6666.6000000000076</v>
      </c>
      <c r="F8" s="1732" t="s">
        <v>1655</v>
      </c>
      <c r="G8" s="459"/>
      <c r="H8" s="459"/>
      <c r="I8" s="459"/>
      <c r="J8" s="459"/>
      <c r="K8" s="459"/>
      <c r="L8" s="459"/>
      <c r="M8" s="459"/>
      <c r="N8" s="459"/>
      <c r="O8" s="459"/>
      <c r="P8" s="459"/>
      <c r="Q8" s="459"/>
      <c r="R8" s="459"/>
      <c r="S8" s="459"/>
    </row>
    <row r="9" spans="1:22">
      <c r="A9" s="2390" t="str">
        <f>'数据-取费表'!AN9</f>
        <v>收益法 (元)-仓储</v>
      </c>
      <c r="B9" s="2388">
        <f ca="1">IF(F9="是",'数据-取费表'!AO9,0)</f>
        <v>17.5563</v>
      </c>
      <c r="C9" s="1729" t="s">
        <v>1649</v>
      </c>
      <c r="D9" s="2480"/>
      <c r="E9" s="2392">
        <f>IF(OR(A9=0,F9="否"),0,'数据-取费表'!K9+'数据-取费表'!S9)</f>
        <v>85</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65" zoomScaleNormal="60" zoomScaleSheetLayoutView="10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11841.610000000006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33" t="s">
        <v>1665</v>
      </c>
      <c r="D4" s="3434"/>
      <c r="E4" s="3435" t="s">
        <v>1666</v>
      </c>
      <c r="F4" s="3436"/>
      <c r="G4" s="3433" t="s">
        <v>1667</v>
      </c>
      <c r="H4" s="3434"/>
      <c r="I4" s="3433" t="s">
        <v>1668</v>
      </c>
      <c r="J4" s="3434"/>
      <c r="K4" s="1744" t="s">
        <v>1669</v>
      </c>
      <c r="L4" s="2487"/>
      <c r="M4" s="2488"/>
      <c r="N4" s="2488"/>
      <c r="O4" s="2488"/>
      <c r="P4" s="3437" t="s">
        <v>1670</v>
      </c>
      <c r="Q4" s="3438"/>
      <c r="R4" s="3420" t="s">
        <v>1666</v>
      </c>
      <c r="S4" s="3421"/>
      <c r="T4" s="3420" t="s">
        <v>1667</v>
      </c>
      <c r="U4" s="3421"/>
      <c r="V4" s="3445" t="s">
        <v>1668</v>
      </c>
      <c r="W4" s="3445"/>
      <c r="X4" s="1265"/>
      <c r="Y4" s="3420" t="s">
        <v>1670</v>
      </c>
      <c r="Z4" s="3421"/>
      <c r="AA4" s="3415" t="s">
        <v>1666</v>
      </c>
      <c r="AB4" s="3415" t="s">
        <v>1667</v>
      </c>
      <c r="AC4" s="3415" t="s">
        <v>1668</v>
      </c>
    </row>
    <row r="5" spans="1:29" ht="15">
      <c r="A5" s="348"/>
      <c r="B5" s="349"/>
      <c r="C5" s="3426" t="s">
        <v>1671</v>
      </c>
      <c r="D5" s="3427"/>
      <c r="E5" s="3424" t="s">
        <v>1672</v>
      </c>
      <c r="F5" s="3425"/>
      <c r="G5" s="3426" t="s">
        <v>1673</v>
      </c>
      <c r="H5" s="3427"/>
      <c r="I5" s="3426" t="s">
        <v>1674</v>
      </c>
      <c r="J5" s="3427"/>
      <c r="K5" s="1745"/>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1745"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8" t="s">
        <v>1678</v>
      </c>
      <c r="Q7" s="3446"/>
      <c r="R7" s="664" t="s">
        <v>20</v>
      </c>
      <c r="S7" s="665">
        <f t="shared" ref="S7:S15" si="0">F7</f>
        <v>0</v>
      </c>
      <c r="T7" s="664" t="s">
        <v>20</v>
      </c>
      <c r="U7" s="665">
        <f t="shared" ref="U7:U15" si="1">H7</f>
        <v>0</v>
      </c>
      <c r="V7" s="664" t="s">
        <v>20</v>
      </c>
      <c r="W7" s="665">
        <f t="shared" ref="W7:W15" si="2">J7</f>
        <v>0</v>
      </c>
      <c r="X7" s="666"/>
      <c r="Y7" s="3418" t="s">
        <v>1678</v>
      </c>
      <c r="Z7" s="3419"/>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8" t="s">
        <v>1681</v>
      </c>
      <c r="Q8" s="3419"/>
      <c r="R8" s="664" t="s">
        <v>20</v>
      </c>
      <c r="S8" s="665">
        <f t="shared" si="0"/>
        <v>100</v>
      </c>
      <c r="T8" s="664" t="s">
        <v>20</v>
      </c>
      <c r="U8" s="665">
        <f t="shared" si="1"/>
        <v>100</v>
      </c>
      <c r="V8" s="664" t="s">
        <v>20</v>
      </c>
      <c r="W8" s="665">
        <f t="shared" si="2"/>
        <v>100</v>
      </c>
      <c r="X8" s="666"/>
      <c r="Y8" s="3418" t="s">
        <v>1681</v>
      </c>
      <c r="Z8" s="3419"/>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32"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32"/>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32"/>
      <c r="Q11" s="530" t="str">
        <f t="shared" si="6"/>
        <v>容积率</v>
      </c>
      <c r="R11" s="664" t="s">
        <v>18</v>
      </c>
      <c r="S11" s="665" t="e">
        <f t="shared" si="0"/>
        <v>#N/A</v>
      </c>
      <c r="T11" s="664" t="s">
        <v>18</v>
      </c>
      <c r="U11" s="665" t="e">
        <f t="shared" si="1"/>
        <v>#N/A</v>
      </c>
      <c r="V11" s="664" t="s">
        <v>18</v>
      </c>
      <c r="W11" s="665" t="e">
        <f t="shared" si="2"/>
        <v>#N/A</v>
      </c>
      <c r="X11" s="666"/>
      <c r="Y11" s="33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32"/>
      <c r="Q12" s="530">
        <f t="shared" si="6"/>
        <v>111</v>
      </c>
      <c r="R12" s="664" t="s">
        <v>18</v>
      </c>
      <c r="S12" s="665">
        <f t="shared" si="0"/>
        <v>100</v>
      </c>
      <c r="T12" s="664" t="s">
        <v>18</v>
      </c>
      <c r="U12" s="665">
        <f t="shared" si="1"/>
        <v>100</v>
      </c>
      <c r="V12" s="664" t="s">
        <v>18</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32"/>
      <c r="Q13" s="530">
        <f t="shared" si="6"/>
        <v>111</v>
      </c>
      <c r="R13" s="664" t="s">
        <v>18</v>
      </c>
      <c r="S13" s="665">
        <f t="shared" si="0"/>
        <v>100</v>
      </c>
      <c r="T13" s="664" t="s">
        <v>18</v>
      </c>
      <c r="U13" s="665">
        <f t="shared" si="1"/>
        <v>100</v>
      </c>
      <c r="V13" s="664" t="s">
        <v>18</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32"/>
      <c r="Q14" s="530">
        <f t="shared" si="6"/>
        <v>111</v>
      </c>
      <c r="R14" s="664" t="s">
        <v>18</v>
      </c>
      <c r="S14" s="665">
        <f t="shared" si="0"/>
        <v>100</v>
      </c>
      <c r="T14" s="664" t="s">
        <v>18</v>
      </c>
      <c r="U14" s="665">
        <f t="shared" si="1"/>
        <v>100</v>
      </c>
      <c r="V14" s="664" t="s">
        <v>18</v>
      </c>
      <c r="W14" s="665">
        <f t="shared" si="2"/>
        <v>100</v>
      </c>
      <c r="X14" s="666"/>
      <c r="Y14" s="3362"/>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8" t="s">
        <v>1689</v>
      </c>
      <c r="Q15" s="1263" t="str">
        <f t="shared" si="6"/>
        <v>居住社区成熟度</v>
      </c>
      <c r="R15" s="667" t="s">
        <v>18</v>
      </c>
      <c r="S15" s="668">
        <f t="shared" si="0"/>
        <v>100</v>
      </c>
      <c r="T15" s="667" t="s">
        <v>18</v>
      </c>
      <c r="U15" s="668">
        <f t="shared" si="1"/>
        <v>100</v>
      </c>
      <c r="V15" s="667" t="s">
        <v>18</v>
      </c>
      <c r="W15" s="668">
        <f t="shared" si="2"/>
        <v>100</v>
      </c>
      <c r="X15" s="1265"/>
      <c r="Y15" s="3451"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9"/>
      <c r="Q16" s="1263"/>
      <c r="R16" s="667"/>
      <c r="S16" s="668"/>
      <c r="T16" s="667"/>
      <c r="U16" s="668"/>
      <c r="V16" s="667"/>
      <c r="W16" s="668"/>
      <c r="X16" s="1265"/>
      <c r="Y16" s="3452"/>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9"/>
      <c r="Q17" s="1263" t="str">
        <f>B17</f>
        <v>交通便捷度</v>
      </c>
      <c r="R17" s="667" t="s">
        <v>18</v>
      </c>
      <c r="S17" s="668">
        <f>F17</f>
        <v>100</v>
      </c>
      <c r="T17" s="667" t="s">
        <v>18</v>
      </c>
      <c r="U17" s="668">
        <f>H17</f>
        <v>100</v>
      </c>
      <c r="V17" s="667" t="s">
        <v>18</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9"/>
      <c r="Q18" s="1263"/>
      <c r="R18" s="667"/>
      <c r="S18" s="668"/>
      <c r="T18" s="667"/>
      <c r="U18" s="668"/>
      <c r="V18" s="667"/>
      <c r="W18" s="668"/>
      <c r="X18" s="1265"/>
      <c r="Y18" s="3452"/>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9"/>
      <c r="Q19" s="1263" t="str">
        <f>B19</f>
        <v>公共配套设施</v>
      </c>
      <c r="R19" s="667" t="s">
        <v>18</v>
      </c>
      <c r="S19" s="668">
        <f>F19</f>
        <v>100</v>
      </c>
      <c r="T19" s="667" t="s">
        <v>18</v>
      </c>
      <c r="U19" s="668">
        <f>H19</f>
        <v>100</v>
      </c>
      <c r="V19" s="667" t="s">
        <v>18</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9"/>
      <c r="Q20" s="1263"/>
      <c r="R20" s="667"/>
      <c r="S20" s="668"/>
      <c r="T20" s="667"/>
      <c r="U20" s="668"/>
      <c r="V20" s="667"/>
      <c r="W20" s="668"/>
      <c r="X20" s="1265"/>
      <c r="Y20" s="3452"/>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9"/>
      <c r="Q22" s="1263"/>
      <c r="R22" s="667"/>
      <c r="S22" s="668"/>
      <c r="T22" s="667"/>
      <c r="U22" s="668"/>
      <c r="V22" s="667"/>
      <c r="W22" s="668"/>
      <c r="X22" s="1265"/>
      <c r="Y22" s="3452"/>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9"/>
      <c r="Q23" s="1263" t="str">
        <f>B23</f>
        <v>自然及人文环境</v>
      </c>
      <c r="R23" s="667" t="s">
        <v>18</v>
      </c>
      <c r="S23" s="668">
        <f>F23</f>
        <v>100</v>
      </c>
      <c r="T23" s="667" t="s">
        <v>18</v>
      </c>
      <c r="U23" s="668">
        <f>H23</f>
        <v>100</v>
      </c>
      <c r="V23" s="667" t="s">
        <v>18</v>
      </c>
      <c r="W23" s="668">
        <f>J23</f>
        <v>100</v>
      </c>
      <c r="X23" s="1265"/>
      <c r="Y23" s="345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9"/>
      <c r="Q24" s="1263"/>
      <c r="R24" s="667"/>
      <c r="S24" s="668"/>
      <c r="T24" s="667"/>
      <c r="U24" s="668"/>
      <c r="V24" s="667"/>
      <c r="W24" s="668"/>
      <c r="X24" s="1265"/>
      <c r="Y24" s="3452"/>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2"/>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9"/>
      <c r="Q26" s="1263" t="str">
        <f t="shared" si="11"/>
        <v>朝向</v>
      </c>
      <c r="R26" s="667" t="s">
        <v>18</v>
      </c>
      <c r="S26" s="668">
        <f t="shared" si="12"/>
        <v>100</v>
      </c>
      <c r="T26" s="667" t="s">
        <v>18</v>
      </c>
      <c r="U26" s="668">
        <f t="shared" si="13"/>
        <v>100</v>
      </c>
      <c r="V26" s="667" t="s">
        <v>18</v>
      </c>
      <c r="W26" s="668">
        <f t="shared" si="14"/>
        <v>100</v>
      </c>
      <c r="X26" s="1265"/>
      <c r="Y26" s="345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9"/>
      <c r="Q27" s="530">
        <f t="shared" si="11"/>
        <v>111</v>
      </c>
      <c r="R27" s="664" t="s">
        <v>18</v>
      </c>
      <c r="S27" s="665">
        <f t="shared" si="12"/>
        <v>100</v>
      </c>
      <c r="T27" s="664" t="s">
        <v>18</v>
      </c>
      <c r="U27" s="665">
        <f t="shared" si="13"/>
        <v>100</v>
      </c>
      <c r="V27" s="664" t="s">
        <v>18</v>
      </c>
      <c r="W27" s="665">
        <f t="shared" si="14"/>
        <v>100</v>
      </c>
      <c r="X27" s="666"/>
      <c r="Y27" s="345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9"/>
      <c r="Q28" s="1263">
        <f t="shared" si="11"/>
        <v>111</v>
      </c>
      <c r="R28" s="667" t="s">
        <v>18</v>
      </c>
      <c r="S28" s="668">
        <f t="shared" si="12"/>
        <v>100</v>
      </c>
      <c r="T28" s="667" t="s">
        <v>18</v>
      </c>
      <c r="U28" s="668">
        <f t="shared" si="13"/>
        <v>100</v>
      </c>
      <c r="V28" s="667" t="s">
        <v>18</v>
      </c>
      <c r="W28" s="668">
        <f t="shared" si="14"/>
        <v>100</v>
      </c>
      <c r="X28" s="1265"/>
      <c r="Y28" s="345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9"/>
      <c r="Q29" s="1263">
        <f t="shared" si="11"/>
        <v>111</v>
      </c>
      <c r="R29" s="667" t="s">
        <v>18</v>
      </c>
      <c r="S29" s="668">
        <f t="shared" si="12"/>
        <v>100</v>
      </c>
      <c r="T29" s="667" t="s">
        <v>18</v>
      </c>
      <c r="U29" s="668">
        <f t="shared" si="13"/>
        <v>100</v>
      </c>
      <c r="V29" s="667" t="s">
        <v>18</v>
      </c>
      <c r="W29" s="668">
        <f t="shared" si="14"/>
        <v>100</v>
      </c>
      <c r="X29" s="1265"/>
      <c r="Y29" s="345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9"/>
      <c r="Q30" s="1263">
        <f t="shared" si="11"/>
        <v>111</v>
      </c>
      <c r="R30" s="667" t="s">
        <v>18</v>
      </c>
      <c r="S30" s="668">
        <f t="shared" si="12"/>
        <v>100</v>
      </c>
      <c r="T30" s="667" t="s">
        <v>18</v>
      </c>
      <c r="U30" s="668">
        <f t="shared" si="13"/>
        <v>100</v>
      </c>
      <c r="V30" s="667" t="s">
        <v>18</v>
      </c>
      <c r="W30" s="668">
        <f t="shared" si="14"/>
        <v>100</v>
      </c>
      <c r="X30" s="1265"/>
      <c r="Y30" s="345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9"/>
      <c r="Q31" s="1263">
        <f t="shared" si="11"/>
        <v>111</v>
      </c>
      <c r="R31" s="667" t="s">
        <v>18</v>
      </c>
      <c r="S31" s="668">
        <f t="shared" si="12"/>
        <v>100</v>
      </c>
      <c r="T31" s="667" t="s">
        <v>18</v>
      </c>
      <c r="U31" s="668">
        <f t="shared" si="13"/>
        <v>100</v>
      </c>
      <c r="V31" s="667" t="s">
        <v>18</v>
      </c>
      <c r="W31" s="668">
        <f t="shared" si="14"/>
        <v>100</v>
      </c>
      <c r="X31" s="1265"/>
      <c r="Y31" s="3452"/>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3" t="s">
        <v>1694</v>
      </c>
      <c r="Q32" s="1263" t="str">
        <f t="shared" si="11"/>
        <v>建筑类型</v>
      </c>
      <c r="R32" s="667" t="s">
        <v>18</v>
      </c>
      <c r="S32" s="668">
        <f t="shared" si="12"/>
        <v>100</v>
      </c>
      <c r="T32" s="667" t="s">
        <v>18</v>
      </c>
      <c r="U32" s="668">
        <f t="shared" si="13"/>
        <v>100</v>
      </c>
      <c r="V32" s="667" t="s">
        <v>18</v>
      </c>
      <c r="W32" s="668">
        <f t="shared" si="14"/>
        <v>100</v>
      </c>
      <c r="X32" s="1265"/>
      <c r="Y32" s="3456"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4"/>
      <c r="Q33" s="531" t="str">
        <f t="shared" si="11"/>
        <v>项目建筑规模</v>
      </c>
      <c r="R33" s="669" t="s">
        <v>18</v>
      </c>
      <c r="S33" s="670" t="e">
        <f t="shared" si="12"/>
        <v>#N/A</v>
      </c>
      <c r="T33" s="669" t="s">
        <v>18</v>
      </c>
      <c r="U33" s="670" t="e">
        <f t="shared" si="13"/>
        <v>#N/A</v>
      </c>
      <c r="V33" s="669" t="s">
        <v>18</v>
      </c>
      <c r="W33" s="670" t="e">
        <f t="shared" si="14"/>
        <v>#N/A</v>
      </c>
      <c r="X33" s="671"/>
      <c r="Y33" s="3456"/>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4"/>
      <c r="Q34" s="1263" t="str">
        <f t="shared" si="11"/>
        <v>建筑结构</v>
      </c>
      <c r="R34" s="667" t="s">
        <v>18</v>
      </c>
      <c r="S34" s="668">
        <f t="shared" si="12"/>
        <v>100</v>
      </c>
      <c r="T34" s="667" t="s">
        <v>18</v>
      </c>
      <c r="U34" s="668">
        <f t="shared" si="13"/>
        <v>100</v>
      </c>
      <c r="V34" s="667" t="s">
        <v>18</v>
      </c>
      <c r="W34" s="668">
        <f t="shared" si="14"/>
        <v>100</v>
      </c>
      <c r="X34" s="1265"/>
      <c r="Y34" s="3456"/>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4"/>
      <c r="Q35" s="1263" t="str">
        <f t="shared" si="11"/>
        <v>建筑品质</v>
      </c>
      <c r="R35" s="667" t="s">
        <v>18</v>
      </c>
      <c r="S35" s="668">
        <f t="shared" si="12"/>
        <v>100</v>
      </c>
      <c r="T35" s="667" t="s">
        <v>18</v>
      </c>
      <c r="U35" s="668">
        <f t="shared" si="13"/>
        <v>100</v>
      </c>
      <c r="V35" s="667" t="s">
        <v>18</v>
      </c>
      <c r="W35" s="668">
        <f t="shared" si="14"/>
        <v>100</v>
      </c>
      <c r="X35" s="1265"/>
      <c r="Y35" s="3456"/>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4"/>
      <c r="Q36" s="1263" t="str">
        <f t="shared" si="11"/>
        <v>公共部分装修</v>
      </c>
      <c r="R36" s="667" t="s">
        <v>18</v>
      </c>
      <c r="S36" s="668">
        <f t="shared" si="12"/>
        <v>100</v>
      </c>
      <c r="T36" s="667" t="s">
        <v>18</v>
      </c>
      <c r="U36" s="668">
        <f t="shared" si="13"/>
        <v>100</v>
      </c>
      <c r="V36" s="667" t="s">
        <v>18</v>
      </c>
      <c r="W36" s="668">
        <f t="shared" si="14"/>
        <v>100</v>
      </c>
      <c r="X36" s="1265"/>
      <c r="Y36" s="3456"/>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4"/>
      <c r="Q37" s="530" t="str">
        <f t="shared" si="11"/>
        <v>成新度</v>
      </c>
      <c r="R37" s="664" t="s">
        <v>18</v>
      </c>
      <c r="S37" s="665" t="e">
        <f t="shared" si="12"/>
        <v>#N/A</v>
      </c>
      <c r="T37" s="664" t="s">
        <v>18</v>
      </c>
      <c r="U37" s="665" t="e">
        <f t="shared" si="13"/>
        <v>#N/A</v>
      </c>
      <c r="V37" s="664" t="s">
        <v>18</v>
      </c>
      <c r="W37" s="665" t="e">
        <f t="shared" si="14"/>
        <v>#N/A</v>
      </c>
      <c r="X37" s="666"/>
      <c r="Y37" s="3456"/>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4" t="s">
        <v>1694</v>
      </c>
      <c r="Q38" s="1263" t="str">
        <f t="shared" si="11"/>
        <v>物业管理</v>
      </c>
      <c r="R38" s="667" t="s">
        <v>18</v>
      </c>
      <c r="S38" s="668">
        <f t="shared" si="12"/>
        <v>100</v>
      </c>
      <c r="T38" s="667" t="s">
        <v>18</v>
      </c>
      <c r="U38" s="668">
        <f t="shared" si="13"/>
        <v>100</v>
      </c>
      <c r="V38" s="667" t="s">
        <v>18</v>
      </c>
      <c r="W38" s="668">
        <f t="shared" si="14"/>
        <v>100</v>
      </c>
      <c r="X38" s="1265"/>
      <c r="Y38" s="3456"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4"/>
      <c r="Q39" s="1263" t="str">
        <f t="shared" si="11"/>
        <v>市政基础设施</v>
      </c>
      <c r="R39" s="667" t="s">
        <v>18</v>
      </c>
      <c r="S39" s="668">
        <f t="shared" si="12"/>
        <v>100</v>
      </c>
      <c r="T39" s="667" t="s">
        <v>18</v>
      </c>
      <c r="U39" s="668">
        <f t="shared" si="13"/>
        <v>100</v>
      </c>
      <c r="V39" s="667" t="s">
        <v>18</v>
      </c>
      <c r="W39" s="668">
        <f t="shared" si="14"/>
        <v>100</v>
      </c>
      <c r="X39" s="1265"/>
      <c r="Y39" s="3456"/>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4"/>
      <c r="Q40" s="1263" t="str">
        <f t="shared" si="11"/>
        <v>房型</v>
      </c>
      <c r="R40" s="667" t="s">
        <v>18</v>
      </c>
      <c r="S40" s="668">
        <f t="shared" si="12"/>
        <v>100</v>
      </c>
      <c r="T40" s="667" t="s">
        <v>18</v>
      </c>
      <c r="U40" s="668">
        <f t="shared" si="13"/>
        <v>100</v>
      </c>
      <c r="V40" s="667" t="s">
        <v>18</v>
      </c>
      <c r="W40" s="668">
        <f t="shared" si="14"/>
        <v>100</v>
      </c>
      <c r="X40" s="1265"/>
      <c r="Y40" s="3456"/>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4"/>
      <c r="Q41" s="531" t="str">
        <f t="shared" si="11"/>
        <v>单套/主力户型建筑面积</v>
      </c>
      <c r="R41" s="669" t="s">
        <v>18</v>
      </c>
      <c r="S41" s="670">
        <f t="shared" si="12"/>
        <v>100</v>
      </c>
      <c r="T41" s="669" t="s">
        <v>18</v>
      </c>
      <c r="U41" s="670">
        <f t="shared" si="13"/>
        <v>100</v>
      </c>
      <c r="V41" s="669" t="s">
        <v>18</v>
      </c>
      <c r="W41" s="670">
        <f t="shared" si="14"/>
        <v>100</v>
      </c>
      <c r="X41" s="671"/>
      <c r="Y41" s="3456"/>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4"/>
      <c r="Q42" s="1263" t="str">
        <f t="shared" si="11"/>
        <v>内部装修</v>
      </c>
      <c r="R42" s="667" t="s">
        <v>18</v>
      </c>
      <c r="S42" s="668">
        <f t="shared" si="12"/>
        <v>100</v>
      </c>
      <c r="T42" s="667" t="s">
        <v>18</v>
      </c>
      <c r="U42" s="668">
        <f t="shared" si="13"/>
        <v>100</v>
      </c>
      <c r="V42" s="667" t="s">
        <v>18</v>
      </c>
      <c r="W42" s="668">
        <f t="shared" si="14"/>
        <v>100</v>
      </c>
      <c r="X42" s="1265"/>
      <c r="Y42" s="3456"/>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4"/>
      <c r="Q43" s="1263" t="str">
        <f t="shared" si="11"/>
        <v>内部装修维护情况</v>
      </c>
      <c r="R43" s="667" t="s">
        <v>18</v>
      </c>
      <c r="S43" s="668">
        <f t="shared" si="12"/>
        <v>100</v>
      </c>
      <c r="T43" s="667" t="s">
        <v>18</v>
      </c>
      <c r="U43" s="668">
        <f t="shared" si="13"/>
        <v>100</v>
      </c>
      <c r="V43" s="667" t="s">
        <v>18</v>
      </c>
      <c r="W43" s="668">
        <f t="shared" si="14"/>
        <v>100</v>
      </c>
      <c r="X43" s="1265"/>
      <c r="Y43" s="345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4"/>
      <c r="Q44" s="530">
        <f t="shared" si="11"/>
        <v>111</v>
      </c>
      <c r="R44" s="664" t="s">
        <v>18</v>
      </c>
      <c r="S44" s="665">
        <f t="shared" si="12"/>
        <v>100</v>
      </c>
      <c r="T44" s="664" t="s">
        <v>18</v>
      </c>
      <c r="U44" s="665">
        <f t="shared" si="13"/>
        <v>100</v>
      </c>
      <c r="V44" s="664" t="s">
        <v>18</v>
      </c>
      <c r="W44" s="665">
        <f t="shared" si="14"/>
        <v>100</v>
      </c>
      <c r="X44" s="666"/>
      <c r="Y44" s="345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4"/>
      <c r="Q45" s="1263">
        <f t="shared" si="11"/>
        <v>111</v>
      </c>
      <c r="R45" s="667" t="s">
        <v>18</v>
      </c>
      <c r="S45" s="668">
        <f t="shared" si="12"/>
        <v>100</v>
      </c>
      <c r="T45" s="667" t="s">
        <v>18</v>
      </c>
      <c r="U45" s="668">
        <f t="shared" si="13"/>
        <v>100</v>
      </c>
      <c r="V45" s="667" t="s">
        <v>18</v>
      </c>
      <c r="W45" s="668">
        <f t="shared" si="14"/>
        <v>100</v>
      </c>
      <c r="X45" s="1265"/>
      <c r="Y45" s="345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5"/>
      <c r="Q46" s="1263">
        <f t="shared" si="11"/>
        <v>111</v>
      </c>
      <c r="R46" s="667" t="s">
        <v>17</v>
      </c>
      <c r="S46" s="668">
        <f t="shared" si="12"/>
        <v>100</v>
      </c>
      <c r="T46" s="667" t="s">
        <v>17</v>
      </c>
      <c r="U46" s="668">
        <f t="shared" si="13"/>
        <v>100</v>
      </c>
      <c r="V46" s="667" t="s">
        <v>17</v>
      </c>
      <c r="W46" s="668">
        <f t="shared" si="14"/>
        <v>100</v>
      </c>
      <c r="X46" s="1265"/>
      <c r="Y46" s="3457"/>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50" t="str">
        <f>A47</f>
        <v>成交单价（元/平方米）</v>
      </c>
      <c r="Q47" s="3450"/>
      <c r="R47" s="3445">
        <f>E47</f>
        <v>0</v>
      </c>
      <c r="S47" s="3445"/>
      <c r="T47" s="3445">
        <f>G47</f>
        <v>0</v>
      </c>
      <c r="U47" s="3445"/>
      <c r="V47" s="3445">
        <f>I47</f>
        <v>0</v>
      </c>
      <c r="W47" s="3445"/>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50" t="str">
        <f>A48</f>
        <v>比较价值（元/平方米）</v>
      </c>
      <c r="Q48" s="3450"/>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63" priority="14" stopIfTrue="1">
      <formula>$F$52="超过30%"</formula>
    </cfRule>
  </conditionalFormatting>
  <conditionalFormatting sqref="E53">
    <cfRule type="expression" dxfId="62" priority="11" stopIfTrue="1">
      <formula>$F$53="超过20%"</formula>
    </cfRule>
  </conditionalFormatting>
  <conditionalFormatting sqref="E54">
    <cfRule type="expression" dxfId="61" priority="10" stopIfTrue="1">
      <formula>$F$54="超过30%"</formula>
    </cfRule>
  </conditionalFormatting>
  <conditionalFormatting sqref="F7:F46 H7:H46 J7:J46">
    <cfRule type="cellIs" dxfId="60" priority="1" operator="notEqual">
      <formula>100</formula>
    </cfRule>
  </conditionalFormatting>
  <conditionalFormatting sqref="F48">
    <cfRule type="expression" dxfId="59" priority="4">
      <formula>$D$48="简单平均"</formula>
    </cfRule>
  </conditionalFormatting>
  <conditionalFormatting sqref="F52:F54 H52:H54 J52:J54">
    <cfRule type="containsText" dxfId="58" priority="15" stopIfTrue="1" operator="containsText" text="超过">
      <formula>NOT(ISERROR(SEARCH("超过",F52)))</formula>
    </cfRule>
  </conditionalFormatting>
  <conditionalFormatting sqref="G52">
    <cfRule type="expression" dxfId="57" priority="9" stopIfTrue="1">
      <formula>$H$52="超过30%"</formula>
    </cfRule>
  </conditionalFormatting>
  <conditionalFormatting sqref="G53">
    <cfRule type="expression" dxfId="56" priority="8" stopIfTrue="1">
      <formula>$H$53="超过20%"</formula>
    </cfRule>
  </conditionalFormatting>
  <conditionalFormatting sqref="G54">
    <cfRule type="expression" dxfId="55" priority="12" stopIfTrue="1">
      <formula>$H$54="超过30%"</formula>
    </cfRule>
  </conditionalFormatting>
  <conditionalFormatting sqref="H48">
    <cfRule type="expression" dxfId="54" priority="3">
      <formula>$D$48="简单平均"</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J48">
    <cfRule type="expression" dxfId="5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11841.610000000006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860"/>
      <c r="M4" s="861"/>
      <c r="N4" s="861"/>
      <c r="O4" s="861"/>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
        <v>1672</v>
      </c>
      <c r="F5" s="3425"/>
      <c r="G5" s="3426" t="s">
        <v>1673</v>
      </c>
      <c r="H5" s="3427"/>
      <c r="I5" s="3426" t="s">
        <v>1674</v>
      </c>
      <c r="J5" s="3427"/>
      <c r="K5" s="537"/>
      <c r="L5" s="860"/>
      <c r="M5" s="861"/>
      <c r="N5" s="861"/>
      <c r="O5" s="861"/>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537" t="s">
        <v>1676</v>
      </c>
      <c r="L6" s="860"/>
      <c r="M6" s="861"/>
      <c r="N6" s="861"/>
      <c r="O6" s="861"/>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1678</v>
      </c>
      <c r="Q7" s="3446"/>
      <c r="R7" s="664" t="s">
        <v>14</v>
      </c>
      <c r="S7" s="665">
        <f t="shared" ref="S7:S15" si="0">F7</f>
        <v>0</v>
      </c>
      <c r="T7" s="664" t="s">
        <v>14</v>
      </c>
      <c r="U7" s="665">
        <f t="shared" ref="U7:U15" si="1">H7</f>
        <v>0</v>
      </c>
      <c r="V7" s="664" t="s">
        <v>14</v>
      </c>
      <c r="W7" s="665">
        <f t="shared" ref="W7:W15" si="2">J7</f>
        <v>0</v>
      </c>
      <c r="X7" s="666"/>
      <c r="Y7" s="3418" t="s">
        <v>1678</v>
      </c>
      <c r="Z7" s="3419"/>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1681</v>
      </c>
      <c r="Q8" s="3419"/>
      <c r="R8" s="664" t="s">
        <v>14</v>
      </c>
      <c r="S8" s="665">
        <f t="shared" si="0"/>
        <v>100</v>
      </c>
      <c r="T8" s="664" t="s">
        <v>14</v>
      </c>
      <c r="U8" s="665">
        <f t="shared" si="1"/>
        <v>100</v>
      </c>
      <c r="V8" s="664" t="s">
        <v>14</v>
      </c>
      <c r="W8" s="665">
        <f t="shared" si="2"/>
        <v>100</v>
      </c>
      <c r="X8" s="666"/>
      <c r="Y8" s="3418" t="s">
        <v>1681</v>
      </c>
      <c r="Z8" s="3419"/>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50"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50"/>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50"/>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50"/>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50"/>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1" t="s">
        <v>1689</v>
      </c>
      <c r="Q15" s="1263" t="str">
        <f t="shared" si="6"/>
        <v>产业集聚程度</v>
      </c>
      <c r="R15" s="667" t="s">
        <v>14</v>
      </c>
      <c r="S15" s="668">
        <f t="shared" si="0"/>
        <v>100</v>
      </c>
      <c r="T15" s="667" t="s">
        <v>14</v>
      </c>
      <c r="U15" s="668">
        <f t="shared" si="1"/>
        <v>100</v>
      </c>
      <c r="V15" s="667" t="s">
        <v>14</v>
      </c>
      <c r="W15" s="668">
        <f t="shared" si="2"/>
        <v>100</v>
      </c>
      <c r="X15" s="1265"/>
      <c r="Y15" s="3451"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2"/>
      <c r="Q16" s="1263"/>
      <c r="R16" s="667"/>
      <c r="S16" s="668"/>
      <c r="T16" s="667"/>
      <c r="U16" s="668"/>
      <c r="V16" s="667"/>
      <c r="W16" s="668"/>
      <c r="X16" s="1265"/>
      <c r="Y16" s="3452"/>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2"/>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2"/>
      <c r="Q18" s="1263"/>
      <c r="R18" s="667"/>
      <c r="S18" s="668"/>
      <c r="T18" s="667"/>
      <c r="U18" s="668"/>
      <c r="V18" s="667"/>
      <c r="W18" s="668"/>
      <c r="X18" s="1265"/>
      <c r="Y18" s="3452"/>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2"/>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2"/>
      <c r="Q20" s="1263"/>
      <c r="R20" s="667"/>
      <c r="S20" s="668"/>
      <c r="T20" s="667"/>
      <c r="U20" s="668"/>
      <c r="V20" s="667"/>
      <c r="W20" s="668"/>
      <c r="X20" s="1265"/>
      <c r="Y20" s="3452"/>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2"/>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2"/>
      <c r="Q22" s="1263"/>
      <c r="R22" s="667"/>
      <c r="S22" s="668"/>
      <c r="T22" s="667"/>
      <c r="U22" s="668"/>
      <c r="V22" s="667"/>
      <c r="W22" s="668"/>
      <c r="X22" s="1265"/>
      <c r="Y22" s="3452"/>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2"/>
      <c r="Q23" s="1263" t="str">
        <f>B23</f>
        <v>环境质量</v>
      </c>
      <c r="R23" s="667" t="s">
        <v>14</v>
      </c>
      <c r="S23" s="668">
        <f>F23</f>
        <v>100</v>
      </c>
      <c r="T23" s="667" t="s">
        <v>14</v>
      </c>
      <c r="U23" s="668">
        <f>H23</f>
        <v>100</v>
      </c>
      <c r="V23" s="667" t="s">
        <v>14</v>
      </c>
      <c r="W23" s="668">
        <f>J23</f>
        <v>100</v>
      </c>
      <c r="X23" s="1265"/>
      <c r="Y23" s="345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2"/>
      <c r="Q24" s="1263"/>
      <c r="R24" s="667"/>
      <c r="S24" s="668"/>
      <c r="T24" s="667"/>
      <c r="U24" s="668"/>
      <c r="V24" s="667"/>
      <c r="W24" s="668"/>
      <c r="X24" s="1265"/>
      <c r="Y24" s="345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2"/>
      <c r="Q25" s="1263">
        <f>B25</f>
        <v>111</v>
      </c>
      <c r="R25" s="667" t="s">
        <v>14</v>
      </c>
      <c r="S25" s="668">
        <f>F25</f>
        <v>100</v>
      </c>
      <c r="T25" s="667" t="s">
        <v>14</v>
      </c>
      <c r="U25" s="668">
        <f>H25</f>
        <v>100</v>
      </c>
      <c r="V25" s="667" t="s">
        <v>14</v>
      </c>
      <c r="W25" s="668">
        <f>J25</f>
        <v>100</v>
      </c>
      <c r="X25" s="1265"/>
      <c r="Y25" s="345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2"/>
      <c r="Q26" s="1263">
        <f t="shared" ref="Q26:Q40" si="11">B26</f>
        <v>111</v>
      </c>
      <c r="R26" s="667" t="s">
        <v>14</v>
      </c>
      <c r="S26" s="668">
        <f>F26</f>
        <v>100</v>
      </c>
      <c r="T26" s="667" t="s">
        <v>14</v>
      </c>
      <c r="U26" s="668">
        <f>H26</f>
        <v>100</v>
      </c>
      <c r="V26" s="667" t="s">
        <v>14</v>
      </c>
      <c r="W26" s="668">
        <f>J26</f>
        <v>100</v>
      </c>
      <c r="X26" s="1265"/>
      <c r="Y26" s="345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2"/>
      <c r="Q27" s="530">
        <f t="shared" si="11"/>
        <v>111</v>
      </c>
      <c r="R27" s="664" t="s">
        <v>14</v>
      </c>
      <c r="S27" s="665">
        <f>F27</f>
        <v>100</v>
      </c>
      <c r="T27" s="664" t="s">
        <v>14</v>
      </c>
      <c r="U27" s="665">
        <f>H27</f>
        <v>100</v>
      </c>
      <c r="V27" s="664" t="s">
        <v>14</v>
      </c>
      <c r="W27" s="665">
        <f>J27</f>
        <v>100</v>
      </c>
      <c r="X27" s="666"/>
      <c r="Y27" s="345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2"/>
      <c r="Q28" s="1263">
        <f t="shared" si="11"/>
        <v>111</v>
      </c>
      <c r="R28" s="667" t="s">
        <v>14</v>
      </c>
      <c r="S28" s="668">
        <f t="shared" ref="S28:S40" si="12">F28</f>
        <v>100</v>
      </c>
      <c r="T28" s="667" t="s">
        <v>14</v>
      </c>
      <c r="U28" s="668">
        <f t="shared" ref="U28:U40" si="13">H28</f>
        <v>100</v>
      </c>
      <c r="V28" s="667" t="s">
        <v>14</v>
      </c>
      <c r="W28" s="668">
        <f t="shared" ref="W28:W40" si="14">J28</f>
        <v>100</v>
      </c>
      <c r="X28" s="1265"/>
      <c r="Y28" s="3452"/>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5" t="s">
        <v>1694</v>
      </c>
      <c r="Q29" s="1263" t="str">
        <f t="shared" si="11"/>
        <v>建筑类型</v>
      </c>
      <c r="R29" s="667" t="s">
        <v>14</v>
      </c>
      <c r="S29" s="668">
        <f t="shared" si="12"/>
        <v>100</v>
      </c>
      <c r="T29" s="667" t="s">
        <v>14</v>
      </c>
      <c r="U29" s="668">
        <f t="shared" si="13"/>
        <v>100</v>
      </c>
      <c r="V29" s="667" t="s">
        <v>14</v>
      </c>
      <c r="W29" s="668">
        <f t="shared" si="14"/>
        <v>100</v>
      </c>
      <c r="X29" s="1265"/>
      <c r="Y29" s="3456"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6"/>
      <c r="Q30" s="531" t="str">
        <f t="shared" si="11"/>
        <v>项目建筑规模</v>
      </c>
      <c r="R30" s="669" t="s">
        <v>14</v>
      </c>
      <c r="S30" s="670" t="e">
        <f t="shared" si="12"/>
        <v>#N/A</v>
      </c>
      <c r="T30" s="669" t="s">
        <v>14</v>
      </c>
      <c r="U30" s="670" t="e">
        <f t="shared" si="13"/>
        <v>#N/A</v>
      </c>
      <c r="V30" s="669" t="s">
        <v>14</v>
      </c>
      <c r="W30" s="670" t="e">
        <f t="shared" si="14"/>
        <v>#N/A</v>
      </c>
      <c r="X30" s="671"/>
      <c r="Y30" s="3456"/>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6"/>
      <c r="Q31" s="1263" t="str">
        <f t="shared" si="11"/>
        <v>建筑结构</v>
      </c>
      <c r="R31" s="667" t="s">
        <v>14</v>
      </c>
      <c r="S31" s="668">
        <f t="shared" si="12"/>
        <v>100</v>
      </c>
      <c r="T31" s="667" t="s">
        <v>14</v>
      </c>
      <c r="U31" s="668">
        <f t="shared" si="13"/>
        <v>100</v>
      </c>
      <c r="V31" s="667" t="s">
        <v>14</v>
      </c>
      <c r="W31" s="668">
        <f t="shared" si="14"/>
        <v>100</v>
      </c>
      <c r="X31" s="1265"/>
      <c r="Y31" s="3456"/>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6"/>
      <c r="Q32" s="1263" t="str">
        <f t="shared" si="11"/>
        <v>公共部分装修</v>
      </c>
      <c r="R32" s="667" t="s">
        <v>14</v>
      </c>
      <c r="S32" s="668">
        <f t="shared" si="12"/>
        <v>100</v>
      </c>
      <c r="T32" s="667" t="s">
        <v>14</v>
      </c>
      <c r="U32" s="668">
        <f t="shared" si="13"/>
        <v>100</v>
      </c>
      <c r="V32" s="667" t="s">
        <v>14</v>
      </c>
      <c r="W32" s="668">
        <f t="shared" si="14"/>
        <v>100</v>
      </c>
      <c r="X32" s="1265"/>
      <c r="Y32" s="3456"/>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6"/>
      <c r="Q33" s="1263" t="str">
        <f t="shared" si="11"/>
        <v>成新度</v>
      </c>
      <c r="R33" s="667" t="s">
        <v>14</v>
      </c>
      <c r="S33" s="668" t="e">
        <f t="shared" si="12"/>
        <v>#N/A</v>
      </c>
      <c r="T33" s="667" t="s">
        <v>14</v>
      </c>
      <c r="U33" s="668" t="e">
        <f t="shared" si="13"/>
        <v>#N/A</v>
      </c>
      <c r="V33" s="667" t="s">
        <v>14</v>
      </c>
      <c r="W33" s="668" t="e">
        <f t="shared" si="14"/>
        <v>#N/A</v>
      </c>
      <c r="X33" s="1265"/>
      <c r="Y33" s="3456"/>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6"/>
      <c r="Q34" s="530" t="str">
        <f t="shared" si="11"/>
        <v>物业管理</v>
      </c>
      <c r="R34" s="664" t="s">
        <v>14</v>
      </c>
      <c r="S34" s="665">
        <f t="shared" si="12"/>
        <v>100</v>
      </c>
      <c r="T34" s="664" t="s">
        <v>14</v>
      </c>
      <c r="U34" s="665">
        <f t="shared" si="13"/>
        <v>100</v>
      </c>
      <c r="V34" s="664" t="s">
        <v>14</v>
      </c>
      <c r="W34" s="665">
        <f t="shared" si="14"/>
        <v>100</v>
      </c>
      <c r="X34" s="666"/>
      <c r="Y34" s="3456"/>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6" t="s">
        <v>1694</v>
      </c>
      <c r="Q35" s="1263" t="str">
        <f t="shared" si="11"/>
        <v>市政基础设施</v>
      </c>
      <c r="R35" s="667" t="s">
        <v>14</v>
      </c>
      <c r="S35" s="668">
        <f t="shared" si="12"/>
        <v>100</v>
      </c>
      <c r="T35" s="667" t="s">
        <v>14</v>
      </c>
      <c r="U35" s="668">
        <f t="shared" si="13"/>
        <v>100</v>
      </c>
      <c r="V35" s="667" t="s">
        <v>14</v>
      </c>
      <c r="W35" s="668">
        <f t="shared" si="14"/>
        <v>100</v>
      </c>
      <c r="X35" s="1265"/>
      <c r="Y35" s="3456"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6"/>
      <c r="Q36" s="1263" t="str">
        <f t="shared" si="11"/>
        <v>内部装修</v>
      </c>
      <c r="R36" s="667" t="s">
        <v>14</v>
      </c>
      <c r="S36" s="668">
        <f t="shared" si="12"/>
        <v>100</v>
      </c>
      <c r="T36" s="667" t="s">
        <v>14</v>
      </c>
      <c r="U36" s="668">
        <f t="shared" si="13"/>
        <v>100</v>
      </c>
      <c r="V36" s="667" t="s">
        <v>14</v>
      </c>
      <c r="W36" s="668">
        <f t="shared" si="14"/>
        <v>100</v>
      </c>
      <c r="X36" s="1265"/>
      <c r="Y36" s="3456"/>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6"/>
      <c r="Q37" s="1263" t="str">
        <f t="shared" si="11"/>
        <v>内部装修状况</v>
      </c>
      <c r="R37" s="667" t="s">
        <v>14</v>
      </c>
      <c r="S37" s="668">
        <f t="shared" si="12"/>
        <v>100</v>
      </c>
      <c r="T37" s="667" t="s">
        <v>14</v>
      </c>
      <c r="U37" s="668">
        <f t="shared" si="13"/>
        <v>100</v>
      </c>
      <c r="V37" s="667" t="s">
        <v>14</v>
      </c>
      <c r="W37" s="668">
        <f t="shared" si="14"/>
        <v>100</v>
      </c>
      <c r="X37" s="1265"/>
      <c r="Y37" s="345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6"/>
      <c r="Q38" s="531">
        <f t="shared" si="11"/>
        <v>111</v>
      </c>
      <c r="R38" s="669" t="s">
        <v>14</v>
      </c>
      <c r="S38" s="670">
        <f t="shared" si="12"/>
        <v>100</v>
      </c>
      <c r="T38" s="669" t="s">
        <v>14</v>
      </c>
      <c r="U38" s="670">
        <f t="shared" si="13"/>
        <v>100</v>
      </c>
      <c r="V38" s="669" t="s">
        <v>14</v>
      </c>
      <c r="W38" s="670">
        <f t="shared" si="14"/>
        <v>100</v>
      </c>
      <c r="X38" s="671"/>
      <c r="Y38" s="345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6"/>
      <c r="Q39" s="1263">
        <f t="shared" si="11"/>
        <v>111</v>
      </c>
      <c r="R39" s="667" t="s">
        <v>14</v>
      </c>
      <c r="S39" s="668">
        <f t="shared" si="12"/>
        <v>100</v>
      </c>
      <c r="T39" s="667" t="s">
        <v>14</v>
      </c>
      <c r="U39" s="668">
        <f t="shared" si="13"/>
        <v>100</v>
      </c>
      <c r="V39" s="667" t="s">
        <v>14</v>
      </c>
      <c r="W39" s="668">
        <f t="shared" si="14"/>
        <v>100</v>
      </c>
      <c r="X39" s="1265"/>
      <c r="Y39" s="345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7"/>
      <c r="Q40" s="1263">
        <f t="shared" si="11"/>
        <v>111</v>
      </c>
      <c r="R40" s="667" t="s">
        <v>14</v>
      </c>
      <c r="S40" s="668">
        <f t="shared" si="12"/>
        <v>100</v>
      </c>
      <c r="T40" s="667" t="s">
        <v>14</v>
      </c>
      <c r="U40" s="668">
        <f t="shared" si="13"/>
        <v>100</v>
      </c>
      <c r="V40" s="667" t="s">
        <v>14</v>
      </c>
      <c r="W40" s="668">
        <f t="shared" si="14"/>
        <v>100</v>
      </c>
      <c r="X40" s="1265"/>
      <c r="Y40" s="3457"/>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50" t="str">
        <f>A41</f>
        <v>成交单价（元/平方米）</v>
      </c>
      <c r="Q41" s="3450"/>
      <c r="R41" s="3445">
        <f>E41</f>
        <v>0</v>
      </c>
      <c r="S41" s="3445"/>
      <c r="T41" s="3445">
        <f>G41</f>
        <v>0</v>
      </c>
      <c r="U41" s="3445"/>
      <c r="V41" s="3445">
        <f>I41</f>
        <v>0</v>
      </c>
      <c r="W41" s="3445"/>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50" t="str">
        <f>A42</f>
        <v>比较价值（元/平方米）</v>
      </c>
      <c r="Q42" s="3450"/>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3E38-7AEC-4D41-B233-13BD82805390}">
  <dimension ref="C2:Y73"/>
  <sheetViews>
    <sheetView workbookViewId="0">
      <selection activeCell="O63" sqref="O63"/>
    </sheetView>
  </sheetViews>
  <sheetFormatPr defaultRowHeight="13.5"/>
  <cols>
    <col min="1" max="3" width="9" style="3172"/>
    <col min="4" max="4" width="27.625" style="3186" bestFit="1" customWidth="1"/>
    <col min="5" max="5" width="10.5" style="3186" bestFit="1" customWidth="1"/>
    <col min="6" max="6" width="14.125" style="3186" customWidth="1"/>
    <col min="7" max="7" width="12.75" style="3186" bestFit="1" customWidth="1"/>
    <col min="8" max="8" width="11.75" style="3186" customWidth="1"/>
    <col min="9" max="9" width="15.5" style="3186" customWidth="1"/>
    <col min="10" max="11" width="9" style="3186"/>
    <col min="12" max="12" width="25.75" style="3186" customWidth="1"/>
    <col min="13" max="13" width="30.75" style="3186" bestFit="1" customWidth="1"/>
    <col min="14" max="14" width="13.875" style="3186" customWidth="1"/>
    <col min="15" max="16" width="9" style="3186"/>
    <col min="17" max="17" width="16" style="3186" customWidth="1"/>
    <col min="18" max="18" width="23" style="3186" customWidth="1"/>
    <col min="19" max="19" width="2.5" style="3186" bestFit="1" customWidth="1"/>
    <col min="20" max="20" width="24.5" style="3186" customWidth="1"/>
    <col min="21" max="21" width="30.75" style="3186" bestFit="1" customWidth="1"/>
    <col min="22" max="22" width="9" style="3186"/>
    <col min="23" max="16384" width="9" style="3172"/>
  </cols>
  <sheetData>
    <row r="2" spans="3:22" s="3184" customFormat="1" ht="54">
      <c r="D2" s="3185" t="s">
        <v>4674</v>
      </c>
      <c r="E2" s="3185" t="s">
        <v>4675</v>
      </c>
      <c r="F2" s="3185"/>
      <c r="G2" s="3185"/>
      <c r="H2" s="3185"/>
      <c r="I2" s="3185"/>
      <c r="J2" s="3185"/>
      <c r="K2" s="3185"/>
      <c r="L2" s="3185" t="s">
        <v>4674</v>
      </c>
      <c r="M2" s="3185" t="s">
        <v>4676</v>
      </c>
      <c r="N2" s="3185"/>
      <c r="O2" s="3185"/>
      <c r="P2" s="3185"/>
      <c r="Q2" s="3185"/>
      <c r="R2" s="3185"/>
      <c r="S2" s="3185"/>
      <c r="T2" s="3185" t="s">
        <v>4674</v>
      </c>
      <c r="U2" s="3185" t="s">
        <v>4677</v>
      </c>
      <c r="V2" s="3185"/>
    </row>
    <row r="3" spans="3:22">
      <c r="C3" s="3172" t="s">
        <v>4678</v>
      </c>
      <c r="D3" s="3186" t="s">
        <v>4679</v>
      </c>
      <c r="E3" s="3186" t="s">
        <v>4680</v>
      </c>
      <c r="K3" s="3186" t="s">
        <v>4681</v>
      </c>
      <c r="L3" s="3186" t="s">
        <v>4682</v>
      </c>
      <c r="M3" s="3186" t="s">
        <v>4683</v>
      </c>
      <c r="S3" s="3186" t="s">
        <v>4684</v>
      </c>
      <c r="T3" s="3186" t="s">
        <v>4685</v>
      </c>
      <c r="U3" s="3186" t="s">
        <v>4683</v>
      </c>
    </row>
    <row r="4" spans="3:22">
      <c r="C4" s="3172" t="s">
        <v>4281</v>
      </c>
      <c r="D4" s="3186">
        <v>3195</v>
      </c>
      <c r="J4" s="3186" t="s">
        <v>4318</v>
      </c>
      <c r="L4" s="3186">
        <v>6125</v>
      </c>
      <c r="R4" s="3186" t="s">
        <v>4300</v>
      </c>
      <c r="T4" s="3186">
        <v>2967</v>
      </c>
    </row>
    <row r="5" spans="3:22">
      <c r="D5" s="3186" t="s">
        <v>4686</v>
      </c>
      <c r="E5" s="3186">
        <v>26000000</v>
      </c>
      <c r="L5" s="3186" t="s">
        <v>4686</v>
      </c>
      <c r="M5" s="3186">
        <v>56170000</v>
      </c>
      <c r="T5" s="3186" t="s">
        <v>4686</v>
      </c>
      <c r="U5" s="3186">
        <v>22000000</v>
      </c>
    </row>
    <row r="6" spans="3:22">
      <c r="D6" s="3186" t="s">
        <v>654</v>
      </c>
      <c r="E6" s="3186">
        <v>80000000</v>
      </c>
      <c r="L6" s="3186" t="s">
        <v>654</v>
      </c>
      <c r="M6" s="3186">
        <v>200000000</v>
      </c>
      <c r="T6" s="3186" t="s">
        <v>654</v>
      </c>
      <c r="U6" s="3186">
        <v>70000000</v>
      </c>
    </row>
    <row r="9" spans="3:22" s="3187" customFormat="1" ht="40.5">
      <c r="D9" s="3188" t="s">
        <v>4687</v>
      </c>
      <c r="E9" s="3188" t="s">
        <v>4688</v>
      </c>
      <c r="F9" s="3188"/>
      <c r="G9" s="3188"/>
      <c r="H9" s="3188"/>
      <c r="I9" s="3188"/>
      <c r="J9" s="3188"/>
      <c r="K9" s="3188"/>
      <c r="L9" s="3188" t="s">
        <v>4687</v>
      </c>
      <c r="M9" s="3188" t="s">
        <v>4689</v>
      </c>
      <c r="N9" s="3188"/>
      <c r="O9" s="3188"/>
      <c r="P9" s="3188"/>
      <c r="Q9" s="3188"/>
      <c r="R9" s="3188"/>
      <c r="S9" s="3188"/>
      <c r="T9" s="3188" t="s">
        <v>4687</v>
      </c>
      <c r="U9" s="3188" t="s">
        <v>4690</v>
      </c>
      <c r="V9" s="3188"/>
    </row>
    <row r="10" spans="3:22">
      <c r="D10" s="3186" t="s">
        <v>4691</v>
      </c>
      <c r="L10" s="3186" t="s">
        <v>4691</v>
      </c>
      <c r="T10" s="3186" t="s">
        <v>4691</v>
      </c>
    </row>
    <row r="11" spans="3:22" ht="27">
      <c r="D11" s="3186" t="s">
        <v>4692</v>
      </c>
      <c r="L11" s="3186" t="s">
        <v>4693</v>
      </c>
      <c r="T11" s="3186" t="s">
        <v>4694</v>
      </c>
    </row>
    <row r="12" spans="3:22" ht="27">
      <c r="D12" s="3186" t="s">
        <v>4695</v>
      </c>
      <c r="L12" s="3186" t="s">
        <v>4695</v>
      </c>
      <c r="T12" s="3186" t="s">
        <v>4695</v>
      </c>
    </row>
    <row r="13" spans="3:22">
      <c r="D13" s="3186" t="s">
        <v>4696</v>
      </c>
      <c r="E13" s="3186">
        <v>1889</v>
      </c>
      <c r="L13" s="3186" t="s">
        <v>4696</v>
      </c>
      <c r="M13" s="3186">
        <v>5425</v>
      </c>
      <c r="T13" s="3186" t="s">
        <v>4696</v>
      </c>
      <c r="U13" s="3186">
        <v>2109</v>
      </c>
    </row>
    <row r="14" spans="3:22">
      <c r="D14" s="3186" t="s">
        <v>4697</v>
      </c>
      <c r="E14" s="3186">
        <v>3195</v>
      </c>
      <c r="L14" s="3186" t="s">
        <v>4697</v>
      </c>
      <c r="M14" s="3186">
        <v>6125</v>
      </c>
      <c r="T14" s="3186" t="s">
        <v>4697</v>
      </c>
      <c r="U14" s="3186">
        <v>2967</v>
      </c>
    </row>
    <row r="15" spans="3:22">
      <c r="D15" s="3186" t="s">
        <v>4698</v>
      </c>
      <c r="E15" s="3186">
        <v>11183</v>
      </c>
      <c r="L15" s="3186" t="s">
        <v>4698</v>
      </c>
      <c r="M15" s="3186">
        <v>35525</v>
      </c>
      <c r="T15" s="3186" t="s">
        <v>4698</v>
      </c>
      <c r="U15" s="3186">
        <v>9494</v>
      </c>
    </row>
    <row r="16" spans="3:22">
      <c r="D16" s="3186" t="s">
        <v>4699</v>
      </c>
      <c r="E16" s="3186">
        <v>4473</v>
      </c>
      <c r="L16" s="3186" t="s">
        <v>4699</v>
      </c>
      <c r="M16" s="3186">
        <v>14088</v>
      </c>
      <c r="T16" s="3186" t="s">
        <v>4699</v>
      </c>
      <c r="U16" s="3186">
        <v>3857</v>
      </c>
    </row>
    <row r="20" spans="4:25" s="3190" customFormat="1" ht="40.5">
      <c r="D20" s="3189" t="s">
        <v>4700</v>
      </c>
      <c r="E20" s="3189" t="s">
        <v>4701</v>
      </c>
      <c r="F20" s="3189"/>
      <c r="G20" s="3189"/>
      <c r="H20" s="3189"/>
      <c r="I20" s="3189"/>
      <c r="J20" s="3189"/>
      <c r="K20" s="3189"/>
      <c r="L20" s="3189" t="s">
        <v>4700</v>
      </c>
      <c r="M20" s="3189" t="s">
        <v>4702</v>
      </c>
      <c r="N20" s="3189"/>
      <c r="O20" s="3189"/>
      <c r="P20" s="3189"/>
      <c r="Q20" s="3189"/>
      <c r="R20" s="3189"/>
      <c r="S20" s="3189"/>
      <c r="T20" s="3189" t="s">
        <v>4700</v>
      </c>
      <c r="U20" s="3189" t="s">
        <v>4703</v>
      </c>
      <c r="V20" s="3189"/>
    </row>
    <row r="21" spans="4:25" ht="27">
      <c r="D21" s="3186" t="s">
        <v>4704</v>
      </c>
      <c r="L21" s="3186" t="s">
        <v>4704</v>
      </c>
      <c r="T21" s="3186" t="s">
        <v>4704</v>
      </c>
    </row>
    <row r="22" spans="4:25">
      <c r="D22" s="3186" t="s">
        <v>4705</v>
      </c>
      <c r="L22" s="3186" t="s">
        <v>4683</v>
      </c>
      <c r="T22" s="3186" t="s">
        <v>4683</v>
      </c>
    </row>
    <row r="23" spans="4:25">
      <c r="D23" s="3186" t="s">
        <v>4706</v>
      </c>
      <c r="E23" s="3191">
        <v>66242</v>
      </c>
      <c r="L23" s="3186" t="s">
        <v>4706</v>
      </c>
      <c r="M23" s="3191">
        <v>55284</v>
      </c>
      <c r="T23" s="3186" t="s">
        <v>4706</v>
      </c>
      <c r="U23" s="3191">
        <v>55284</v>
      </c>
    </row>
    <row r="24" spans="4:25">
      <c r="D24" s="3186" t="s">
        <v>4707</v>
      </c>
      <c r="E24" s="3186">
        <v>3195</v>
      </c>
      <c r="L24" s="3186" t="s">
        <v>4707</v>
      </c>
      <c r="M24" s="3186">
        <v>6125</v>
      </c>
      <c r="T24" s="3186" t="s">
        <v>4707</v>
      </c>
      <c r="U24" s="3186">
        <v>2967</v>
      </c>
    </row>
    <row r="28" spans="4:25" s="3193" customFormat="1" ht="40.5">
      <c r="D28" s="3192" t="s">
        <v>4708</v>
      </c>
      <c r="E28" s="3192" t="s">
        <v>4709</v>
      </c>
      <c r="F28" s="3192"/>
      <c r="G28" s="3192"/>
      <c r="H28" s="3192"/>
      <c r="I28" s="3192"/>
      <c r="J28" s="3192"/>
      <c r="K28" s="3192"/>
      <c r="L28" s="3192" t="s">
        <v>4708</v>
      </c>
      <c r="M28" s="3192" t="s">
        <v>4710</v>
      </c>
      <c r="N28" s="3192"/>
      <c r="O28" s="3192"/>
      <c r="P28" s="3192"/>
      <c r="Q28" s="3192"/>
      <c r="R28" s="3192"/>
      <c r="S28" s="3192"/>
      <c r="T28" s="3192" t="s">
        <v>4708</v>
      </c>
      <c r="U28" s="3192" t="s">
        <v>4711</v>
      </c>
      <c r="V28" s="3192"/>
      <c r="W28" s="3192"/>
      <c r="X28" s="3192"/>
      <c r="Y28" s="3192"/>
    </row>
    <row r="29" spans="4:25">
      <c r="D29" s="3186" t="s">
        <v>4691</v>
      </c>
      <c r="L29" s="3186" t="s">
        <v>4691</v>
      </c>
      <c r="T29" s="3186" t="s">
        <v>4691</v>
      </c>
      <c r="W29" s="3186"/>
      <c r="X29" s="3186"/>
      <c r="Y29" s="3186"/>
    </row>
    <row r="30" spans="4:25" ht="27">
      <c r="D30" s="3186" t="s">
        <v>4712</v>
      </c>
      <c r="L30" s="3186" t="s">
        <v>4713</v>
      </c>
      <c r="T30" s="3186" t="s">
        <v>4714</v>
      </c>
      <c r="W30" s="3186"/>
      <c r="X30" s="3186"/>
      <c r="Y30" s="3186"/>
    </row>
    <row r="31" spans="4:25" ht="27">
      <c r="D31" s="3186" t="s">
        <v>4695</v>
      </c>
      <c r="L31" s="3186" t="s">
        <v>4695</v>
      </c>
      <c r="T31" s="3186" t="s">
        <v>4695</v>
      </c>
      <c r="W31" s="3186"/>
      <c r="X31" s="3186"/>
      <c r="Y31" s="3186"/>
    </row>
    <row r="32" spans="4:25">
      <c r="D32" s="3186" t="s">
        <v>4715</v>
      </c>
      <c r="E32" s="3186">
        <v>17555.5</v>
      </c>
      <c r="F32" s="3186" t="s">
        <v>2550</v>
      </c>
      <c r="G32" s="3186" t="s">
        <v>4716</v>
      </c>
      <c r="L32" s="3186" t="s">
        <v>4715</v>
      </c>
      <c r="M32" s="3194">
        <v>48840.6</v>
      </c>
      <c r="N32" s="3186" t="s">
        <v>4286</v>
      </c>
      <c r="O32" s="3186" t="s">
        <v>2810</v>
      </c>
      <c r="P32" s="3186" t="s">
        <v>4304</v>
      </c>
      <c r="T32" s="3186" t="s">
        <v>4715</v>
      </c>
      <c r="U32" s="3194">
        <v>12504.8</v>
      </c>
      <c r="V32" s="3186" t="s">
        <v>4286</v>
      </c>
      <c r="W32" s="3186" t="s">
        <v>4304</v>
      </c>
      <c r="X32" s="3186"/>
      <c r="Y32" s="3186"/>
    </row>
    <row r="33" spans="4:25" ht="40.5">
      <c r="E33" s="3186">
        <v>11182.5</v>
      </c>
      <c r="F33" s="3186">
        <v>8236.2000000000007</v>
      </c>
      <c r="G33" s="3186">
        <v>2946.3</v>
      </c>
      <c r="H33" s="3186" t="s">
        <v>4717</v>
      </c>
      <c r="L33" s="3195" t="s">
        <v>3389</v>
      </c>
      <c r="M33" s="3186">
        <v>35525</v>
      </c>
      <c r="N33" s="3186">
        <v>7745.5</v>
      </c>
      <c r="O33" s="3186">
        <v>20660.599999999999</v>
      </c>
      <c r="P33" s="3186">
        <v>7118.9</v>
      </c>
      <c r="Q33" s="3186" t="s">
        <v>4718</v>
      </c>
      <c r="T33" s="3195" t="s">
        <v>3389</v>
      </c>
      <c r="U33" s="3186">
        <v>9494.4</v>
      </c>
      <c r="V33" s="3186">
        <v>1559.9</v>
      </c>
      <c r="W33" s="3186">
        <v>7934.5</v>
      </c>
      <c r="X33" s="3186" t="s">
        <v>4719</v>
      </c>
      <c r="Y33" s="3186"/>
    </row>
    <row r="34" spans="4:25" ht="54">
      <c r="E34" s="3186">
        <v>6373</v>
      </c>
      <c r="F34" s="3186" t="s">
        <v>4720</v>
      </c>
      <c r="I34" s="3186" t="s">
        <v>4721</v>
      </c>
      <c r="L34" s="3195" t="s">
        <v>3390</v>
      </c>
      <c r="M34" s="3186">
        <v>13315.6</v>
      </c>
      <c r="N34" s="3186" t="s">
        <v>4722</v>
      </c>
      <c r="Q34" s="3186" t="s">
        <v>4723</v>
      </c>
      <c r="T34" s="3195" t="s">
        <v>3390</v>
      </c>
      <c r="U34" s="3186">
        <v>3010.4</v>
      </c>
      <c r="W34" s="3186"/>
      <c r="X34" s="3186"/>
      <c r="Y34" s="3186" t="s">
        <v>4724</v>
      </c>
    </row>
    <row r="35" spans="4:25">
      <c r="D35" s="3186" t="s">
        <v>4725</v>
      </c>
      <c r="E35" s="3186">
        <v>3195</v>
      </c>
      <c r="L35" s="3186" t="s">
        <v>4725</v>
      </c>
      <c r="M35" s="3194">
        <v>6125</v>
      </c>
      <c r="T35" s="3186" t="s">
        <v>4725</v>
      </c>
      <c r="U35" s="3194">
        <v>2967</v>
      </c>
      <c r="W35" s="3186"/>
      <c r="X35" s="3186"/>
      <c r="Y35" s="3186"/>
    </row>
    <row r="36" spans="4:25">
      <c r="D36" s="3186" t="s">
        <v>4726</v>
      </c>
      <c r="E36" s="3186">
        <v>3.5</v>
      </c>
      <c r="L36" s="3186" t="s">
        <v>4726</v>
      </c>
      <c r="M36" s="3194">
        <v>5.8</v>
      </c>
      <c r="T36" s="3186" t="s">
        <v>4726</v>
      </c>
      <c r="U36" s="3194">
        <v>3.2</v>
      </c>
      <c r="W36" s="3186"/>
      <c r="X36" s="3186"/>
      <c r="Y36" s="3186"/>
    </row>
    <row r="37" spans="4:25">
      <c r="D37" s="3186" t="s">
        <v>4727</v>
      </c>
      <c r="E37" s="3186">
        <v>1.4</v>
      </c>
      <c r="L37" s="3186" t="s">
        <v>4727</v>
      </c>
      <c r="M37" s="3194">
        <v>1.6</v>
      </c>
      <c r="T37" s="3186" t="s">
        <v>4727</v>
      </c>
      <c r="U37" s="3194">
        <v>1.1000000000000001</v>
      </c>
      <c r="W37" s="3186"/>
      <c r="X37" s="3186"/>
      <c r="Y37" s="3186"/>
    </row>
    <row r="38" spans="4:25">
      <c r="D38" s="3186" t="s">
        <v>4728</v>
      </c>
      <c r="E38" s="3196">
        <v>0.35</v>
      </c>
      <c r="L38" s="3186" t="s">
        <v>4728</v>
      </c>
      <c r="M38" s="3197">
        <v>0.35</v>
      </c>
      <c r="T38" s="3186" t="s">
        <v>4728</v>
      </c>
      <c r="U38" s="3197">
        <v>0.35</v>
      </c>
      <c r="W38" s="3186"/>
      <c r="X38" s="3186"/>
      <c r="Y38" s="3186"/>
    </row>
    <row r="39" spans="4:25">
      <c r="D39" s="3186" t="s">
        <v>4729</v>
      </c>
      <c r="E39" s="3196">
        <v>0.25</v>
      </c>
      <c r="L39" s="3186" t="s">
        <v>4729</v>
      </c>
      <c r="M39" s="3197">
        <v>0.25</v>
      </c>
      <c r="T39" s="3186" t="s">
        <v>4729</v>
      </c>
      <c r="U39" s="3197">
        <v>0.25</v>
      </c>
      <c r="W39" s="3186"/>
      <c r="X39" s="3186"/>
      <c r="Y39" s="3186"/>
    </row>
    <row r="40" spans="4:25">
      <c r="U40" s="3194"/>
    </row>
    <row r="47" spans="4:25" s="3198" customFormat="1" ht="27">
      <c r="D47" s="3199" t="s">
        <v>4730</v>
      </c>
      <c r="E47" s="3199" t="s">
        <v>4731</v>
      </c>
      <c r="F47" s="3199"/>
      <c r="G47" s="3200">
        <v>41789</v>
      </c>
      <c r="H47" s="3199"/>
      <c r="I47" s="3199"/>
      <c r="J47" s="3199"/>
      <c r="K47" s="3199"/>
      <c r="L47" s="3199"/>
      <c r="M47" s="3199"/>
      <c r="N47" s="3199"/>
      <c r="O47" s="3199"/>
      <c r="P47" s="3199"/>
      <c r="Q47" s="3199"/>
      <c r="R47" s="3199"/>
      <c r="S47" s="3199"/>
      <c r="T47" s="3199"/>
      <c r="U47" s="3199"/>
      <c r="V47" s="3199"/>
    </row>
    <row r="48" spans="4:25">
      <c r="D48" s="3186" t="s">
        <v>4732</v>
      </c>
    </row>
    <row r="49" spans="4:23" ht="27">
      <c r="D49" s="3186" t="s">
        <v>4733</v>
      </c>
    </row>
    <row r="50" spans="4:23">
      <c r="D50" s="3186" t="s">
        <v>4734</v>
      </c>
      <c r="E50" s="3186">
        <v>78363</v>
      </c>
    </row>
    <row r="51" spans="4:23">
      <c r="D51" s="3186" t="s">
        <v>4735</v>
      </c>
      <c r="E51" s="3186">
        <v>20569</v>
      </c>
      <c r="F51" s="3186">
        <f>E51/E50</f>
        <v>0.26248357005219297</v>
      </c>
    </row>
    <row r="52" spans="4:23" ht="54">
      <c r="D52" s="3186" t="s">
        <v>4736</v>
      </c>
      <c r="E52" s="3186" t="s">
        <v>4737</v>
      </c>
    </row>
    <row r="53" spans="4:23" ht="40.5">
      <c r="D53" s="3186" t="s">
        <v>4738</v>
      </c>
      <c r="E53" s="3186" t="s">
        <v>4739</v>
      </c>
    </row>
    <row r="56" spans="4:23" s="3202" customFormat="1" ht="27">
      <c r="D56" s="3201" t="s">
        <v>4740</v>
      </c>
      <c r="E56" s="3201" t="s">
        <v>4741</v>
      </c>
      <c r="F56" s="3201"/>
      <c r="G56" s="3201"/>
      <c r="H56" s="3201"/>
      <c r="I56" s="3201"/>
      <c r="J56" s="3201"/>
      <c r="K56" s="3201"/>
      <c r="L56" s="3201" t="s">
        <v>4740</v>
      </c>
      <c r="M56" s="3201" t="s">
        <v>4742</v>
      </c>
      <c r="N56" s="3201"/>
      <c r="O56" s="3201"/>
      <c r="P56" s="3201"/>
      <c r="Q56" s="3201"/>
      <c r="R56" s="3201"/>
      <c r="S56" s="3201"/>
      <c r="T56" s="3201" t="s">
        <v>4740</v>
      </c>
      <c r="U56" s="3201" t="s">
        <v>4743</v>
      </c>
      <c r="V56" s="3201"/>
      <c r="W56" s="3201"/>
    </row>
    <row r="57" spans="4:23" ht="27">
      <c r="D57" s="3186" t="s">
        <v>4712</v>
      </c>
      <c r="L57" s="3186" t="s">
        <v>4744</v>
      </c>
      <c r="T57" s="3186" t="s">
        <v>4714</v>
      </c>
      <c r="W57" s="3186"/>
    </row>
    <row r="58" spans="4:23">
      <c r="D58" s="3186" t="s">
        <v>4745</v>
      </c>
      <c r="E58" s="3186" t="s">
        <v>4746</v>
      </c>
      <c r="L58" s="3186" t="s">
        <v>4747</v>
      </c>
      <c r="M58" s="3186" t="s">
        <v>4748</v>
      </c>
      <c r="T58" s="3186" t="s">
        <v>4747</v>
      </c>
      <c r="U58" s="3186">
        <v>11</v>
      </c>
      <c r="W58" s="3186"/>
    </row>
    <row r="59" spans="4:23">
      <c r="D59" s="3186" t="s">
        <v>4749</v>
      </c>
      <c r="E59" s="3186">
        <v>13978.58</v>
      </c>
      <c r="L59" s="3186" t="s">
        <v>4749</v>
      </c>
      <c r="M59" s="3186">
        <v>38454.589999999997</v>
      </c>
      <c r="T59" s="3186" t="s">
        <v>4749</v>
      </c>
      <c r="U59" s="3186">
        <v>9546.73</v>
      </c>
      <c r="W59" s="3186"/>
    </row>
    <row r="60" spans="4:23">
      <c r="D60" s="3186" t="s">
        <v>2550</v>
      </c>
      <c r="E60" s="3186">
        <v>8265.2999999999993</v>
      </c>
      <c r="F60" s="3186">
        <v>65</v>
      </c>
      <c r="G60" s="3186">
        <f>E60/F60</f>
        <v>127.15846153846152</v>
      </c>
      <c r="L60" s="3186" t="s">
        <v>4286</v>
      </c>
      <c r="M60" s="3186">
        <v>7738.09</v>
      </c>
      <c r="N60" s="3186">
        <v>125</v>
      </c>
      <c r="O60" s="3186">
        <f>M60/N60</f>
        <v>61.904720000000005</v>
      </c>
      <c r="T60" s="3186" t="s">
        <v>4286</v>
      </c>
      <c r="U60" s="3186">
        <v>1475.38</v>
      </c>
      <c r="V60" s="3186">
        <v>8</v>
      </c>
      <c r="W60" s="3186">
        <f>U60/V60</f>
        <v>184.42250000000001</v>
      </c>
    </row>
    <row r="61" spans="4:23">
      <c r="D61" s="3186" t="s">
        <v>4286</v>
      </c>
      <c r="E61" s="3186">
        <v>2867.23</v>
      </c>
      <c r="F61" s="3186">
        <v>75</v>
      </c>
      <c r="G61" s="3186">
        <f t="shared" ref="G61:G62" si="0">E61/F61</f>
        <v>38.229733333333336</v>
      </c>
      <c r="L61" s="3186" t="s">
        <v>2810</v>
      </c>
      <c r="M61" s="3186">
        <v>20170.27</v>
      </c>
      <c r="N61" s="3186">
        <v>327</v>
      </c>
      <c r="O61" s="3186">
        <f t="shared" ref="O61:O63" si="1">M61/N61</f>
        <v>61.682782874617736</v>
      </c>
      <c r="T61" s="3186" t="s">
        <v>4304</v>
      </c>
      <c r="U61" s="3186">
        <v>8071.35</v>
      </c>
      <c r="V61" s="3186">
        <v>183</v>
      </c>
      <c r="W61" s="3186">
        <f t="shared" ref="W61" si="2">U61/V61</f>
        <v>44.105737704918035</v>
      </c>
    </row>
    <row r="62" spans="4:23">
      <c r="D62" s="3186" t="s">
        <v>4750</v>
      </c>
      <c r="E62" s="3186">
        <v>2846.05</v>
      </c>
      <c r="F62" s="3186">
        <v>56</v>
      </c>
      <c r="G62" s="3186">
        <f t="shared" si="0"/>
        <v>50.822321428571435</v>
      </c>
      <c r="L62" s="3186" t="s">
        <v>4304</v>
      </c>
      <c r="M62" s="3186">
        <v>6694.68</v>
      </c>
      <c r="N62" s="3186">
        <v>140</v>
      </c>
      <c r="O62" s="3186">
        <f t="shared" si="1"/>
        <v>47.819142857142857</v>
      </c>
    </row>
    <row r="63" spans="4:23">
      <c r="L63" s="3186" t="s">
        <v>4750</v>
      </c>
      <c r="M63" s="3186">
        <v>3851.55</v>
      </c>
      <c r="N63" s="3186">
        <v>98</v>
      </c>
      <c r="O63" s="3186">
        <f t="shared" si="1"/>
        <v>39.301530612244903</v>
      </c>
    </row>
    <row r="65" spans="4:22" s="3187" customFormat="1">
      <c r="D65" s="3188"/>
      <c r="E65" s="3188"/>
      <c r="F65" s="3188"/>
      <c r="G65" s="3188"/>
      <c r="H65" s="3188"/>
      <c r="I65" s="3188"/>
      <c r="J65" s="3188"/>
      <c r="K65" s="3188"/>
      <c r="L65" s="3188"/>
      <c r="M65" s="3188"/>
      <c r="N65" s="3188"/>
      <c r="O65" s="3188"/>
      <c r="P65" s="3188"/>
      <c r="Q65" s="3188"/>
      <c r="R65" s="3188"/>
      <c r="S65" s="3188"/>
      <c r="T65" s="3188" t="s">
        <v>4751</v>
      </c>
      <c r="U65" s="3188" t="s">
        <v>4752</v>
      </c>
      <c r="V65" s="3188"/>
    </row>
    <row r="66" spans="4:22">
      <c r="T66" s="3186" t="s">
        <v>4753</v>
      </c>
      <c r="U66" s="3194">
        <v>12504.8</v>
      </c>
    </row>
    <row r="67" spans="4:22">
      <c r="T67" s="3195" t="s">
        <v>3389</v>
      </c>
      <c r="U67" s="3186">
        <v>9494.4</v>
      </c>
    </row>
    <row r="68" spans="4:22">
      <c r="T68" s="3195" t="s">
        <v>3390</v>
      </c>
      <c r="U68" s="3186">
        <v>3010.4</v>
      </c>
    </row>
    <row r="69" spans="4:22">
      <c r="T69" s="3186" t="s">
        <v>4754</v>
      </c>
      <c r="U69" s="3194">
        <v>11810.01</v>
      </c>
    </row>
    <row r="70" spans="4:22">
      <c r="T70" s="3195" t="s">
        <v>3389</v>
      </c>
      <c r="U70" s="3186">
        <v>9519.1</v>
      </c>
      <c r="V70" s="3172" t="s">
        <v>4755</v>
      </c>
    </row>
    <row r="71" spans="4:22">
      <c r="T71" s="3195" t="s">
        <v>3390</v>
      </c>
      <c r="U71" s="3186">
        <v>2290.91</v>
      </c>
    </row>
    <row r="72" spans="4:22" ht="27">
      <c r="T72" s="3186" t="s">
        <v>4756</v>
      </c>
      <c r="U72" s="3186" t="s">
        <v>4757</v>
      </c>
    </row>
    <row r="73" spans="4:22">
      <c r="T73" s="3186" t="s">
        <v>4758</v>
      </c>
      <c r="U73" s="3203">
        <v>42205</v>
      </c>
    </row>
  </sheetData>
  <phoneticPr fontId="134"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907</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估价结果一览表（市场价值不需“结果表-1”）</v>
      </c>
      <c r="B3" s="3210"/>
      <c r="C3" s="3210"/>
      <c r="D3" s="3210"/>
      <c r="E3" s="3210"/>
    </row>
    <row r="4" spans="1:5" ht="19.5" thickBot="1">
      <c r="A4" s="1391"/>
      <c r="B4" s="3208" t="s">
        <v>916</v>
      </c>
      <c r="C4" s="3208"/>
      <c r="D4" s="3208"/>
      <c r="E4" s="1391"/>
    </row>
    <row r="5" spans="1:5" ht="16.5" thickTop="1">
      <c r="B5" s="3206" t="s">
        <v>908</v>
      </c>
      <c r="C5" s="1392" t="s">
        <v>909</v>
      </c>
      <c r="D5" s="797" t="e">
        <f ca="1">'结果表-1层商业'!H101</f>
        <v>#REF!</v>
      </c>
    </row>
    <row r="6" spans="1:5" ht="15.75">
      <c r="B6" s="3206"/>
      <c r="C6" s="1392" t="s">
        <v>910</v>
      </c>
      <c r="D6" s="797" t="e">
        <f ca="1">NUMBERSTRING(INT(D5*10000),2)&amp;"元整"</f>
        <v>#REF!</v>
      </c>
    </row>
    <row r="7" spans="1:5" ht="15.75">
      <c r="B7" s="3211"/>
      <c r="C7" s="1393" t="s">
        <v>911</v>
      </c>
      <c r="D7" s="798" t="e">
        <f ca="1">'结果表-1层商业'!H102</f>
        <v>#REF!</v>
      </c>
    </row>
    <row r="8" spans="1:5" ht="15.75">
      <c r="B8" s="3212" t="str">
        <f>'结果表-1层商业'!E103</f>
        <v>2.估价师知悉的法定优先受偿款</v>
      </c>
      <c r="C8" s="1394" t="s">
        <v>912</v>
      </c>
      <c r="D8" s="798">
        <f>'结果表-1层商业'!H103</f>
        <v>0</v>
      </c>
    </row>
    <row r="9" spans="1:5" ht="15.75">
      <c r="B9" s="3214"/>
      <c r="C9" s="1392" t="s">
        <v>910</v>
      </c>
      <c r="D9" s="797" t="str">
        <f>NUMBERSTRING(INT(D8*10000),2)&amp;"元整"</f>
        <v>零元整</v>
      </c>
    </row>
    <row r="10" spans="1:5" ht="15">
      <c r="B10" s="1395" t="s">
        <v>915</v>
      </c>
      <c r="C10" s="1396" t="s">
        <v>913</v>
      </c>
      <c r="D10" s="799">
        <f>'结果表-1层商业'!H104</f>
        <v>0</v>
      </c>
    </row>
    <row r="11" spans="1:5" ht="15">
      <c r="B11" s="1395" t="s">
        <v>917</v>
      </c>
      <c r="C11" s="1396" t="s">
        <v>918</v>
      </c>
      <c r="D11" s="799">
        <f>'结果表-1层商业'!H105</f>
        <v>0</v>
      </c>
    </row>
    <row r="12" spans="1:5" ht="15">
      <c r="B12" s="1395" t="s">
        <v>919</v>
      </c>
      <c r="C12" s="1396" t="s">
        <v>918</v>
      </c>
      <c r="D12" s="799">
        <f>'结果表-1层商业'!H106</f>
        <v>0</v>
      </c>
    </row>
    <row r="13" spans="1:5" ht="15.75">
      <c r="B13" s="3205" t="str">
        <f>'结果表-1层商业'!E107</f>
        <v>3.房地产抵押价值</v>
      </c>
      <c r="C13" s="1397" t="s">
        <v>909</v>
      </c>
      <c r="D13" s="800" t="e">
        <f ca="1">'结果表-1层商业'!H107</f>
        <v>#REF!</v>
      </c>
    </row>
    <row r="14" spans="1:5" ht="15.75">
      <c r="B14" s="3206"/>
      <c r="C14" s="1392" t="s">
        <v>910</v>
      </c>
      <c r="D14" s="797" t="e">
        <f ca="1">NUMBERSTRING(INT(D13*10000),2)&amp;"元整"</f>
        <v>#REF!</v>
      </c>
    </row>
    <row r="15" spans="1:5" ht="15">
      <c r="B15" s="3211"/>
      <c r="C15" s="1393" t="s">
        <v>920</v>
      </c>
      <c r="D15" s="806" t="e">
        <f ca="1">'结果表-1层商业'!H108</f>
        <v>#REF!</v>
      </c>
    </row>
    <row r="16" spans="1:5" ht="15">
      <c r="B16" s="3212" t="str">
        <f>'结果表-1层商业'!E109</f>
        <v>——</v>
      </c>
      <c r="C16" s="1397" t="s">
        <v>921</v>
      </c>
      <c r="D16" s="1398" t="str">
        <f>'结果表-1层商业'!H109</f>
        <v>——</v>
      </c>
    </row>
    <row r="17" spans="1:5" ht="15.75">
      <c r="B17" s="3213"/>
      <c r="C17" s="1392" t="s">
        <v>922</v>
      </c>
      <c r="D17" s="797" t="e">
        <f>NUMBERSTRING(INT(D16*10000),2)&amp;"元整"</f>
        <v>#VALUE!</v>
      </c>
    </row>
    <row r="18" spans="1:5" ht="15">
      <c r="B18" s="3214"/>
      <c r="C18" s="1393" t="s">
        <v>911</v>
      </c>
      <c r="D18" s="806" t="str">
        <f>'结果表-1层商业'!H110</f>
        <v>——</v>
      </c>
    </row>
    <row r="19" spans="1:5" ht="15.75">
      <c r="B19" s="3205" t="str">
        <f>'结果表-1层商业'!E111</f>
        <v>——</v>
      </c>
      <c r="C19" s="1397" t="s">
        <v>909</v>
      </c>
      <c r="D19" s="798" t="str">
        <f>'结果表-1层商业'!H111</f>
        <v>——</v>
      </c>
    </row>
    <row r="20" spans="1:5" ht="15.75">
      <c r="B20" s="3206"/>
      <c r="C20" s="1392" t="s">
        <v>922</v>
      </c>
      <c r="D20" s="797" t="e">
        <f>NUMBERSTRING(INT(D19*10000),2)&amp;"元整"</f>
        <v>#VALUE!</v>
      </c>
    </row>
    <row r="21" spans="1:5" ht="15.75" thickBot="1">
      <c r="B21" s="3207"/>
      <c r="C21" s="1399" t="s">
        <v>920</v>
      </c>
      <c r="D21" s="807" t="str">
        <f>'结果表-1层商业'!H112</f>
        <v>——</v>
      </c>
    </row>
    <row r="22" spans="1:5" ht="15" thickTop="1">
      <c r="B22" s="1400" t="s">
        <v>923</v>
      </c>
    </row>
    <row r="24" spans="1:5" ht="18.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8FF0-900B-4762-BC22-9266516ACEA2}">
  <dimension ref="A1:R136"/>
  <sheetViews>
    <sheetView tabSelected="1" topLeftCell="A137" workbookViewId="0">
      <selection activeCell="B183" sqref="B183"/>
    </sheetView>
  </sheetViews>
  <sheetFormatPr defaultRowHeight="13.5"/>
  <cols>
    <col min="1" max="1" width="21.375" bestFit="1" customWidth="1"/>
    <col min="9" max="9" width="16.125" customWidth="1"/>
    <col min="10" max="10" width="17.875" customWidth="1"/>
    <col min="11" max="11" width="23.875" bestFit="1" customWidth="1"/>
  </cols>
  <sheetData>
    <row r="1" spans="1:11" ht="14.25">
      <c r="A1" s="3480" t="s">
        <v>3415</v>
      </c>
      <c r="B1" s="3480" t="s">
        <v>3416</v>
      </c>
      <c r="C1" s="3480" t="s">
        <v>3417</v>
      </c>
      <c r="D1" s="3480" t="s">
        <v>3418</v>
      </c>
      <c r="E1" s="3480" t="s">
        <v>3419</v>
      </c>
      <c r="F1" s="3480" t="s">
        <v>3420</v>
      </c>
      <c r="G1" s="3480" t="s">
        <v>3421</v>
      </c>
      <c r="H1" s="3480" t="s">
        <v>3422</v>
      </c>
      <c r="I1" s="3480" t="s">
        <v>3423</v>
      </c>
      <c r="J1" s="3480" t="s">
        <v>3424</v>
      </c>
      <c r="K1" s="3480" t="s">
        <v>3425</v>
      </c>
    </row>
    <row r="2" spans="1:11" ht="14.25">
      <c r="A2" s="3170" t="s">
        <v>3426</v>
      </c>
      <c r="B2" s="3170" t="s">
        <v>3427</v>
      </c>
      <c r="C2" s="3170" t="s">
        <v>3427</v>
      </c>
      <c r="D2" s="3170" t="s">
        <v>3427</v>
      </c>
      <c r="E2" s="3170">
        <v>2</v>
      </c>
      <c r="F2" s="3170">
        <v>199</v>
      </c>
      <c r="G2" s="3170" t="s">
        <v>3427</v>
      </c>
      <c r="H2" s="3170">
        <v>10417</v>
      </c>
      <c r="I2" s="3170" t="s">
        <v>3427</v>
      </c>
      <c r="J2" s="3170" t="s">
        <v>3427</v>
      </c>
      <c r="K2" s="3170" t="s">
        <v>3427</v>
      </c>
    </row>
    <row r="3" spans="1:11" ht="14.25">
      <c r="A3" s="3170" t="s">
        <v>3428</v>
      </c>
      <c r="B3" s="3170" t="s">
        <v>3428</v>
      </c>
      <c r="C3" s="3170" t="s">
        <v>3429</v>
      </c>
      <c r="D3" s="3170" t="s">
        <v>3430</v>
      </c>
      <c r="E3" s="3170">
        <v>2</v>
      </c>
      <c r="F3" s="3170">
        <v>199</v>
      </c>
      <c r="G3" s="3170" t="s">
        <v>3427</v>
      </c>
      <c r="H3" s="3170">
        <v>10417</v>
      </c>
      <c r="I3" s="3170">
        <v>2015</v>
      </c>
      <c r="J3" s="3170" t="s">
        <v>3431</v>
      </c>
      <c r="K3" s="3170" t="s">
        <v>3432</v>
      </c>
    </row>
    <row r="44" spans="18:18">
      <c r="R44" s="3545" t="s">
        <v>4777</v>
      </c>
    </row>
    <row r="63" spans="14:14">
      <c r="N63" s="3545" t="s">
        <v>4785</v>
      </c>
    </row>
    <row r="104" spans="1:3">
      <c r="A104" s="1405" t="s">
        <v>4866</v>
      </c>
      <c r="B104">
        <v>260</v>
      </c>
      <c r="C104">
        <v>1.1299999999999999</v>
      </c>
    </row>
    <row r="105" spans="1:3">
      <c r="B105">
        <v>50</v>
      </c>
      <c r="C105">
        <v>1.33</v>
      </c>
    </row>
    <row r="106" spans="1:3">
      <c r="B106">
        <v>150</v>
      </c>
      <c r="C106">
        <v>1.31</v>
      </c>
    </row>
    <row r="107" spans="1:3">
      <c r="B107">
        <v>50</v>
      </c>
      <c r="C107">
        <v>1.33</v>
      </c>
    </row>
    <row r="108" spans="1:3">
      <c r="B108">
        <v>190</v>
      </c>
      <c r="C108">
        <v>1.4</v>
      </c>
    </row>
    <row r="109" spans="1:3">
      <c r="A109" s="1405" t="s">
        <v>4867</v>
      </c>
      <c r="B109">
        <v>67</v>
      </c>
      <c r="C109">
        <v>1.4</v>
      </c>
    </row>
    <row r="110" spans="1:3">
      <c r="B110" s="1405" t="s">
        <v>4868</v>
      </c>
      <c r="C110">
        <v>1.3</v>
      </c>
    </row>
    <row r="111" spans="1:3">
      <c r="B111" s="1405">
        <v>35</v>
      </c>
      <c r="C111">
        <v>1.4</v>
      </c>
    </row>
    <row r="112" spans="1:3">
      <c r="B112" s="1405">
        <v>107</v>
      </c>
      <c r="C112">
        <v>1.3</v>
      </c>
    </row>
    <row r="113" spans="1:3">
      <c r="B113" s="1405">
        <v>71</v>
      </c>
      <c r="C113">
        <v>1.4</v>
      </c>
    </row>
    <row r="114" spans="1:3">
      <c r="A114" s="1405" t="s">
        <v>4869</v>
      </c>
      <c r="B114" s="1405">
        <v>210</v>
      </c>
      <c r="C114">
        <v>1.35</v>
      </c>
    </row>
    <row r="115" spans="1:3">
      <c r="B115" s="1405">
        <v>210</v>
      </c>
      <c r="C115">
        <v>1.22</v>
      </c>
    </row>
    <row r="116" spans="1:3">
      <c r="B116" s="1405">
        <v>170</v>
      </c>
      <c r="C116">
        <v>1.03</v>
      </c>
    </row>
    <row r="117" spans="1:3">
      <c r="B117" s="1405">
        <v>120</v>
      </c>
      <c r="C117">
        <v>0.94</v>
      </c>
    </row>
    <row r="118" spans="1:3">
      <c r="B118" s="1405">
        <v>60</v>
      </c>
      <c r="C118">
        <v>1.1000000000000001</v>
      </c>
    </row>
    <row r="119" spans="1:3">
      <c r="B119" s="1405">
        <v>200</v>
      </c>
      <c r="C119">
        <v>1</v>
      </c>
    </row>
    <row r="120" spans="1:3">
      <c r="B120" s="1405">
        <v>100</v>
      </c>
      <c r="C120">
        <v>1</v>
      </c>
    </row>
    <row r="121" spans="1:3">
      <c r="B121" s="1405">
        <v>50</v>
      </c>
    </row>
    <row r="122" spans="1:3">
      <c r="A122" s="1405" t="s">
        <v>4870</v>
      </c>
      <c r="B122" s="1405">
        <v>120</v>
      </c>
      <c r="C122">
        <v>1.9</v>
      </c>
    </row>
    <row r="123" spans="1:3">
      <c r="B123" s="1405">
        <v>132.54</v>
      </c>
      <c r="C123">
        <v>1.6</v>
      </c>
    </row>
    <row r="124" spans="1:3">
      <c r="B124">
        <v>249</v>
      </c>
      <c r="C124">
        <v>1.8</v>
      </c>
    </row>
    <row r="125" spans="1:3">
      <c r="B125">
        <v>249</v>
      </c>
      <c r="C125">
        <v>1.8</v>
      </c>
    </row>
    <row r="126" spans="1:3">
      <c r="B126">
        <v>124</v>
      </c>
      <c r="C126">
        <v>1.7</v>
      </c>
    </row>
    <row r="127" spans="1:3">
      <c r="B127">
        <v>132</v>
      </c>
      <c r="C127">
        <v>1.75</v>
      </c>
    </row>
    <row r="128" spans="1:3">
      <c r="B128">
        <v>116</v>
      </c>
      <c r="C128">
        <v>1.7</v>
      </c>
    </row>
    <row r="134" spans="10:12">
      <c r="J134" s="1405" t="s">
        <v>4911</v>
      </c>
      <c r="K134">
        <v>90</v>
      </c>
      <c r="L134">
        <v>4.4400000000000004</v>
      </c>
    </row>
    <row r="135" spans="10:12">
      <c r="K135">
        <v>60</v>
      </c>
      <c r="L135">
        <f>70000/365/K135</f>
        <v>3.1963470319634704</v>
      </c>
    </row>
    <row r="136" spans="10:12">
      <c r="K136">
        <v>40</v>
      </c>
      <c r="L136">
        <f>100000/365/K136</f>
        <v>6.8493150684931505</v>
      </c>
    </row>
  </sheetData>
  <mergeCells count="11">
    <mergeCell ref="K1"/>
    <mergeCell ref="F1"/>
    <mergeCell ref="G1"/>
    <mergeCell ref="H1"/>
    <mergeCell ref="I1"/>
    <mergeCell ref="J1"/>
    <mergeCell ref="A1"/>
    <mergeCell ref="B1"/>
    <mergeCell ref="C1"/>
    <mergeCell ref="D1"/>
    <mergeCell ref="E1"/>
  </mergeCells>
  <phoneticPr fontId="134" type="noConversion"/>
  <hyperlinks>
    <hyperlink ref="R44" r:id="rId1" display="https://jncc.jinan.gov.cn/EpointQYZB/frame/pages/zby/zbpublishenterpriserelease/zbpublishenterprisereleasexmzbshowlist" xr:uid="{EA675565-9CC6-4281-A298-AB59FFC1914A}"/>
    <hyperlink ref="N63" r:id="rId2" display="http://www.jinan.gov.cn/art/2024/1/1/art_1812_4968135.html" xr:uid="{F79212DF-F871-4709-991B-3F9377FEB6D5}"/>
  </hyperlinks>
  <pageMargins left="0.7" right="0.7" top="0.75" bottom="0.75" header="0.3" footer="0.3"/>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34" sqref="G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672</v>
      </c>
      <c r="C1" s="1717" t="s">
        <v>1561</v>
      </c>
      <c r="D1" s="190"/>
      <c r="E1" s="190"/>
      <c r="F1" s="190"/>
      <c r="G1" s="1062">
        <f>MATCH(B1,'数据-取费表'!A6:A16,0)+5</f>
        <v>10</v>
      </c>
      <c r="H1" s="998" t="str">
        <f>IF(ISERROR(FIND("住宅",B1)),"非住宅","住宅")</f>
        <v>非住宅</v>
      </c>
    </row>
    <row r="2" spans="1:8" s="192" customFormat="1" ht="18" customHeight="1">
      <c r="A2" s="193" t="s">
        <v>1460</v>
      </c>
      <c r="B2" s="3123">
        <f ca="1">ROUND(IF(D2="——",C52/10000,C52/10000-E2),4)</f>
        <v>121.8605</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665</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667277.5</v>
      </c>
      <c r="D5" s="203" t="s">
        <v>1467</v>
      </c>
      <c r="E5" s="204" t="s">
        <v>1468</v>
      </c>
      <c r="F5" s="204" t="s">
        <v>1469</v>
      </c>
      <c r="G5" s="205"/>
    </row>
    <row r="6" spans="1:8" s="206" customFormat="1" ht="13.5" customHeight="1">
      <c r="A6" s="732" t="s">
        <v>1470</v>
      </c>
      <c r="B6" s="207" t="s">
        <v>1471</v>
      </c>
      <c r="C6" s="208">
        <f>'土地比较法-住宅、综合'!C47*'数据-汇总表'!F19</f>
        <v>209753.5</v>
      </c>
      <c r="D6" s="209"/>
      <c r="E6" s="210"/>
      <c r="F6" s="210"/>
      <c r="G6" s="211"/>
    </row>
    <row r="7" spans="1:8" s="206" customFormat="1" ht="13.5" customHeight="1">
      <c r="A7" s="732" t="s">
        <v>1472</v>
      </c>
      <c r="B7" s="207" t="s">
        <v>1473</v>
      </c>
      <c r="C7" s="212">
        <f>ROUND(C6*F7,0)</f>
        <v>6397</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451127</v>
      </c>
      <c r="D8" s="214"/>
      <c r="E8" s="212"/>
      <c r="F8" s="213"/>
      <c r="G8" s="1714" t="s">
        <v>4865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246</v>
      </c>
      <c r="F9" s="213"/>
      <c r="G9" s="218"/>
    </row>
    <row r="10" spans="1:8" s="206" customFormat="1" ht="13.5" customHeight="1">
      <c r="A10" s="733" t="s">
        <v>356</v>
      </c>
      <c r="B10" s="216" t="s">
        <v>1478</v>
      </c>
      <c r="C10" s="217">
        <f ca="1">ROUND(D10*E10,0)</f>
        <v>451127</v>
      </c>
      <c r="D10" s="795">
        <f ca="1">IF(B1="",'数据-汇总表'!E6,IF(INDIRECT("'数据-取费表'!c"&amp;$G$1)="住宅",INDIRECT("'数据-取费表'!s"&amp;$G$1),INDIRECT("'数据-取费表'!k"&amp;$G$1)+INDIRECT("'数据-取费表'!s"&amp;$G$1)))</f>
        <v>1833.8500000000006</v>
      </c>
      <c r="E10" s="217">
        <f>'数据-取费表'!B28</f>
        <v>246</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1833.8500000000006</v>
      </c>
      <c r="E19" s="203">
        <f>'数据-取费表'!B31</f>
        <v>200</v>
      </c>
      <c r="F19" s="223"/>
      <c r="G19" s="1714" t="s">
        <v>4864</v>
      </c>
    </row>
    <row r="20" spans="1:7" s="206" customFormat="1" ht="13.5" customHeight="1">
      <c r="A20" s="247" t="s">
        <v>1572</v>
      </c>
      <c r="B20" s="202" t="s">
        <v>1573</v>
      </c>
      <c r="C20" s="224">
        <f ca="1">ROUND((C5+C19)*F20,0)</f>
        <v>6673</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42634</v>
      </c>
      <c r="D22" s="227">
        <f ca="1">C26</f>
        <v>8.9999999999999998E-4</v>
      </c>
      <c r="E22" s="228" t="s">
        <v>1577</v>
      </c>
      <c r="F22" s="229">
        <f ca="1">'数据-取费表'!B40</f>
        <v>3.1300000000000001E-2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42425</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209</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v>
      </c>
      <c r="G27" s="239" t="s">
        <v>1513</v>
      </c>
    </row>
    <row r="28" spans="1:7" s="206" customFormat="1" ht="13.5" customHeight="1">
      <c r="A28" s="734" t="s">
        <v>346</v>
      </c>
      <c r="B28" s="240" t="s">
        <v>1514</v>
      </c>
      <c r="C28" s="241">
        <f ca="1">ROUND((C5+C19+C20)*F27,0)</f>
        <v>0</v>
      </c>
      <c r="D28" s="227"/>
      <c r="E28" s="228"/>
      <c r="F28" s="238"/>
      <c r="G28" s="239"/>
    </row>
    <row r="29" spans="1:7" s="206" customFormat="1" ht="13.5" customHeight="1">
      <c r="A29" s="734" t="s">
        <v>347</v>
      </c>
      <c r="B29" s="240" t="s">
        <v>1515</v>
      </c>
      <c r="C29" s="230">
        <f ca="1">ROUND(C21*F27,4)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782468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451127</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0.05</v>
      </c>
      <c r="G36" s="252" t="s">
        <v>1528</v>
      </c>
    </row>
    <row r="37" spans="1:7" s="250" customFormat="1" ht="13.5" customHeight="1">
      <c r="A37" s="734" t="s">
        <v>353</v>
      </c>
      <c r="B37" s="207" t="s">
        <v>1529</v>
      </c>
      <c r="C37" s="241">
        <f ca="1">ROUND(E37*D37,0)</f>
        <v>451127</v>
      </c>
      <c r="D37" s="209">
        <f ca="1">D19</f>
        <v>1833.8500000000006</v>
      </c>
      <c r="E37" s="241">
        <f>'数据-取费表'!B35</f>
        <v>246</v>
      </c>
      <c r="F37" s="251"/>
      <c r="G37" s="253"/>
    </row>
    <row r="38" spans="1:7" ht="13.5" customHeight="1">
      <c r="A38" s="734" t="s">
        <v>354</v>
      </c>
      <c r="B38" s="207" t="s">
        <v>1531</v>
      </c>
      <c r="C38" s="212">
        <f ca="1">ROUND(C34*F38,0)</f>
        <v>0</v>
      </c>
      <c r="D38" s="212"/>
      <c r="E38" s="212"/>
      <c r="F38" s="251">
        <f>'数据-取费表'!B36</f>
        <v>0.02</v>
      </c>
      <c r="G38" s="211" t="s">
        <v>1526</v>
      </c>
    </row>
    <row r="39" spans="1:7" s="206" customFormat="1" ht="13.5" customHeight="1">
      <c r="A39" s="247" t="s">
        <v>1532</v>
      </c>
      <c r="B39" s="202" t="s">
        <v>1533</v>
      </c>
      <c r="C39" s="224">
        <f ca="1">ROUND(C33*F20,0)</f>
        <v>4511</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14261</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14120</v>
      </c>
      <c r="D42" s="230"/>
      <c r="E42" s="230"/>
      <c r="F42" s="231"/>
      <c r="G42" s="3386" t="s">
        <v>1589</v>
      </c>
    </row>
    <row r="43" spans="1:7" ht="13.5" customHeight="1">
      <c r="A43" s="734" t="s">
        <v>347</v>
      </c>
      <c r="B43" s="207" t="s">
        <v>1543</v>
      </c>
      <c r="C43" s="230">
        <f ca="1">ROUND(IF('数据-取费表'!B22&lt;=1,C39*F22*'数据-取费表'!B20/2,C39*(POWER((1+F22),'数据-取费表'!B20/2)-1)),0)</f>
        <v>141</v>
      </c>
      <c r="D43" s="230"/>
      <c r="E43" s="230"/>
      <c r="F43" s="231"/>
      <c r="G43" s="3387"/>
    </row>
    <row r="44" spans="1:7" ht="13.5" customHeight="1">
      <c r="A44" s="734" t="s">
        <v>348</v>
      </c>
      <c r="B44" s="207" t="s">
        <v>1544</v>
      </c>
      <c r="C44" s="230">
        <f ca="1">ROUND(IF('数据-取费表'!B22&lt;=1,C40*F22*'数据-取费表'!B20/2,C40*(POWER((1+F22),'数据-取费表'!B20/2)-1)),4)</f>
        <v>8.9999999999999998E-4</v>
      </c>
      <c r="D44" s="230"/>
      <c r="E44" s="230"/>
      <c r="F44" s="231"/>
      <c r="G44" s="3388"/>
    </row>
    <row r="45" spans="1:7" s="206" customFormat="1" ht="13.5" customHeight="1">
      <c r="A45" s="247" t="s">
        <v>1545</v>
      </c>
      <c r="B45" s="236" t="s">
        <v>1511</v>
      </c>
      <c r="C45" s="237">
        <f ca="1">C46</f>
        <v>0</v>
      </c>
      <c r="D45" s="227">
        <f ca="1">C47</f>
        <v>0</v>
      </c>
      <c r="E45" s="228" t="s">
        <v>1537</v>
      </c>
      <c r="F45" s="238">
        <f ca="1">F27</f>
        <v>0</v>
      </c>
      <c r="G45" s="239" t="s">
        <v>1546</v>
      </c>
    </row>
    <row r="46" spans="1:7" s="206" customFormat="1" ht="13.5" customHeight="1">
      <c r="A46" s="734" t="s">
        <v>346</v>
      </c>
      <c r="B46" s="240" t="s">
        <v>1547</v>
      </c>
      <c r="C46" s="241">
        <f ca="1">ROUND((C33+C39)*F27,0)</f>
        <v>0</v>
      </c>
      <c r="D46" s="255"/>
      <c r="E46" s="228"/>
      <c r="F46" s="238"/>
      <c r="G46" s="239"/>
    </row>
    <row r="47" spans="1:7" s="206" customFormat="1" ht="13.5" customHeight="1">
      <c r="A47" s="734" t="s">
        <v>347</v>
      </c>
      <c r="B47" s="240" t="s">
        <v>1548</v>
      </c>
      <c r="C47" s="230">
        <f ca="1">ROUND(C40*F27,4)</f>
        <v>0</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513102</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436137</v>
      </c>
      <c r="D51" s="224"/>
      <c r="E51" s="224"/>
      <c r="F51" s="256"/>
      <c r="G51" s="226" t="s">
        <v>1558</v>
      </c>
    </row>
    <row r="52" spans="1:7" s="200" customFormat="1" ht="16.5" thickBot="1">
      <c r="A52" s="257" t="s">
        <v>1559</v>
      </c>
      <c r="B52" s="258"/>
      <c r="C52" s="259">
        <f ca="1">C31+C51</f>
        <v>1218605</v>
      </c>
      <c r="D52" s="258"/>
      <c r="E52" s="258"/>
      <c r="F52" s="258"/>
      <c r="G52" s="260"/>
    </row>
    <row r="55" spans="1:7" ht="15">
      <c r="B55" s="262" t="s">
        <v>1560</v>
      </c>
      <c r="C55" s="263"/>
    </row>
    <row r="56" spans="1:7">
      <c r="B56" s="265" t="s">
        <v>801</v>
      </c>
      <c r="C56" s="267">
        <f ca="1">1-C57</f>
        <v>0.64200000000000002</v>
      </c>
    </row>
    <row r="57" spans="1:7">
      <c r="B57" s="265" t="s">
        <v>802</v>
      </c>
      <c r="C57" s="266">
        <f ca="1">ROUND(C51/C52,3)</f>
        <v>0.35799999999999998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B26" zoomScaleNormal="60" zoomScaleSheetLayoutView="100" workbookViewId="0">
      <selection activeCell="D117" sqref="D117:G11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616</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520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
        <v>1672</v>
      </c>
      <c r="F5" s="3425"/>
      <c r="G5" s="3426" t="s">
        <v>1673</v>
      </c>
      <c r="H5" s="3427"/>
      <c r="I5" s="3426" t="s">
        <v>1674</v>
      </c>
      <c r="J5" s="3427"/>
      <c r="K5" s="537"/>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t="str">
        <f>土地案例!L5</f>
        <v>2025-09-03</v>
      </c>
      <c r="F7" s="357">
        <f>SUMIF(69:69,YEAR(E7)&amp;"-"&amp;INT((MONTH(E7)+2)/3),70:70)</f>
        <v>100</v>
      </c>
      <c r="G7" s="1822" t="str">
        <f>土地案例!L10</f>
        <v>2025-05-22</v>
      </c>
      <c r="H7" s="355">
        <f>SUMIF(69:69,YEAR(G7)&amp;"-"&amp;INT((MONTH(G7)+2)/3),70:70)</f>
        <v>100</v>
      </c>
      <c r="I7" s="1822" t="str">
        <f>土地案例!L15</f>
        <v>2024-12-09</v>
      </c>
      <c r="J7" s="355">
        <f>SUMIF(69:69,YEAR(I7)&amp;"-"&amp;INT((MONTH(I7)+2)/3),70:70)</f>
        <v>100</v>
      </c>
      <c r="K7" s="38"/>
      <c r="L7" s="2489"/>
      <c r="M7" s="2440"/>
      <c r="N7" s="2440"/>
      <c r="O7" s="2440"/>
      <c r="P7" s="3418" t="s">
        <v>1678</v>
      </c>
      <c r="Q7" s="3446"/>
      <c r="R7" s="664" t="s">
        <v>14</v>
      </c>
      <c r="S7" s="665">
        <f t="shared" ref="S7:S15" si="0">F7</f>
        <v>100</v>
      </c>
      <c r="T7" s="664" t="s">
        <v>14</v>
      </c>
      <c r="U7" s="665">
        <f t="shared" ref="U7:U15" si="1">H7</f>
        <v>100</v>
      </c>
      <c r="V7" s="664" t="s">
        <v>14</v>
      </c>
      <c r="W7" s="665">
        <f t="shared" ref="W7:W15" si="2">J7</f>
        <v>100</v>
      </c>
      <c r="X7" s="666"/>
      <c r="Y7" s="3418" t="s">
        <v>1678</v>
      </c>
      <c r="Z7" s="3419"/>
      <c r="AA7" s="50">
        <f>D7/F7</f>
        <v>1</v>
      </c>
      <c r="AB7" s="50">
        <f>D7/H7</f>
        <v>1</v>
      </c>
      <c r="AC7" s="50">
        <f>D7/J7</f>
        <v>1</v>
      </c>
    </row>
    <row r="8" spans="1:29" s="102" customFormat="1" ht="15.7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9"/>
      <c r="M8" s="2440"/>
      <c r="N8" s="2440"/>
      <c r="O8" s="2440"/>
      <c r="P8" s="3418" t="s">
        <v>1681</v>
      </c>
      <c r="Q8" s="3419"/>
      <c r="R8" s="664" t="s">
        <v>14</v>
      </c>
      <c r="S8" s="665">
        <f t="shared" si="0"/>
        <v>100</v>
      </c>
      <c r="T8" s="664" t="s">
        <v>14</v>
      </c>
      <c r="U8" s="665">
        <f t="shared" si="1"/>
        <v>100</v>
      </c>
      <c r="V8" s="664" t="s">
        <v>14</v>
      </c>
      <c r="W8" s="665">
        <f t="shared" si="2"/>
        <v>100</v>
      </c>
      <c r="X8" s="666"/>
      <c r="Y8" s="3418" t="s">
        <v>1681</v>
      </c>
      <c r="Z8" s="3419"/>
      <c r="AA8" s="50">
        <f t="shared" ref="AA8:AA45" si="3">D8/F8</f>
        <v>1</v>
      </c>
      <c r="AB8" s="50">
        <f t="shared" ref="AB8:AB45" si="4">D8/H8</f>
        <v>1</v>
      </c>
      <c r="AC8" s="50">
        <f t="shared" ref="AC8:AC45" si="5">D8/J8</f>
        <v>1</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50"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50"/>
      <c r="Q10" s="530" t="str">
        <f t="shared" si="6"/>
        <v>土地使用年限（年）</v>
      </c>
      <c r="R10" s="664" t="s">
        <v>14</v>
      </c>
      <c r="S10" s="665">
        <f t="shared" si="0"/>
        <v>111</v>
      </c>
      <c r="T10" s="664" t="s">
        <v>14</v>
      </c>
      <c r="U10" s="665">
        <f t="shared" si="1"/>
        <v>111</v>
      </c>
      <c r="V10" s="664" t="s">
        <v>14</v>
      </c>
      <c r="W10" s="665">
        <f t="shared" si="2"/>
        <v>111</v>
      </c>
      <c r="X10" s="666"/>
      <c r="Y10" s="3362"/>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f>LOOKUP(E11,79:79,80:80)-LOOKUP(C11,79:79,80:80)+100</f>
        <v>100</v>
      </c>
      <c r="G11" s="369"/>
      <c r="H11" s="119">
        <f>LOOKUP(G11,79:79,80:80)-LOOKUP(C11,79:79,80:80)+100</f>
        <v>100</v>
      </c>
      <c r="I11" s="368"/>
      <c r="J11" s="119">
        <f>LOOKUP(I11,79:79,80:80)-LOOKUP(C11,79:79,80:80)+100</f>
        <v>100</v>
      </c>
      <c r="K11" s="593"/>
      <c r="L11" s="2492"/>
      <c r="M11" s="2488"/>
      <c r="N11" s="2488"/>
      <c r="O11" s="2543"/>
      <c r="P11" s="3450"/>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50">
        <f t="shared" si="5"/>
        <v>1</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50"/>
      <c r="Q12" s="530" t="str">
        <f t="shared" si="6"/>
        <v>配建</v>
      </c>
      <c r="R12" s="664" t="s">
        <v>14</v>
      </c>
      <c r="S12" s="665">
        <f t="shared" si="0"/>
        <v>100</v>
      </c>
      <c r="T12" s="664" t="s">
        <v>14</v>
      </c>
      <c r="U12" s="665">
        <f t="shared" si="1"/>
        <v>100</v>
      </c>
      <c r="V12" s="664" t="s">
        <v>14</v>
      </c>
      <c r="W12" s="665">
        <f t="shared" si="2"/>
        <v>100</v>
      </c>
      <c r="X12" s="666"/>
      <c r="Y12" s="33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50"/>
      <c r="Q14" s="530">
        <f t="shared" si="6"/>
        <v>111</v>
      </c>
      <c r="R14" s="664" t="s">
        <v>14</v>
      </c>
      <c r="S14" s="665">
        <f t="shared" si="0"/>
        <v>100</v>
      </c>
      <c r="T14" s="664" t="s">
        <v>14</v>
      </c>
      <c r="U14" s="665">
        <f t="shared" si="1"/>
        <v>100</v>
      </c>
      <c r="V14" s="664" t="s">
        <v>14</v>
      </c>
      <c r="W14" s="665">
        <f t="shared" si="2"/>
        <v>100</v>
      </c>
      <c r="X14" s="666"/>
      <c r="Y14" s="3362"/>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51" t="s">
        <v>1689</v>
      </c>
      <c r="Q15" s="1263" t="str">
        <f t="shared" si="6"/>
        <v>居住社区成熟度</v>
      </c>
      <c r="R15" s="667" t="s">
        <v>14</v>
      </c>
      <c r="S15" s="668">
        <f t="shared" si="0"/>
        <v>100</v>
      </c>
      <c r="T15" s="667" t="s">
        <v>14</v>
      </c>
      <c r="U15" s="668">
        <f t="shared" si="1"/>
        <v>100</v>
      </c>
      <c r="V15" s="667" t="s">
        <v>14</v>
      </c>
      <c r="W15" s="668">
        <f t="shared" si="2"/>
        <v>100</v>
      </c>
      <c r="X15" s="1265"/>
      <c r="Y15" s="3451"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52"/>
      <c r="Q16" s="1263"/>
      <c r="R16" s="667"/>
      <c r="S16" s="668"/>
      <c r="T16" s="667"/>
      <c r="U16" s="668"/>
      <c r="V16" s="667"/>
      <c r="W16" s="668"/>
      <c r="X16" s="1265"/>
      <c r="Y16" s="3452"/>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52"/>
      <c r="Q17" s="1263" t="str">
        <f>B17</f>
        <v>商业繁华度</v>
      </c>
      <c r="R17" s="667" t="s">
        <v>14</v>
      </c>
      <c r="S17" s="668">
        <f>F17</f>
        <v>100</v>
      </c>
      <c r="T17" s="667" t="s">
        <v>14</v>
      </c>
      <c r="U17" s="668">
        <f>H17</f>
        <v>100</v>
      </c>
      <c r="V17" s="667" t="s">
        <v>14</v>
      </c>
      <c r="W17" s="668">
        <f>J17</f>
        <v>100</v>
      </c>
      <c r="X17" s="1265"/>
      <c r="Y17" s="345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52"/>
      <c r="Q18" s="1263"/>
      <c r="R18" s="667"/>
      <c r="S18" s="668"/>
      <c r="T18" s="667"/>
      <c r="U18" s="668"/>
      <c r="V18" s="667"/>
      <c r="W18" s="668"/>
      <c r="X18" s="1265"/>
      <c r="Y18" s="3452"/>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52"/>
      <c r="Q19" s="1263" t="str">
        <f>B19</f>
        <v>办公集聚程度</v>
      </c>
      <c r="R19" s="667" t="s">
        <v>14</v>
      </c>
      <c r="S19" s="668">
        <f>F19</f>
        <v>100</v>
      </c>
      <c r="T19" s="667" t="s">
        <v>14</v>
      </c>
      <c r="U19" s="668">
        <f>H19</f>
        <v>100</v>
      </c>
      <c r="V19" s="667" t="s">
        <v>14</v>
      </c>
      <c r="W19" s="668">
        <f>J19</f>
        <v>100</v>
      </c>
      <c r="X19" s="1265"/>
      <c r="Y19" s="345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52"/>
      <c r="Q20" s="1263"/>
      <c r="R20" s="667"/>
      <c r="S20" s="668"/>
      <c r="T20" s="667"/>
      <c r="U20" s="668"/>
      <c r="V20" s="667"/>
      <c r="W20" s="668"/>
      <c r="X20" s="1265"/>
      <c r="Y20" s="3452"/>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52"/>
      <c r="Q21" s="1263" t="str">
        <f>B21</f>
        <v>交通便捷度</v>
      </c>
      <c r="R21" s="667" t="s">
        <v>14</v>
      </c>
      <c r="S21" s="668">
        <f>F21</f>
        <v>100</v>
      </c>
      <c r="T21" s="667" t="s">
        <v>14</v>
      </c>
      <c r="U21" s="668">
        <f>H21</f>
        <v>100</v>
      </c>
      <c r="V21" s="667" t="s">
        <v>14</v>
      </c>
      <c r="W21" s="668">
        <f>J21</f>
        <v>100</v>
      </c>
      <c r="X21" s="1265"/>
      <c r="Y21" s="345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52"/>
      <c r="Q22" s="1263"/>
      <c r="R22" s="667"/>
      <c r="S22" s="668"/>
      <c r="T22" s="667"/>
      <c r="U22" s="668"/>
      <c r="V22" s="667"/>
      <c r="W22" s="668"/>
      <c r="X22" s="1265"/>
      <c r="Y22" s="3452"/>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52"/>
      <c r="Q23" s="1263" t="str">
        <f t="shared" ref="Q23:Q37" si="8">B23</f>
        <v>区域土地利用方向</v>
      </c>
      <c r="R23" s="667" t="s">
        <v>14</v>
      </c>
      <c r="S23" s="668">
        <f>F23</f>
        <v>100</v>
      </c>
      <c r="T23" s="667" t="s">
        <v>14</v>
      </c>
      <c r="U23" s="668">
        <f>H23</f>
        <v>100</v>
      </c>
      <c r="V23" s="667" t="s">
        <v>14</v>
      </c>
      <c r="W23" s="668">
        <f>J23</f>
        <v>100</v>
      </c>
      <c r="X23" s="1265"/>
      <c r="Y23" s="345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52"/>
      <c r="Q24" s="1263"/>
      <c r="R24" s="667"/>
      <c r="S24" s="668"/>
      <c r="T24" s="667"/>
      <c r="U24" s="668"/>
      <c r="V24" s="667"/>
      <c r="W24" s="668"/>
      <c r="X24" s="1265"/>
      <c r="Y24" s="3452"/>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52"/>
      <c r="Q25" s="1263" t="str">
        <f t="shared" si="8"/>
        <v>自然及人文环境状况</v>
      </c>
      <c r="R25" s="667" t="s">
        <v>14</v>
      </c>
      <c r="S25" s="668">
        <f>F25</f>
        <v>100</v>
      </c>
      <c r="T25" s="667" t="s">
        <v>14</v>
      </c>
      <c r="U25" s="668">
        <f>H25</f>
        <v>100</v>
      </c>
      <c r="V25" s="667" t="s">
        <v>14</v>
      </c>
      <c r="W25" s="668">
        <f>J25</f>
        <v>100</v>
      </c>
      <c r="X25" s="1265"/>
      <c r="Y25" s="345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52"/>
      <c r="Q26" s="1263"/>
      <c r="R26" s="667"/>
      <c r="S26" s="668"/>
      <c r="T26" s="667"/>
      <c r="U26" s="668"/>
      <c r="V26" s="667"/>
      <c r="W26" s="668"/>
      <c r="X26" s="1265"/>
      <c r="Y26" s="3452"/>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52"/>
      <c r="Q27" s="530" t="str">
        <f t="shared" si="8"/>
        <v>公共配套设施</v>
      </c>
      <c r="R27" s="664" t="s">
        <v>14</v>
      </c>
      <c r="S27" s="665">
        <f>F27</f>
        <v>100</v>
      </c>
      <c r="T27" s="664" t="s">
        <v>14</v>
      </c>
      <c r="U27" s="665">
        <f>H27</f>
        <v>100</v>
      </c>
      <c r="V27" s="664" t="s">
        <v>14</v>
      </c>
      <c r="W27" s="665">
        <f>J27</f>
        <v>100</v>
      </c>
      <c r="X27" s="666"/>
      <c r="Y27" s="345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52"/>
      <c r="Q28" s="530"/>
      <c r="R28" s="664"/>
      <c r="S28" s="665"/>
      <c r="T28" s="664"/>
      <c r="U28" s="665"/>
      <c r="V28" s="664"/>
      <c r="W28" s="665"/>
      <c r="X28" s="666"/>
      <c r="Y28" s="3452"/>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52"/>
      <c r="Q29" s="530" t="str">
        <f t="shared" ref="Q29" si="9">B29</f>
        <v>基础设施水平</v>
      </c>
      <c r="R29" s="664" t="s">
        <v>14</v>
      </c>
      <c r="S29" s="665">
        <f>F29</f>
        <v>100</v>
      </c>
      <c r="T29" s="664" t="s">
        <v>14</v>
      </c>
      <c r="U29" s="665">
        <f>H29</f>
        <v>100</v>
      </c>
      <c r="V29" s="664" t="s">
        <v>14</v>
      </c>
      <c r="W29" s="665">
        <f>J29</f>
        <v>100</v>
      </c>
      <c r="X29" s="666"/>
      <c r="Y29" s="345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52"/>
      <c r="Q30" s="530"/>
      <c r="R30" s="664"/>
      <c r="S30" s="665"/>
      <c r="T30" s="664"/>
      <c r="U30" s="665"/>
      <c r="V30" s="664"/>
      <c r="W30" s="665"/>
      <c r="X30" s="666"/>
      <c r="Y30" s="3452"/>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5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2"/>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52"/>
      <c r="Q32" s="1263" t="str">
        <f t="shared" si="8"/>
        <v>毗邻道路的类型与等级</v>
      </c>
      <c r="R32" s="667" t="s">
        <v>14</v>
      </c>
      <c r="S32" s="668">
        <f t="shared" si="10"/>
        <v>100</v>
      </c>
      <c r="T32" s="667" t="s">
        <v>14</v>
      </c>
      <c r="U32" s="668">
        <f t="shared" si="11"/>
        <v>100</v>
      </c>
      <c r="V32" s="667" t="s">
        <v>14</v>
      </c>
      <c r="W32" s="668">
        <f t="shared" si="12"/>
        <v>100</v>
      </c>
      <c r="X32" s="1265"/>
      <c r="Y32" s="345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52"/>
      <c r="Q33" s="1263"/>
      <c r="R33" s="667"/>
      <c r="S33" s="668"/>
      <c r="T33" s="667"/>
      <c r="U33" s="668"/>
      <c r="V33" s="667"/>
      <c r="W33" s="668"/>
      <c r="X33" s="1265"/>
      <c r="Y33" s="3452"/>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52"/>
      <c r="Q34" s="1263" t="str">
        <f t="shared" si="8"/>
        <v>土地级别</v>
      </c>
      <c r="R34" s="667" t="s">
        <v>14</v>
      </c>
      <c r="S34" s="668">
        <f t="shared" si="10"/>
        <v>100</v>
      </c>
      <c r="T34" s="667" t="s">
        <v>14</v>
      </c>
      <c r="U34" s="668">
        <f t="shared" si="11"/>
        <v>100</v>
      </c>
      <c r="V34" s="667" t="s">
        <v>14</v>
      </c>
      <c r="W34" s="668">
        <f t="shared" si="12"/>
        <v>100</v>
      </c>
      <c r="X34" s="1265"/>
      <c r="Y34" s="345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52"/>
      <c r="Q35" s="1263">
        <f t="shared" si="8"/>
        <v>111</v>
      </c>
      <c r="R35" s="667" t="s">
        <v>14</v>
      </c>
      <c r="S35" s="668">
        <f t="shared" si="10"/>
        <v>100</v>
      </c>
      <c r="T35" s="667" t="s">
        <v>14</v>
      </c>
      <c r="U35" s="668">
        <f t="shared" si="11"/>
        <v>100</v>
      </c>
      <c r="V35" s="667" t="s">
        <v>14</v>
      </c>
      <c r="W35" s="668">
        <f t="shared" si="12"/>
        <v>100</v>
      </c>
      <c r="X35" s="1265"/>
      <c r="Y35" s="345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5" t="s">
        <v>1694</v>
      </c>
      <c r="Q36" s="1263">
        <f t="shared" si="8"/>
        <v>111</v>
      </c>
      <c r="R36" s="667" t="s">
        <v>14</v>
      </c>
      <c r="S36" s="668">
        <f t="shared" si="10"/>
        <v>100</v>
      </c>
      <c r="T36" s="667" t="s">
        <v>14</v>
      </c>
      <c r="U36" s="668">
        <f t="shared" si="11"/>
        <v>100</v>
      </c>
      <c r="V36" s="667" t="s">
        <v>14</v>
      </c>
      <c r="W36" s="668">
        <f t="shared" si="12"/>
        <v>100</v>
      </c>
      <c r="X36" s="1265"/>
      <c r="Y36" s="3456"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56"/>
      <c r="Q37" s="1263">
        <f t="shared" si="8"/>
        <v>111</v>
      </c>
      <c r="R37" s="669" t="s">
        <v>14</v>
      </c>
      <c r="S37" s="670">
        <f t="shared" si="10"/>
        <v>100</v>
      </c>
      <c r="T37" s="669" t="s">
        <v>14</v>
      </c>
      <c r="U37" s="670">
        <f t="shared" si="11"/>
        <v>100</v>
      </c>
      <c r="V37" s="669" t="s">
        <v>14</v>
      </c>
      <c r="W37" s="670">
        <f t="shared" si="12"/>
        <v>100</v>
      </c>
      <c r="X37" s="671"/>
      <c r="Y37" s="3456"/>
      <c r="Z37" s="672">
        <f t="shared" si="13"/>
        <v>111</v>
      </c>
      <c r="AA37" s="1264">
        <f t="shared" si="3"/>
        <v>1</v>
      </c>
      <c r="AB37" s="1264">
        <f t="shared" si="4"/>
        <v>1</v>
      </c>
      <c r="AC37" s="1264">
        <f t="shared" si="5"/>
        <v>1</v>
      </c>
    </row>
    <row r="38" spans="1:29" ht="15">
      <c r="A38" s="409" t="s">
        <v>1692</v>
      </c>
      <c r="B38" s="395" t="s">
        <v>1872</v>
      </c>
      <c r="C38" s="599">
        <f>权属信息!M35</f>
        <v>6125</v>
      </c>
      <c r="D38" s="405">
        <v>100</v>
      </c>
      <c r="E38" s="599">
        <f>土地案例!E5</f>
        <v>21437</v>
      </c>
      <c r="F38" s="405">
        <f>LOOKUP(E38,116:116,117:117)-LOOKUP(C38,116:116,117:117)+100</f>
        <v>103</v>
      </c>
      <c r="G38" s="599">
        <f>土地案例!E10</f>
        <v>13940</v>
      </c>
      <c r="H38" s="405">
        <f>LOOKUP(G38,116:116,117:117)-LOOKUP(C38,116:116,117:117)+100</f>
        <v>101</v>
      </c>
      <c r="I38" s="462">
        <f>土地案例!E15</f>
        <v>19581</v>
      </c>
      <c r="J38" s="405">
        <f>LOOKUP(I38,116:116,117:117)-LOOKUP(C38,116:116,117:117)+100</f>
        <v>102</v>
      </c>
      <c r="K38" s="539"/>
      <c r="L38" s="2493"/>
      <c r="M38" s="2488"/>
      <c r="N38" s="2488"/>
      <c r="O38" s="2543"/>
      <c r="P38" s="3456"/>
      <c r="Q38" s="1263" t="str">
        <f>B38</f>
        <v>宗地面积</v>
      </c>
      <c r="R38" s="667" t="s">
        <v>14</v>
      </c>
      <c r="S38" s="668">
        <f t="shared" si="10"/>
        <v>103</v>
      </c>
      <c r="T38" s="667" t="s">
        <v>14</v>
      </c>
      <c r="U38" s="668">
        <f t="shared" si="11"/>
        <v>101</v>
      </c>
      <c r="V38" s="667" t="s">
        <v>14</v>
      </c>
      <c r="W38" s="668">
        <f t="shared" si="12"/>
        <v>102</v>
      </c>
      <c r="X38" s="1265"/>
      <c r="Y38" s="3456"/>
      <c r="Z38" s="1264" t="str">
        <f t="shared" si="13"/>
        <v>宗地面积</v>
      </c>
      <c r="AA38" s="1264">
        <f t="shared" si="3"/>
        <v>0.970873786407767</v>
      </c>
      <c r="AB38" s="1264">
        <f t="shared" si="4"/>
        <v>0.99009900990099009</v>
      </c>
      <c r="AC38" s="1264">
        <f t="shared" si="5"/>
        <v>0.98039215686274506</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56"/>
      <c r="Q39" s="1263" t="str">
        <f t="shared" ref="Q39:Q45" si="14">B39</f>
        <v>宗地形状</v>
      </c>
      <c r="R39" s="667" t="s">
        <v>14</v>
      </c>
      <c r="S39" s="668">
        <f t="shared" si="10"/>
        <v>100</v>
      </c>
      <c r="T39" s="667" t="s">
        <v>14</v>
      </c>
      <c r="U39" s="668">
        <f t="shared" si="11"/>
        <v>100</v>
      </c>
      <c r="V39" s="667" t="s">
        <v>14</v>
      </c>
      <c r="W39" s="668">
        <f t="shared" si="12"/>
        <v>100</v>
      </c>
      <c r="X39" s="1265"/>
      <c r="Y39" s="3456"/>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56"/>
      <c r="Q40" s="1263" t="str">
        <f t="shared" si="14"/>
        <v>临街宽度及深度</v>
      </c>
      <c r="R40" s="667" t="s">
        <v>14</v>
      </c>
      <c r="S40" s="668">
        <f t="shared" si="10"/>
        <v>100</v>
      </c>
      <c r="T40" s="667" t="s">
        <v>14</v>
      </c>
      <c r="U40" s="668">
        <f t="shared" si="11"/>
        <v>100</v>
      </c>
      <c r="V40" s="667" t="s">
        <v>14</v>
      </c>
      <c r="W40" s="668">
        <f t="shared" si="12"/>
        <v>100</v>
      </c>
      <c r="X40" s="1265"/>
      <c r="Y40" s="3456"/>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56"/>
      <c r="Q41" s="1263" t="str">
        <f t="shared" si="14"/>
        <v>宗地开发程度</v>
      </c>
      <c r="R41" s="664" t="s">
        <v>14</v>
      </c>
      <c r="S41" s="665">
        <f t="shared" si="10"/>
        <v>100</v>
      </c>
      <c r="T41" s="664" t="s">
        <v>14</v>
      </c>
      <c r="U41" s="665">
        <f t="shared" si="11"/>
        <v>100</v>
      </c>
      <c r="V41" s="664" t="s">
        <v>14</v>
      </c>
      <c r="W41" s="665">
        <f t="shared" si="12"/>
        <v>100</v>
      </c>
      <c r="X41" s="666"/>
      <c r="Y41" s="3456"/>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56" t="s">
        <v>1694</v>
      </c>
      <c r="Q42" s="1263" t="str">
        <f t="shared" si="14"/>
        <v>工程地质条件</v>
      </c>
      <c r="R42" s="667" t="s">
        <v>14</v>
      </c>
      <c r="S42" s="668">
        <f t="shared" si="10"/>
        <v>100</v>
      </c>
      <c r="T42" s="667" t="s">
        <v>14</v>
      </c>
      <c r="U42" s="668">
        <f t="shared" si="11"/>
        <v>100</v>
      </c>
      <c r="V42" s="667" t="s">
        <v>14</v>
      </c>
      <c r="W42" s="668">
        <f t="shared" si="12"/>
        <v>100</v>
      </c>
      <c r="X42" s="1265"/>
      <c r="Y42" s="3456"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56"/>
      <c r="Q43" s="1263">
        <f t="shared" si="14"/>
        <v>111</v>
      </c>
      <c r="R43" s="667" t="s">
        <v>14</v>
      </c>
      <c r="S43" s="668">
        <f t="shared" si="10"/>
        <v>100</v>
      </c>
      <c r="T43" s="667" t="s">
        <v>14</v>
      </c>
      <c r="U43" s="668">
        <f t="shared" si="11"/>
        <v>100</v>
      </c>
      <c r="V43" s="667" t="s">
        <v>14</v>
      </c>
      <c r="W43" s="668">
        <f t="shared" si="12"/>
        <v>100</v>
      </c>
      <c r="X43" s="1265"/>
      <c r="Y43" s="345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56"/>
      <c r="Q44" s="1263">
        <f t="shared" si="14"/>
        <v>111</v>
      </c>
      <c r="R44" s="667" t="s">
        <v>14</v>
      </c>
      <c r="S44" s="668">
        <f t="shared" si="10"/>
        <v>100</v>
      </c>
      <c r="T44" s="667" t="s">
        <v>14</v>
      </c>
      <c r="U44" s="668">
        <f t="shared" si="11"/>
        <v>100</v>
      </c>
      <c r="V44" s="667" t="s">
        <v>14</v>
      </c>
      <c r="W44" s="668">
        <f t="shared" si="12"/>
        <v>100</v>
      </c>
      <c r="X44" s="1265"/>
      <c r="Y44" s="345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56"/>
      <c r="Q45" s="1263">
        <f t="shared" si="14"/>
        <v>111</v>
      </c>
      <c r="R45" s="669" t="s">
        <v>14</v>
      </c>
      <c r="S45" s="670">
        <f t="shared" si="10"/>
        <v>100</v>
      </c>
      <c r="T45" s="669" t="s">
        <v>14</v>
      </c>
      <c r="U45" s="670">
        <f t="shared" si="11"/>
        <v>100</v>
      </c>
      <c r="V45" s="669" t="s">
        <v>14</v>
      </c>
      <c r="W45" s="670">
        <f t="shared" si="12"/>
        <v>100</v>
      </c>
      <c r="X45" s="671"/>
      <c r="Y45" s="3456"/>
      <c r="Z45" s="672">
        <f t="shared" si="13"/>
        <v>111</v>
      </c>
      <c r="AA45" s="1264">
        <f t="shared" si="3"/>
        <v>1</v>
      </c>
      <c r="AB45" s="1264">
        <f t="shared" si="4"/>
        <v>1</v>
      </c>
      <c r="AC45" s="1264">
        <f t="shared" si="5"/>
        <v>1</v>
      </c>
    </row>
    <row r="46" spans="1:29" ht="15">
      <c r="A46" s="416" t="s">
        <v>1842</v>
      </c>
      <c r="B46" s="1830" t="s">
        <v>1877</v>
      </c>
      <c r="C46" s="602" t="s">
        <v>0</v>
      </c>
      <c r="D46" s="418"/>
      <c r="E46" s="419">
        <f>土地案例!S5</f>
        <v>1388</v>
      </c>
      <c r="F46" s="420"/>
      <c r="G46" s="421">
        <f>土地案例!S10</f>
        <v>1333</v>
      </c>
      <c r="H46" s="422"/>
      <c r="I46" s="419">
        <f>土地案例!S15</f>
        <v>1388</v>
      </c>
      <c r="J46" s="422"/>
      <c r="K46" s="674"/>
      <c r="L46" s="2495"/>
      <c r="M46" s="2488"/>
      <c r="N46" s="2488"/>
      <c r="O46" s="2488"/>
      <c r="P46" s="3450" t="str">
        <f>A46</f>
        <v>成交单价</v>
      </c>
      <c r="Q46" s="3450"/>
      <c r="R46" s="3445">
        <f>E46</f>
        <v>1388</v>
      </c>
      <c r="S46" s="3445"/>
      <c r="T46" s="3445">
        <f>G46</f>
        <v>1333</v>
      </c>
      <c r="U46" s="3445"/>
      <c r="V46" s="3445">
        <f>I46</f>
        <v>1388</v>
      </c>
      <c r="W46" s="3445"/>
      <c r="X46" s="385"/>
      <c r="Y46" s="673"/>
      <c r="Z46" s="385"/>
      <c r="AA46" s="385"/>
      <c r="AB46" s="385"/>
      <c r="AC46" s="385"/>
    </row>
    <row r="47" spans="1:29" ht="15.75" thickBot="1">
      <c r="A47" s="423" t="s">
        <v>1791</v>
      </c>
      <c r="B47" s="603"/>
      <c r="C47" s="426">
        <f>R48</f>
        <v>1210</v>
      </c>
      <c r="D47" s="2141" t="s">
        <v>2136</v>
      </c>
      <c r="E47" s="426">
        <f>R47</f>
        <v>1214</v>
      </c>
      <c r="F47" s="2142"/>
      <c r="G47" s="425">
        <f>T47</f>
        <v>1189</v>
      </c>
      <c r="H47" s="2142"/>
      <c r="I47" s="426">
        <f>V47</f>
        <v>1226</v>
      </c>
      <c r="J47" s="2142"/>
      <c r="K47" s="2144">
        <f>F47+H47+J47</f>
        <v>0</v>
      </c>
      <c r="L47" s="2495"/>
      <c r="M47" s="2488"/>
      <c r="N47" s="2488"/>
      <c r="O47" s="2488"/>
      <c r="P47" s="3450" t="str">
        <f>A47</f>
        <v>比较价值（元/平方米）</v>
      </c>
      <c r="Q47" s="3450"/>
      <c r="R47" s="3477">
        <f>ROUND(PRODUCT(R46,AA7:AA45),0)</f>
        <v>1214</v>
      </c>
      <c r="S47" s="3477"/>
      <c r="T47" s="3477">
        <f>ROUND(PRODUCT(T46,AB7:AB45),0)</f>
        <v>1189</v>
      </c>
      <c r="U47" s="3477"/>
      <c r="V47" s="3477">
        <f>ROUND(PRODUCT(V46,AC7:AC45),0)</f>
        <v>1226</v>
      </c>
      <c r="W47" s="3477"/>
      <c r="X47" s="385"/>
      <c r="Y47" s="385"/>
      <c r="Z47" s="385"/>
      <c r="AA47" s="385"/>
      <c r="AB47" s="385"/>
      <c r="AC47" s="385"/>
    </row>
    <row r="48" spans="1:29" ht="15.75" thickBot="1">
      <c r="A48" s="427" t="s">
        <v>1878</v>
      </c>
      <c r="B48" s="428"/>
      <c r="C48" s="429">
        <f>R48</f>
        <v>1210</v>
      </c>
      <c r="D48" s="429"/>
      <c r="E48" s="429"/>
      <c r="F48" s="429"/>
      <c r="G48" s="429"/>
      <c r="H48" s="429"/>
      <c r="I48" s="429"/>
      <c r="J48" s="429"/>
      <c r="K48" s="675"/>
      <c r="L48" s="2495"/>
      <c r="M48" s="2488"/>
      <c r="N48" s="2488"/>
      <c r="O48" s="2488"/>
      <c r="P48" s="3447" t="str">
        <f>A48</f>
        <v>估价对象XX用房的比较价值（楼面单价，元/平方米）</v>
      </c>
      <c r="Q48" s="3448"/>
      <c r="R48" s="3478">
        <f>ROUND(IF(D47="简单平均",AVERAGE(R47:W47),R47*F47+T47*H47+V47*J47),0)</f>
        <v>1210</v>
      </c>
      <c r="S48" s="3478"/>
      <c r="T48" s="3478"/>
      <c r="U48" s="3478"/>
      <c r="V48" s="3478"/>
      <c r="W48" s="347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f>IF(E46&lt;E47,E47/E46-1,E46/E47-1)</f>
        <v>0.14332784184514002</v>
      </c>
      <c r="F51" s="435" t="str">
        <f>IF(OR(E51&gt;=0.3,E51&lt;=-0.3),"超过30%","")</f>
        <v/>
      </c>
      <c r="G51" s="434">
        <f>IF(G46&lt;G47,G47/G46-1,G46/G47-1)</f>
        <v>0.12111017661900747</v>
      </c>
      <c r="H51" s="435" t="str">
        <f>IF(OR(G51&gt;=0.3,G51&lt;=-0.3),"超过30%","")</f>
        <v/>
      </c>
      <c r="I51" s="434">
        <f>IF(I46&lt;I47,I47/I46-1,I46/I47-1)</f>
        <v>0.13213703099510599</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f>IF(E47&lt;G47,G47/E47-1,E47/G47-1)</f>
        <v>2.1026072329688894E-2</v>
      </c>
      <c r="F52" s="435" t="str">
        <f>IF(OR(E52&gt;=0.2,E52&lt;=-0.2),"超过20%","")</f>
        <v/>
      </c>
      <c r="G52" s="434">
        <f>IF(G47&lt;I47,I47/G47-1,G47/I47-1)</f>
        <v>3.111858704793935E-2</v>
      </c>
      <c r="H52" s="435" t="str">
        <f>IF(OR(G52&gt;=0.2,G52&lt;=-0.2),"超过20%","")</f>
        <v/>
      </c>
      <c r="I52" s="434">
        <f>IF(I47&lt;E47,E47/I47-1,I47/E47-1)</f>
        <v>9.884678747940745E-3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f>IF(E46&lt;G46,G46/E46-1,E46/G46-1)</f>
        <v>4.1260315078769594E-2</v>
      </c>
      <c r="F53" s="435" t="str">
        <f>IF(OR(E53&gt;=0.3,E53&lt;=-0.3),"超过30%","")</f>
        <v/>
      </c>
      <c r="G53" s="434">
        <f>IF(G46&lt;I46,I46/G46-1,G46/I46-1)</f>
        <v>4.1260315078769594E-2</v>
      </c>
      <c r="H53" s="435" t="str">
        <f>IF(OR(G53&gt;=0.3,G53&lt;=-0.3),"超过30%","")</f>
        <v/>
      </c>
      <c r="I53" s="434">
        <f>IF(I46&lt;E46,E46/I46-1,I46/E46-1)</f>
        <v>0</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33" t="s">
        <v>1885</v>
      </c>
      <c r="H55" s="3479"/>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f>C48</f>
        <v>1210</v>
      </c>
      <c r="C56" s="610">
        <v>1</v>
      </c>
      <c r="D56" s="890">
        <v>1</v>
      </c>
      <c r="E56" s="610">
        <f>'数据-汇总表'!E8+'数据-汇总表'!E9</f>
        <v>5090.0099999999984</v>
      </c>
      <c r="F56" s="833">
        <f t="shared" ref="F56:F64" si="15">ROUND(B56*E56/10000,0)</f>
        <v>616</v>
      </c>
      <c r="G56" s="3432"/>
      <c r="H56" s="345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f>ROUND($C$48*C57*D57,0)</f>
        <v>0</v>
      </c>
      <c r="C57" s="163">
        <f t="shared" ref="C57:C64" si="16">IF($C$55="北京市系数",I57,J57)</f>
        <v>0</v>
      </c>
      <c r="D57" s="891">
        <v>0.25</v>
      </c>
      <c r="E57" s="614"/>
      <c r="F57" s="833">
        <f t="shared" si="15"/>
        <v>0</v>
      </c>
      <c r="G57" s="2751" t="s">
        <v>1890</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f t="shared" si="17"/>
        <v>0</v>
      </c>
      <c r="C60" s="163">
        <f t="shared" si="16"/>
        <v>0</v>
      </c>
      <c r="D60" s="891">
        <v>0.25</v>
      </c>
      <c r="E60" s="209">
        <f>'数据-汇总表'!E11</f>
        <v>0</v>
      </c>
      <c r="F60" s="833">
        <f t="shared" si="15"/>
        <v>0</v>
      </c>
      <c r="G60" s="1835" t="s">
        <v>1894</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f t="shared" si="17"/>
        <v>0</v>
      </c>
      <c r="C61" s="163">
        <f t="shared" si="16"/>
        <v>0</v>
      </c>
      <c r="D61" s="891">
        <v>0.25</v>
      </c>
      <c r="E61" s="209">
        <f>'数据-汇总表'!E12</f>
        <v>85</v>
      </c>
      <c r="F61" s="833">
        <f t="shared" si="15"/>
        <v>0</v>
      </c>
      <c r="G61" s="839" t="s">
        <v>1896</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f t="shared" si="17"/>
        <v>0</v>
      </c>
      <c r="C62" s="163">
        <f t="shared" si="16"/>
        <v>0</v>
      </c>
      <c r="D62" s="891">
        <v>0.25</v>
      </c>
      <c r="E62" s="209">
        <f>'数据-汇总表'!E13</f>
        <v>6666.6000000000076</v>
      </c>
      <c r="F62" s="833">
        <f t="shared" si="15"/>
        <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f t="shared" si="17"/>
        <v>0</v>
      </c>
      <c r="C63" s="163">
        <f t="shared" si="16"/>
        <v>0</v>
      </c>
      <c r="D63" s="891">
        <v>0.25</v>
      </c>
      <c r="E63" s="209">
        <f>'数据-汇总表'!E14</f>
        <v>0</v>
      </c>
      <c r="F63" s="833">
        <f t="shared" si="15"/>
        <v>0</v>
      </c>
      <c r="G63" s="1835" t="s">
        <v>1890</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f t="shared" si="17"/>
        <v>0</v>
      </c>
      <c r="C64" s="163">
        <f t="shared" si="16"/>
        <v>0</v>
      </c>
      <c r="D64" s="891">
        <v>0.25</v>
      </c>
      <c r="E64" s="209">
        <f>'数据-汇总表'!E15</f>
        <v>0</v>
      </c>
      <c r="F64" s="833">
        <f t="shared" si="15"/>
        <v>0</v>
      </c>
      <c r="G64" s="1836" t="s">
        <v>1894</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11841.610000000006</v>
      </c>
      <c r="F65" s="617">
        <f>IF(B46="楼面地价",SUM(F56:F64),ROUND(C48*E65/10000,0))</f>
        <v>616</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0(含)-5000</v>
      </c>
      <c r="D115" s="461" t="str">
        <f t="shared" ref="D115:M115" si="25">D116&amp;"(含)"&amp;"-"&amp;E116</f>
        <v>5000(含)-10000</v>
      </c>
      <c r="E115" s="461" t="str">
        <f t="shared" si="25"/>
        <v>10000(含)-15000</v>
      </c>
      <c r="F115" s="461" t="str">
        <f t="shared" si="25"/>
        <v>15000(含)-20000</v>
      </c>
      <c r="G115" s="461" t="str">
        <f t="shared" si="25"/>
        <v>20000(含)-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5000</v>
      </c>
      <c r="E116" s="6">
        <v>10000</v>
      </c>
      <c r="F116" s="6">
        <v>15000</v>
      </c>
      <c r="G116" s="6">
        <v>20000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0137-F4A7-4E8D-BDF4-231F2FFAB1AF}">
  <dimension ref="A1:U301"/>
  <sheetViews>
    <sheetView workbookViewId="0">
      <selection activeCell="U14" sqref="A14:U14"/>
    </sheetView>
  </sheetViews>
  <sheetFormatPr defaultRowHeight="13.5"/>
  <cols>
    <col min="1" max="1" width="51" customWidth="1"/>
    <col min="2" max="2" width="9" hidden="1" customWidth="1"/>
    <col min="3" max="3" width="27.375" customWidth="1"/>
    <col min="4" max="4" width="16.25" customWidth="1"/>
    <col min="7" max="7" width="22.625" customWidth="1"/>
    <col min="8" max="8" width="0" hidden="1" customWidth="1"/>
    <col min="9" max="9" width="24" customWidth="1"/>
    <col min="10" max="11" width="0" hidden="1" customWidth="1"/>
    <col min="14" max="14" width="29.625" customWidth="1"/>
    <col min="16" max="16" width="0" hidden="1" customWidth="1"/>
    <col min="17" max="17" width="18.375" hidden="1" customWidth="1"/>
    <col min="19" max="19" width="19.375" bestFit="1" customWidth="1"/>
  </cols>
  <sheetData>
    <row r="1" spans="1:21" ht="14.25">
      <c r="A1" s="3480" t="s">
        <v>3433</v>
      </c>
      <c r="B1" s="3480" t="s">
        <v>3434</v>
      </c>
      <c r="C1" s="3480" t="s">
        <v>3435</v>
      </c>
      <c r="D1" s="3480" t="s">
        <v>3436</v>
      </c>
      <c r="E1" s="3480" t="s">
        <v>3437</v>
      </c>
      <c r="F1" s="3480" t="s">
        <v>3438</v>
      </c>
      <c r="G1" s="3480" t="s">
        <v>3439</v>
      </c>
      <c r="H1" s="3480" t="s">
        <v>3440</v>
      </c>
      <c r="I1" s="3480" t="s">
        <v>3441</v>
      </c>
      <c r="J1" s="3480" t="s">
        <v>3442</v>
      </c>
      <c r="K1" s="3480" t="s">
        <v>3443</v>
      </c>
      <c r="L1" s="3480" t="s">
        <v>3444</v>
      </c>
      <c r="M1" s="3480" t="s">
        <v>3445</v>
      </c>
      <c r="N1" s="3480" t="s">
        <v>3446</v>
      </c>
      <c r="O1" s="3480" t="s">
        <v>3447</v>
      </c>
      <c r="P1" s="3480" t="s">
        <v>3448</v>
      </c>
      <c r="Q1" s="3480" t="s">
        <v>3449</v>
      </c>
      <c r="R1" s="3480" t="s">
        <v>3450</v>
      </c>
      <c r="S1" s="3480" t="s">
        <v>3451</v>
      </c>
      <c r="T1" s="3480" t="s">
        <v>3452</v>
      </c>
    </row>
    <row r="2" spans="1:21" ht="14.25">
      <c r="A2" s="3480" t="s">
        <v>4791</v>
      </c>
      <c r="B2" s="3480" t="s">
        <v>3454</v>
      </c>
      <c r="C2" s="3480" t="s">
        <v>4792</v>
      </c>
      <c r="D2" s="3480" t="s">
        <v>3455</v>
      </c>
      <c r="E2" s="3480">
        <v>13550</v>
      </c>
      <c r="F2" s="3480">
        <v>47425</v>
      </c>
      <c r="G2" s="3480" t="s">
        <v>3925</v>
      </c>
      <c r="H2" s="3480" t="s">
        <v>3457</v>
      </c>
      <c r="I2" s="3480" t="s">
        <v>3407</v>
      </c>
      <c r="J2" s="3480" t="s">
        <v>3427</v>
      </c>
      <c r="K2" s="3480" t="s">
        <v>4793</v>
      </c>
      <c r="L2" s="3480" t="s">
        <v>4793</v>
      </c>
      <c r="M2" s="3480" t="s">
        <v>3460</v>
      </c>
      <c r="N2" s="3480" t="s">
        <v>4794</v>
      </c>
      <c r="O2" s="3480">
        <v>12201</v>
      </c>
      <c r="P2" s="3480">
        <v>2450</v>
      </c>
      <c r="Q2" s="3480" t="s">
        <v>4795</v>
      </c>
      <c r="R2" s="3480">
        <v>12201</v>
      </c>
      <c r="S2" s="3480">
        <v>2573</v>
      </c>
      <c r="T2" s="3480">
        <v>0</v>
      </c>
      <c r="U2">
        <f>R2/E2*10000</f>
        <v>9004.4280442804429</v>
      </c>
    </row>
    <row r="3" spans="1:21" s="3183" customFormat="1" ht="14.25">
      <c r="A3" s="3481" t="s">
        <v>4796</v>
      </c>
      <c r="B3" s="3481" t="s">
        <v>3454</v>
      </c>
      <c r="C3" s="3481" t="s">
        <v>4797</v>
      </c>
      <c r="D3" s="3481" t="s">
        <v>3464</v>
      </c>
      <c r="E3" s="3481">
        <v>21389</v>
      </c>
      <c r="F3" s="3481">
        <v>49194.7</v>
      </c>
      <c r="G3" s="3481" t="s">
        <v>3471</v>
      </c>
      <c r="H3" s="3481" t="s">
        <v>3457</v>
      </c>
      <c r="I3" s="3481" t="s">
        <v>3408</v>
      </c>
      <c r="J3" s="3481" t="s">
        <v>3427</v>
      </c>
      <c r="K3" s="3481" t="s">
        <v>4798</v>
      </c>
      <c r="L3" s="3481" t="s">
        <v>4798</v>
      </c>
      <c r="M3" s="3481" t="s">
        <v>3460</v>
      </c>
      <c r="N3" s="3481" t="s">
        <v>4799</v>
      </c>
      <c r="O3" s="3481">
        <v>16684</v>
      </c>
      <c r="P3" s="3481">
        <v>3337</v>
      </c>
      <c r="Q3" s="3481" t="s">
        <v>4800</v>
      </c>
      <c r="R3" s="3481">
        <v>20184</v>
      </c>
      <c r="S3" s="3481">
        <v>4103</v>
      </c>
      <c r="T3" s="3481">
        <v>20.98</v>
      </c>
      <c r="U3">
        <f t="shared" ref="U3:U57" si="0">R3/E3*10000</f>
        <v>9436.6263032399838</v>
      </c>
    </row>
    <row r="4" spans="1:21" s="3183" customFormat="1" ht="14.25">
      <c r="A4" s="3481" t="s">
        <v>4801</v>
      </c>
      <c r="B4" s="3481" t="s">
        <v>3454</v>
      </c>
      <c r="C4" s="3481" t="s">
        <v>4802</v>
      </c>
      <c r="D4" s="3481" t="s">
        <v>3464</v>
      </c>
      <c r="E4" s="3481">
        <v>36667</v>
      </c>
      <c r="F4" s="3481">
        <v>73334</v>
      </c>
      <c r="G4" s="3481" t="s">
        <v>3523</v>
      </c>
      <c r="H4" s="3481" t="s">
        <v>3457</v>
      </c>
      <c r="I4" s="3481" t="s">
        <v>3408</v>
      </c>
      <c r="J4" s="3481" t="s">
        <v>3427</v>
      </c>
      <c r="K4" s="3481" t="s">
        <v>4803</v>
      </c>
      <c r="L4" s="3481" t="s">
        <v>4803</v>
      </c>
      <c r="M4" s="3481" t="s">
        <v>3460</v>
      </c>
      <c r="N4" s="3481" t="s">
        <v>4172</v>
      </c>
      <c r="O4" s="3481">
        <v>10030</v>
      </c>
      <c r="P4" s="3481">
        <v>2006</v>
      </c>
      <c r="Q4" s="3481" t="s">
        <v>4804</v>
      </c>
      <c r="R4" s="3481">
        <v>10030</v>
      </c>
      <c r="S4" s="3481">
        <v>1368</v>
      </c>
      <c r="T4" s="3481">
        <v>0</v>
      </c>
      <c r="U4">
        <f t="shared" si="0"/>
        <v>2735.4296779120191</v>
      </c>
    </row>
    <row r="5" spans="1:21" ht="14.25">
      <c r="A5" s="3547" t="s">
        <v>4805</v>
      </c>
      <c r="B5" s="3547" t="s">
        <v>3454</v>
      </c>
      <c r="C5" s="3547" t="s">
        <v>4806</v>
      </c>
      <c r="D5" s="3547" t="s">
        <v>3455</v>
      </c>
      <c r="E5" s="3547">
        <v>21437</v>
      </c>
      <c r="F5" s="3547">
        <v>85748</v>
      </c>
      <c r="G5" s="3547" t="s">
        <v>3765</v>
      </c>
      <c r="H5" s="3547" t="s">
        <v>3457</v>
      </c>
      <c r="I5" s="3547" t="s">
        <v>3973</v>
      </c>
      <c r="J5" s="3547" t="s">
        <v>3427</v>
      </c>
      <c r="K5" s="3547" t="s">
        <v>4807</v>
      </c>
      <c r="L5" s="3547" t="s">
        <v>4807</v>
      </c>
      <c r="M5" s="3547" t="s">
        <v>3460</v>
      </c>
      <c r="N5" s="3547" t="s">
        <v>4808</v>
      </c>
      <c r="O5" s="3547">
        <v>11900</v>
      </c>
      <c r="P5" s="3547">
        <v>2380</v>
      </c>
      <c r="Q5" s="3547" t="s">
        <v>4809</v>
      </c>
      <c r="R5" s="3547">
        <v>11900</v>
      </c>
      <c r="S5" s="3547">
        <v>1388</v>
      </c>
      <c r="T5" s="3547">
        <v>0</v>
      </c>
      <c r="U5" s="3548">
        <f t="shared" si="0"/>
        <v>5551.1498810467883</v>
      </c>
    </row>
    <row r="6" spans="1:21" ht="14.25">
      <c r="A6" s="3480" t="s">
        <v>4810</v>
      </c>
      <c r="B6" s="3480" t="s">
        <v>3454</v>
      </c>
      <c r="C6" s="3480" t="s">
        <v>4811</v>
      </c>
      <c r="D6" s="3480" t="s">
        <v>3464</v>
      </c>
      <c r="E6" s="3480">
        <v>32728</v>
      </c>
      <c r="F6" s="3480">
        <v>75274.399999999994</v>
      </c>
      <c r="G6" s="3480" t="s">
        <v>4812</v>
      </c>
      <c r="H6" s="3480" t="s">
        <v>3457</v>
      </c>
      <c r="I6" s="3480" t="s">
        <v>3408</v>
      </c>
      <c r="J6" s="3480" t="s">
        <v>3427</v>
      </c>
      <c r="K6" s="3480" t="s">
        <v>4813</v>
      </c>
      <c r="L6" s="3480" t="s">
        <v>4813</v>
      </c>
      <c r="M6" s="3480" t="s">
        <v>3460</v>
      </c>
      <c r="N6" s="3480" t="s">
        <v>4814</v>
      </c>
      <c r="O6" s="3480">
        <v>21610</v>
      </c>
      <c r="P6" s="3480">
        <v>4330</v>
      </c>
      <c r="Q6" s="3480" t="s">
        <v>4815</v>
      </c>
      <c r="R6" s="3480">
        <v>21610</v>
      </c>
      <c r="S6" s="3480">
        <v>2871</v>
      </c>
      <c r="T6" s="3480">
        <v>0</v>
      </c>
      <c r="U6">
        <f t="shared" si="0"/>
        <v>6602.9088242483504</v>
      </c>
    </row>
    <row r="7" spans="1:21" s="3159" customFormat="1" ht="14.25">
      <c r="A7" s="3546" t="s">
        <v>4816</v>
      </c>
      <c r="B7" s="3546" t="s">
        <v>3454</v>
      </c>
      <c r="C7" s="3546" t="s">
        <v>4817</v>
      </c>
      <c r="D7" s="3546" t="s">
        <v>3464</v>
      </c>
      <c r="E7" s="3546">
        <v>19685</v>
      </c>
      <c r="F7" s="3546">
        <v>43307</v>
      </c>
      <c r="G7" s="3546" t="s">
        <v>4818</v>
      </c>
      <c r="H7" s="3546" t="s">
        <v>3457</v>
      </c>
      <c r="I7" s="3546" t="s">
        <v>3408</v>
      </c>
      <c r="J7" s="3546" t="s">
        <v>3427</v>
      </c>
      <c r="K7" s="3546" t="s">
        <v>4819</v>
      </c>
      <c r="L7" s="3546" t="s">
        <v>4819</v>
      </c>
      <c r="M7" s="3546" t="s">
        <v>3460</v>
      </c>
      <c r="N7" s="3546" t="s">
        <v>4820</v>
      </c>
      <c r="O7" s="3546">
        <v>13000</v>
      </c>
      <c r="P7" s="3546">
        <v>2600</v>
      </c>
      <c r="Q7" s="3546" t="s">
        <v>4821</v>
      </c>
      <c r="R7" s="3546">
        <v>13000</v>
      </c>
      <c r="S7" s="3546">
        <v>3002</v>
      </c>
      <c r="T7" s="3546">
        <v>0</v>
      </c>
      <c r="U7">
        <f t="shared" si="0"/>
        <v>6604.0132080264157</v>
      </c>
    </row>
    <row r="8" spans="1:21" ht="14.25">
      <c r="A8" s="3480" t="s">
        <v>4822</v>
      </c>
      <c r="B8" s="3480" t="s">
        <v>3454</v>
      </c>
      <c r="C8" s="3480" t="s">
        <v>4823</v>
      </c>
      <c r="D8" s="3480" t="s">
        <v>3455</v>
      </c>
      <c r="E8" s="3480">
        <v>26328</v>
      </c>
      <c r="F8" s="3480">
        <v>68452.800000000003</v>
      </c>
      <c r="G8" s="3480" t="s">
        <v>4824</v>
      </c>
      <c r="H8" s="3480" t="s">
        <v>3457</v>
      </c>
      <c r="I8" s="3480" t="s">
        <v>3407</v>
      </c>
      <c r="J8" s="3480" t="s">
        <v>3427</v>
      </c>
      <c r="K8" s="3480" t="s">
        <v>4825</v>
      </c>
      <c r="L8" s="3480" t="s">
        <v>4825</v>
      </c>
      <c r="M8" s="3480" t="s">
        <v>3460</v>
      </c>
      <c r="N8" s="3480" t="s">
        <v>4826</v>
      </c>
      <c r="O8" s="3480">
        <v>11850</v>
      </c>
      <c r="P8" s="3480">
        <v>2370</v>
      </c>
      <c r="Q8" s="3480" t="s">
        <v>4827</v>
      </c>
      <c r="R8" s="3480">
        <v>11850</v>
      </c>
      <c r="S8" s="3480">
        <v>1731</v>
      </c>
      <c r="T8" s="3480">
        <v>0</v>
      </c>
      <c r="U8">
        <f t="shared" si="0"/>
        <v>4500.9115770282588</v>
      </c>
    </row>
    <row r="9" spans="1:21" ht="14.25">
      <c r="A9" s="3480" t="s">
        <v>3480</v>
      </c>
      <c r="B9" s="3480" t="s">
        <v>3454</v>
      </c>
      <c r="C9" s="3480" t="s">
        <v>3481</v>
      </c>
      <c r="D9" s="3480" t="s">
        <v>3455</v>
      </c>
      <c r="E9" s="3480">
        <v>259</v>
      </c>
      <c r="F9" s="3480">
        <v>1554</v>
      </c>
      <c r="G9" s="3480" t="s">
        <v>3482</v>
      </c>
      <c r="H9" s="3480" t="s">
        <v>3457</v>
      </c>
      <c r="I9" s="3480" t="s">
        <v>3458</v>
      </c>
      <c r="J9" s="3480" t="s">
        <v>3427</v>
      </c>
      <c r="K9" s="3480" t="s">
        <v>3483</v>
      </c>
      <c r="L9" s="3480" t="s">
        <v>3483</v>
      </c>
      <c r="M9" s="3480" t="s">
        <v>3460</v>
      </c>
      <c r="N9" s="3480" t="s">
        <v>3484</v>
      </c>
      <c r="O9" s="3480">
        <v>160</v>
      </c>
      <c r="P9" s="3480">
        <v>40</v>
      </c>
      <c r="Q9" s="3480" t="s">
        <v>3485</v>
      </c>
      <c r="R9" s="3480">
        <v>160</v>
      </c>
      <c r="S9" s="3480">
        <v>1030</v>
      </c>
      <c r="T9" s="3480">
        <v>0</v>
      </c>
      <c r="U9">
        <f t="shared" si="0"/>
        <v>6177.6061776061779</v>
      </c>
    </row>
    <row r="10" spans="1:21" ht="14.25">
      <c r="A10" s="3547" t="s">
        <v>3486</v>
      </c>
      <c r="B10" s="3547" t="s">
        <v>3454</v>
      </c>
      <c r="C10" s="3547" t="s">
        <v>3487</v>
      </c>
      <c r="D10" s="3547" t="s">
        <v>3455</v>
      </c>
      <c r="E10" s="3547">
        <v>13940</v>
      </c>
      <c r="F10" s="3547">
        <v>55760</v>
      </c>
      <c r="G10" s="3547" t="s">
        <v>3488</v>
      </c>
      <c r="H10" s="3547" t="s">
        <v>3457</v>
      </c>
      <c r="I10" s="3547" t="s">
        <v>3458</v>
      </c>
      <c r="J10" s="3547" t="s">
        <v>3427</v>
      </c>
      <c r="K10" s="3547" t="s">
        <v>3483</v>
      </c>
      <c r="L10" s="3547" t="s">
        <v>3483</v>
      </c>
      <c r="M10" s="3547" t="s">
        <v>3460</v>
      </c>
      <c r="N10" s="3547" t="s">
        <v>3484</v>
      </c>
      <c r="O10" s="3547">
        <v>7430</v>
      </c>
      <c r="P10" s="3547">
        <v>1490</v>
      </c>
      <c r="Q10" s="3547" t="s">
        <v>3485</v>
      </c>
      <c r="R10" s="3547">
        <v>7430</v>
      </c>
      <c r="S10" s="3547">
        <v>1333</v>
      </c>
      <c r="T10" s="3547">
        <v>0</v>
      </c>
      <c r="U10" s="3548">
        <f t="shared" si="0"/>
        <v>5329.9856527977045</v>
      </c>
    </row>
    <row r="11" spans="1:21" s="3183" customFormat="1" ht="14.25">
      <c r="A11" s="3481" t="s">
        <v>3536</v>
      </c>
      <c r="B11" s="3481" t="s">
        <v>3454</v>
      </c>
      <c r="C11" s="3481" t="s">
        <v>3537</v>
      </c>
      <c r="D11" s="3481" t="s">
        <v>3455</v>
      </c>
      <c r="E11" s="3481">
        <v>6260</v>
      </c>
      <c r="F11" s="3481">
        <v>10016</v>
      </c>
      <c r="G11" s="3481" t="s">
        <v>3538</v>
      </c>
      <c r="H11" s="3481" t="s">
        <v>3457</v>
      </c>
      <c r="I11" s="3481" t="s">
        <v>3407</v>
      </c>
      <c r="J11" s="3481" t="s">
        <v>3427</v>
      </c>
      <c r="K11" s="3481" t="s">
        <v>3512</v>
      </c>
      <c r="L11" s="3481" t="s">
        <v>3512</v>
      </c>
      <c r="M11" s="3481" t="s">
        <v>3460</v>
      </c>
      <c r="N11" s="3481" t="s">
        <v>3539</v>
      </c>
      <c r="O11" s="3481">
        <v>3006</v>
      </c>
      <c r="P11" s="3481">
        <v>601</v>
      </c>
      <c r="Q11" s="3481" t="s">
        <v>3514</v>
      </c>
      <c r="R11" s="3481">
        <v>3006</v>
      </c>
      <c r="S11" s="3481">
        <v>3001</v>
      </c>
      <c r="T11" s="3481">
        <v>0</v>
      </c>
      <c r="U11">
        <f t="shared" si="0"/>
        <v>4801.9169329073484</v>
      </c>
    </row>
    <row r="12" spans="1:21" ht="14.25">
      <c r="A12" s="3480" t="s">
        <v>3544</v>
      </c>
      <c r="B12" s="3480" t="s">
        <v>3454</v>
      </c>
      <c r="C12" s="3480" t="s">
        <v>3545</v>
      </c>
      <c r="D12" s="3480" t="s">
        <v>3464</v>
      </c>
      <c r="E12" s="3480">
        <v>28649</v>
      </c>
      <c r="F12" s="3480">
        <v>74487.399999999994</v>
      </c>
      <c r="G12" s="3480" t="s">
        <v>3546</v>
      </c>
      <c r="H12" s="3480" t="s">
        <v>3457</v>
      </c>
      <c r="I12" s="3480" t="s">
        <v>3408</v>
      </c>
      <c r="J12" s="3480" t="s">
        <v>3427</v>
      </c>
      <c r="K12" s="3480" t="s">
        <v>3512</v>
      </c>
      <c r="L12" s="3480" t="s">
        <v>3512</v>
      </c>
      <c r="M12" s="3480" t="s">
        <v>3460</v>
      </c>
      <c r="N12" s="3480" t="s">
        <v>3539</v>
      </c>
      <c r="O12" s="3480">
        <v>50376</v>
      </c>
      <c r="P12" s="3480">
        <v>10677</v>
      </c>
      <c r="Q12" s="3480" t="s">
        <v>3514</v>
      </c>
      <c r="R12" s="3480">
        <v>53376</v>
      </c>
      <c r="S12" s="3480">
        <v>7166</v>
      </c>
      <c r="T12" s="3480">
        <v>5.96</v>
      </c>
      <c r="U12">
        <f t="shared" si="0"/>
        <v>18631.016789416735</v>
      </c>
    </row>
    <row r="13" spans="1:21" ht="14.25">
      <c r="A13" s="3480" t="s">
        <v>3717</v>
      </c>
      <c r="B13" s="3480" t="s">
        <v>3454</v>
      </c>
      <c r="C13" s="3480" t="s">
        <v>3718</v>
      </c>
      <c r="D13" s="3480" t="s">
        <v>3455</v>
      </c>
      <c r="E13" s="3480">
        <v>24170</v>
      </c>
      <c r="F13" s="3480">
        <v>31421</v>
      </c>
      <c r="G13" s="3480" t="s">
        <v>3719</v>
      </c>
      <c r="H13" s="3480" t="s">
        <v>3457</v>
      </c>
      <c r="I13" s="3480" t="s">
        <v>3407</v>
      </c>
      <c r="J13" s="3480" t="s">
        <v>3427</v>
      </c>
      <c r="K13" s="3480" t="s">
        <v>3705</v>
      </c>
      <c r="L13" s="3480" t="s">
        <v>3705</v>
      </c>
      <c r="M13" s="3480" t="s">
        <v>3460</v>
      </c>
      <c r="N13" s="3480" t="s">
        <v>3720</v>
      </c>
      <c r="O13" s="3480">
        <v>3210</v>
      </c>
      <c r="P13" s="3480">
        <v>642</v>
      </c>
      <c r="Q13" s="3480" t="s">
        <v>3706</v>
      </c>
      <c r="R13" s="3480">
        <v>3210</v>
      </c>
      <c r="S13" s="3480">
        <v>1022</v>
      </c>
      <c r="T13" s="3480">
        <v>0</v>
      </c>
      <c r="U13">
        <f t="shared" si="0"/>
        <v>1328.0926768721554</v>
      </c>
    </row>
    <row r="14" spans="1:21" ht="14.25">
      <c r="A14" s="3550" t="s">
        <v>3757</v>
      </c>
      <c r="B14" s="3550" t="s">
        <v>3454</v>
      </c>
      <c r="C14" s="3550" t="s">
        <v>3758</v>
      </c>
      <c r="D14" s="3550" t="s">
        <v>3455</v>
      </c>
      <c r="E14" s="3550">
        <v>20853</v>
      </c>
      <c r="F14" s="3550">
        <v>52132.5</v>
      </c>
      <c r="G14" s="3550" t="s">
        <v>3759</v>
      </c>
      <c r="H14" s="3550" t="s">
        <v>3457</v>
      </c>
      <c r="I14" s="3550" t="s">
        <v>3407</v>
      </c>
      <c r="J14" s="3550" t="s">
        <v>3427</v>
      </c>
      <c r="K14" s="3550" t="s">
        <v>3760</v>
      </c>
      <c r="L14" s="3550" t="s">
        <v>3760</v>
      </c>
      <c r="M14" s="3550" t="s">
        <v>3460</v>
      </c>
      <c r="N14" s="3550" t="s">
        <v>3761</v>
      </c>
      <c r="O14" s="3550">
        <v>9080</v>
      </c>
      <c r="P14" s="3550">
        <v>1820</v>
      </c>
      <c r="Q14" s="3550" t="s">
        <v>3762</v>
      </c>
      <c r="R14" s="3550">
        <v>9080</v>
      </c>
      <c r="S14" s="3550">
        <v>1742</v>
      </c>
      <c r="T14" s="3550">
        <v>0</v>
      </c>
      <c r="U14" s="3551">
        <f t="shared" si="0"/>
        <v>4354.2895506641735</v>
      </c>
    </row>
    <row r="15" spans="1:21" s="3183" customFormat="1" ht="14.25">
      <c r="A15" s="3549" t="s">
        <v>3763</v>
      </c>
      <c r="B15" s="3549" t="s">
        <v>3454</v>
      </c>
      <c r="C15" s="3549" t="s">
        <v>3764</v>
      </c>
      <c r="D15" s="3549" t="s">
        <v>3455</v>
      </c>
      <c r="E15" s="3549">
        <v>19581</v>
      </c>
      <c r="F15" s="3549">
        <v>78324</v>
      </c>
      <c r="G15" s="3549" t="s">
        <v>3765</v>
      </c>
      <c r="H15" s="3549" t="s">
        <v>3457</v>
      </c>
      <c r="I15" s="3549" t="s">
        <v>3407</v>
      </c>
      <c r="J15" s="3549" t="s">
        <v>3427</v>
      </c>
      <c r="K15" s="3549" t="s">
        <v>3760</v>
      </c>
      <c r="L15" s="3549" t="s">
        <v>3760</v>
      </c>
      <c r="M15" s="3549" t="s">
        <v>3460</v>
      </c>
      <c r="N15" s="3549" t="s">
        <v>3761</v>
      </c>
      <c r="O15" s="3549">
        <v>10870</v>
      </c>
      <c r="P15" s="3549">
        <v>2180</v>
      </c>
      <c r="Q15" s="3549" t="s">
        <v>3762</v>
      </c>
      <c r="R15" s="3549">
        <v>10870</v>
      </c>
      <c r="S15" s="3549">
        <v>1388</v>
      </c>
      <c r="T15" s="3549">
        <v>0</v>
      </c>
      <c r="U15" s="3548">
        <f t="shared" si="0"/>
        <v>5551.299729329452</v>
      </c>
    </row>
    <row r="16" spans="1:21" ht="14.25">
      <c r="A16" s="3480" t="s">
        <v>3766</v>
      </c>
      <c r="B16" s="3480" t="s">
        <v>3454</v>
      </c>
      <c r="C16" s="3480" t="s">
        <v>3767</v>
      </c>
      <c r="D16" s="3480" t="s">
        <v>3464</v>
      </c>
      <c r="E16" s="3480">
        <v>20839</v>
      </c>
      <c r="F16" s="3480">
        <v>45845.8</v>
      </c>
      <c r="G16" s="3480" t="s">
        <v>3531</v>
      </c>
      <c r="H16" s="3480" t="s">
        <v>3457</v>
      </c>
      <c r="I16" s="3480" t="s">
        <v>3408</v>
      </c>
      <c r="J16" s="3480" t="s">
        <v>3427</v>
      </c>
      <c r="K16" s="3480" t="s">
        <v>3760</v>
      </c>
      <c r="L16" s="3480" t="s">
        <v>3760</v>
      </c>
      <c r="M16" s="3480" t="s">
        <v>3460</v>
      </c>
      <c r="N16" s="3480" t="s">
        <v>3761</v>
      </c>
      <c r="O16" s="3480">
        <v>13760</v>
      </c>
      <c r="P16" s="3480">
        <v>2760</v>
      </c>
      <c r="Q16" s="3480" t="s">
        <v>3762</v>
      </c>
      <c r="R16" s="3480">
        <v>13760</v>
      </c>
      <c r="S16" s="3480">
        <v>3001</v>
      </c>
      <c r="T16" s="3480">
        <v>0</v>
      </c>
      <c r="U16">
        <f t="shared" si="0"/>
        <v>6603.0039829166462</v>
      </c>
    </row>
    <row r="17" spans="1:21" ht="14.25">
      <c r="A17" s="3480" t="s">
        <v>3801</v>
      </c>
      <c r="B17" s="3480" t="s">
        <v>3454</v>
      </c>
      <c r="C17" s="3480" t="s">
        <v>3802</v>
      </c>
      <c r="D17" s="3480" t="s">
        <v>3464</v>
      </c>
      <c r="E17" s="3480">
        <v>62665</v>
      </c>
      <c r="F17" s="3480">
        <v>68931.5</v>
      </c>
      <c r="G17" s="3480" t="s">
        <v>3682</v>
      </c>
      <c r="H17" s="3480" t="s">
        <v>3457</v>
      </c>
      <c r="I17" s="3480" t="s">
        <v>3408</v>
      </c>
      <c r="J17" s="3480" t="s">
        <v>3427</v>
      </c>
      <c r="K17" s="3480" t="s">
        <v>3788</v>
      </c>
      <c r="L17" s="3480" t="s">
        <v>3788</v>
      </c>
      <c r="M17" s="3480" t="s">
        <v>3460</v>
      </c>
      <c r="N17" s="3480" t="s">
        <v>3803</v>
      </c>
      <c r="O17" s="3480">
        <v>47000</v>
      </c>
      <c r="P17" s="3480">
        <v>9400</v>
      </c>
      <c r="Q17" s="3480" t="s">
        <v>3790</v>
      </c>
      <c r="R17" s="3480">
        <v>47000</v>
      </c>
      <c r="S17" s="3480">
        <v>6818</v>
      </c>
      <c r="T17" s="3480">
        <v>0</v>
      </c>
      <c r="U17">
        <f t="shared" si="0"/>
        <v>7500.1994733902502</v>
      </c>
    </row>
    <row r="18" spans="1:21" ht="14.25">
      <c r="A18" s="3480" t="s">
        <v>3808</v>
      </c>
      <c r="B18" s="3480" t="s">
        <v>3454</v>
      </c>
      <c r="C18" s="3480" t="s">
        <v>3809</v>
      </c>
      <c r="D18" s="3480" t="s">
        <v>3464</v>
      </c>
      <c r="E18" s="3480">
        <v>29618</v>
      </c>
      <c r="F18" s="3480">
        <v>32579.8</v>
      </c>
      <c r="G18" s="3480" t="s">
        <v>3682</v>
      </c>
      <c r="H18" s="3480" t="s">
        <v>3457</v>
      </c>
      <c r="I18" s="3480" t="s">
        <v>3408</v>
      </c>
      <c r="J18" s="3480" t="s">
        <v>3427</v>
      </c>
      <c r="K18" s="3480" t="s">
        <v>3788</v>
      </c>
      <c r="L18" s="3480" t="s">
        <v>3788</v>
      </c>
      <c r="M18" s="3480" t="s">
        <v>3460</v>
      </c>
      <c r="N18" s="3480" t="s">
        <v>3803</v>
      </c>
      <c r="O18" s="3480">
        <v>22220</v>
      </c>
      <c r="P18" s="3480">
        <v>4450</v>
      </c>
      <c r="Q18" s="3480" t="s">
        <v>3790</v>
      </c>
      <c r="R18" s="3480">
        <v>25720</v>
      </c>
      <c r="S18" s="3480">
        <v>7894</v>
      </c>
      <c r="T18" s="3480">
        <v>15.75</v>
      </c>
      <c r="U18">
        <f t="shared" si="0"/>
        <v>8683.9084340603695</v>
      </c>
    </row>
    <row r="19" spans="1:21" s="3183" customFormat="1" ht="14.25">
      <c r="A19" s="3481" t="s">
        <v>3810</v>
      </c>
      <c r="B19" s="3481" t="s">
        <v>3454</v>
      </c>
      <c r="C19" s="3481" t="s">
        <v>3811</v>
      </c>
      <c r="D19" s="3481" t="s">
        <v>3455</v>
      </c>
      <c r="E19" s="3481">
        <v>2035</v>
      </c>
      <c r="F19" s="3481">
        <v>5291</v>
      </c>
      <c r="G19" s="3481" t="s">
        <v>3546</v>
      </c>
      <c r="H19" s="3481" t="s">
        <v>3457</v>
      </c>
      <c r="I19" s="3481" t="s">
        <v>3407</v>
      </c>
      <c r="J19" s="3481" t="s">
        <v>3427</v>
      </c>
      <c r="K19" s="3481" t="s">
        <v>3788</v>
      </c>
      <c r="L19" s="3481" t="s">
        <v>3788</v>
      </c>
      <c r="M19" s="3481" t="s">
        <v>3460</v>
      </c>
      <c r="N19" s="3481" t="s">
        <v>3812</v>
      </c>
      <c r="O19" s="3481">
        <v>1772</v>
      </c>
      <c r="P19" s="3481">
        <v>355</v>
      </c>
      <c r="Q19" s="3481" t="s">
        <v>3790</v>
      </c>
      <c r="R19" s="3481">
        <v>1772</v>
      </c>
      <c r="S19" s="3481">
        <v>3349</v>
      </c>
      <c r="T19" s="3481">
        <v>0</v>
      </c>
      <c r="U19">
        <f t="shared" si="0"/>
        <v>8707.6167076167076</v>
      </c>
    </row>
    <row r="20" spans="1:21" ht="14.25">
      <c r="A20" s="3480" t="s">
        <v>3813</v>
      </c>
      <c r="B20" s="3480" t="s">
        <v>3454</v>
      </c>
      <c r="C20" s="3480" t="s">
        <v>3814</v>
      </c>
      <c r="D20" s="3480" t="s">
        <v>3464</v>
      </c>
      <c r="E20" s="3480">
        <v>37590</v>
      </c>
      <c r="F20" s="3480">
        <v>41349</v>
      </c>
      <c r="G20" s="3480" t="s">
        <v>3682</v>
      </c>
      <c r="H20" s="3480" t="s">
        <v>3457</v>
      </c>
      <c r="I20" s="3480" t="s">
        <v>3408</v>
      </c>
      <c r="J20" s="3480" t="s">
        <v>3427</v>
      </c>
      <c r="K20" s="3480" t="s">
        <v>3788</v>
      </c>
      <c r="L20" s="3480" t="s">
        <v>3788</v>
      </c>
      <c r="M20" s="3480" t="s">
        <v>3460</v>
      </c>
      <c r="N20" s="3480" t="s">
        <v>3803</v>
      </c>
      <c r="O20" s="3480">
        <v>28200</v>
      </c>
      <c r="P20" s="3480">
        <v>5640</v>
      </c>
      <c r="Q20" s="3480" t="s">
        <v>3790</v>
      </c>
      <c r="R20" s="3480">
        <v>30700</v>
      </c>
      <c r="S20" s="3480">
        <v>7425</v>
      </c>
      <c r="T20" s="3480">
        <v>8.8699999999999992</v>
      </c>
      <c r="U20">
        <f t="shared" si="0"/>
        <v>8167.0657089651495</v>
      </c>
    </row>
    <row r="21" spans="1:21" ht="14.25">
      <c r="A21" s="3480" t="s">
        <v>3876</v>
      </c>
      <c r="B21" s="3480" t="s">
        <v>3454</v>
      </c>
      <c r="C21" s="3480" t="s">
        <v>3877</v>
      </c>
      <c r="D21" s="3480" t="s">
        <v>3455</v>
      </c>
      <c r="E21" s="3480">
        <v>14603</v>
      </c>
      <c r="F21" s="3480">
        <v>11682.4</v>
      </c>
      <c r="G21" s="3480" t="s">
        <v>3878</v>
      </c>
      <c r="H21" s="3480" t="s">
        <v>3457</v>
      </c>
      <c r="I21" s="3480" t="s">
        <v>3458</v>
      </c>
      <c r="J21" s="3480" t="s">
        <v>3427</v>
      </c>
      <c r="K21" s="3480" t="s">
        <v>3873</v>
      </c>
      <c r="L21" s="3480" t="s">
        <v>3873</v>
      </c>
      <c r="M21" s="3480" t="s">
        <v>3460</v>
      </c>
      <c r="N21" s="3480" t="s">
        <v>3879</v>
      </c>
      <c r="O21" s="3480">
        <v>3950</v>
      </c>
      <c r="P21" s="3480">
        <v>790</v>
      </c>
      <c r="Q21" s="3480" t="s">
        <v>3875</v>
      </c>
      <c r="R21" s="3480">
        <v>3950</v>
      </c>
      <c r="S21" s="3480">
        <v>3381</v>
      </c>
      <c r="T21" s="3480">
        <v>0</v>
      </c>
      <c r="U21">
        <f t="shared" si="0"/>
        <v>2704.9236458261998</v>
      </c>
    </row>
    <row r="22" spans="1:21" ht="14.25">
      <c r="A22" s="3480" t="s">
        <v>3881</v>
      </c>
      <c r="B22" s="3480" t="s">
        <v>3454</v>
      </c>
      <c r="C22" s="3480" t="s">
        <v>3882</v>
      </c>
      <c r="D22" s="3480" t="s">
        <v>3455</v>
      </c>
      <c r="E22" s="3480">
        <v>29047</v>
      </c>
      <c r="F22" s="3480">
        <v>23237.599999999999</v>
      </c>
      <c r="G22" s="3480" t="s">
        <v>3878</v>
      </c>
      <c r="H22" s="3480" t="s">
        <v>3457</v>
      </c>
      <c r="I22" s="3480" t="s">
        <v>3458</v>
      </c>
      <c r="J22" s="3480" t="s">
        <v>3427</v>
      </c>
      <c r="K22" s="3480" t="s">
        <v>3873</v>
      </c>
      <c r="L22" s="3480" t="s">
        <v>3873</v>
      </c>
      <c r="M22" s="3480" t="s">
        <v>3460</v>
      </c>
      <c r="N22" s="3480" t="s">
        <v>3879</v>
      </c>
      <c r="O22" s="3480">
        <v>7850</v>
      </c>
      <c r="P22" s="3480">
        <v>1570</v>
      </c>
      <c r="Q22" s="3480" t="s">
        <v>3875</v>
      </c>
      <c r="R22" s="3480">
        <v>7850</v>
      </c>
      <c r="S22" s="3480">
        <v>3378</v>
      </c>
      <c r="T22" s="3480">
        <v>0</v>
      </c>
      <c r="U22">
        <f t="shared" si="0"/>
        <v>2702.5166110097425</v>
      </c>
    </row>
    <row r="23" spans="1:21" ht="14.25">
      <c r="A23" s="3480" t="s">
        <v>3887</v>
      </c>
      <c r="B23" s="3480" t="s">
        <v>3454</v>
      </c>
      <c r="C23" s="3480" t="s">
        <v>3888</v>
      </c>
      <c r="D23" s="3480" t="s">
        <v>3455</v>
      </c>
      <c r="E23" s="3480">
        <v>6079</v>
      </c>
      <c r="F23" s="3480">
        <v>3647.4</v>
      </c>
      <c r="G23" s="3480" t="s">
        <v>3889</v>
      </c>
      <c r="H23" s="3480" t="s">
        <v>3457</v>
      </c>
      <c r="I23" s="3480" t="s">
        <v>3458</v>
      </c>
      <c r="J23" s="3480" t="s">
        <v>3427</v>
      </c>
      <c r="K23" s="3480" t="s">
        <v>3873</v>
      </c>
      <c r="L23" s="3480" t="s">
        <v>3873</v>
      </c>
      <c r="M23" s="3480" t="s">
        <v>3460</v>
      </c>
      <c r="N23" s="3480" t="s">
        <v>3879</v>
      </c>
      <c r="O23" s="3480">
        <v>1140</v>
      </c>
      <c r="P23" s="3480">
        <v>230</v>
      </c>
      <c r="Q23" s="3480" t="s">
        <v>3875</v>
      </c>
      <c r="R23" s="3480">
        <v>1140</v>
      </c>
      <c r="S23" s="3480">
        <v>3126</v>
      </c>
      <c r="T23" s="3480">
        <v>0</v>
      </c>
      <c r="U23">
        <f t="shared" si="0"/>
        <v>1875.3084388879752</v>
      </c>
    </row>
    <row r="24" spans="1:21" ht="14.25">
      <c r="A24" s="3480" t="s">
        <v>3890</v>
      </c>
      <c r="B24" s="3480" t="s">
        <v>3454</v>
      </c>
      <c r="C24" s="3480" t="s">
        <v>3891</v>
      </c>
      <c r="D24" s="3480" t="s">
        <v>3455</v>
      </c>
      <c r="E24" s="3480">
        <v>13260</v>
      </c>
      <c r="F24" s="3480">
        <v>10608</v>
      </c>
      <c r="G24" s="3480" t="s">
        <v>3878</v>
      </c>
      <c r="H24" s="3480" t="s">
        <v>3457</v>
      </c>
      <c r="I24" s="3480" t="s">
        <v>3458</v>
      </c>
      <c r="J24" s="3480" t="s">
        <v>3427</v>
      </c>
      <c r="K24" s="3480" t="s">
        <v>3873</v>
      </c>
      <c r="L24" s="3480" t="s">
        <v>3873</v>
      </c>
      <c r="M24" s="3480" t="s">
        <v>3460</v>
      </c>
      <c r="N24" s="3480" t="s">
        <v>3879</v>
      </c>
      <c r="O24" s="3480">
        <v>3590</v>
      </c>
      <c r="P24" s="3480">
        <v>720</v>
      </c>
      <c r="Q24" s="3480" t="s">
        <v>3875</v>
      </c>
      <c r="R24" s="3480">
        <v>3590</v>
      </c>
      <c r="S24" s="3480">
        <v>3384</v>
      </c>
      <c r="T24" s="3480">
        <v>0</v>
      </c>
      <c r="U24">
        <f t="shared" si="0"/>
        <v>2707.3906485671191</v>
      </c>
    </row>
    <row r="25" spans="1:21" ht="14.25">
      <c r="A25" s="3480" t="s">
        <v>3897</v>
      </c>
      <c r="B25" s="3480" t="s">
        <v>3454</v>
      </c>
      <c r="C25" s="3480" t="s">
        <v>3898</v>
      </c>
      <c r="D25" s="3480" t="s">
        <v>3455</v>
      </c>
      <c r="E25" s="3480">
        <v>56031</v>
      </c>
      <c r="F25" s="3480">
        <v>212917.8</v>
      </c>
      <c r="G25" s="3480" t="s">
        <v>3899</v>
      </c>
      <c r="H25" s="3480" t="s">
        <v>3457</v>
      </c>
      <c r="I25" s="3480" t="s">
        <v>3458</v>
      </c>
      <c r="J25" s="3480" t="s">
        <v>3427</v>
      </c>
      <c r="K25" s="3480" t="s">
        <v>3900</v>
      </c>
      <c r="L25" s="3480" t="s">
        <v>3900</v>
      </c>
      <c r="M25" s="3480" t="s">
        <v>3460</v>
      </c>
      <c r="N25" s="3480" t="s">
        <v>3901</v>
      </c>
      <c r="O25" s="3480">
        <v>31940</v>
      </c>
      <c r="P25" s="3480">
        <v>6390</v>
      </c>
      <c r="Q25" s="3480" t="s">
        <v>3902</v>
      </c>
      <c r="R25" s="3480">
        <v>31940</v>
      </c>
      <c r="S25" s="3480">
        <v>1500</v>
      </c>
      <c r="T25" s="3480">
        <v>0</v>
      </c>
      <c r="U25">
        <f t="shared" si="0"/>
        <v>5700.415841230747</v>
      </c>
    </row>
    <row r="26" spans="1:21" ht="14.25">
      <c r="A26" s="3480" t="s">
        <v>3958</v>
      </c>
      <c r="B26" s="3480" t="s">
        <v>3454</v>
      </c>
      <c r="C26" s="3480" t="s">
        <v>3959</v>
      </c>
      <c r="D26" s="3480" t="s">
        <v>3464</v>
      </c>
      <c r="E26" s="3480">
        <v>15468</v>
      </c>
      <c r="F26" s="3480">
        <v>34029.599999999999</v>
      </c>
      <c r="G26" s="3480" t="s">
        <v>3531</v>
      </c>
      <c r="H26" s="3480" t="s">
        <v>3457</v>
      </c>
      <c r="I26" s="3480" t="s">
        <v>3408</v>
      </c>
      <c r="J26" s="3480" t="s">
        <v>3427</v>
      </c>
      <c r="K26" s="3480" t="s">
        <v>3960</v>
      </c>
      <c r="L26" s="3480" t="s">
        <v>3960</v>
      </c>
      <c r="M26" s="3480" t="s">
        <v>3460</v>
      </c>
      <c r="N26" s="3480" t="s">
        <v>3961</v>
      </c>
      <c r="O26" s="3480">
        <v>11791</v>
      </c>
      <c r="P26" s="3480">
        <v>2359</v>
      </c>
      <c r="Q26" s="3480" t="s">
        <v>3962</v>
      </c>
      <c r="R26" s="3480">
        <v>11791</v>
      </c>
      <c r="S26" s="3480">
        <v>3465</v>
      </c>
      <c r="T26" s="3480">
        <v>0</v>
      </c>
      <c r="U26">
        <f t="shared" si="0"/>
        <v>7622.8342384277212</v>
      </c>
    </row>
    <row r="27" spans="1:21" ht="14.25">
      <c r="A27" s="3480" t="s">
        <v>4018</v>
      </c>
      <c r="B27" s="3480" t="s">
        <v>3454</v>
      </c>
      <c r="C27" s="3480" t="s">
        <v>4019</v>
      </c>
      <c r="D27" s="3480" t="s">
        <v>3455</v>
      </c>
      <c r="E27" s="3480">
        <v>19423</v>
      </c>
      <c r="F27" s="3480">
        <v>33019.1</v>
      </c>
      <c r="G27" s="3480" t="s">
        <v>4020</v>
      </c>
      <c r="H27" s="3480" t="s">
        <v>3457</v>
      </c>
      <c r="I27" s="3480" t="s">
        <v>3458</v>
      </c>
      <c r="J27" s="3480" t="s">
        <v>3427</v>
      </c>
      <c r="K27" s="3480" t="s">
        <v>4015</v>
      </c>
      <c r="L27" s="3480" t="s">
        <v>4015</v>
      </c>
      <c r="M27" s="3480" t="s">
        <v>3460</v>
      </c>
      <c r="N27" s="3480" t="s">
        <v>3879</v>
      </c>
      <c r="O27" s="3480">
        <v>7430</v>
      </c>
      <c r="P27" s="3480">
        <v>1490</v>
      </c>
      <c r="Q27" s="3480" t="s">
        <v>4017</v>
      </c>
      <c r="R27" s="3480">
        <v>7430</v>
      </c>
      <c r="S27" s="3480">
        <v>2250</v>
      </c>
      <c r="T27" s="3480">
        <v>0</v>
      </c>
      <c r="U27">
        <f t="shared" si="0"/>
        <v>3825.3616846007312</v>
      </c>
    </row>
    <row r="28" spans="1:21" s="3183" customFormat="1" ht="14.25">
      <c r="A28" s="3481" t="s">
        <v>4169</v>
      </c>
      <c r="B28" s="3481" t="s">
        <v>3454</v>
      </c>
      <c r="C28" s="3481" t="s">
        <v>4170</v>
      </c>
      <c r="D28" s="3481" t="s">
        <v>3464</v>
      </c>
      <c r="E28" s="3481">
        <v>81009</v>
      </c>
      <c r="F28" s="3481">
        <v>162018</v>
      </c>
      <c r="G28" s="3481" t="s">
        <v>3523</v>
      </c>
      <c r="H28" s="3481" t="s">
        <v>3457</v>
      </c>
      <c r="I28" s="3481" t="s">
        <v>3408</v>
      </c>
      <c r="J28" s="3481" t="s">
        <v>3427</v>
      </c>
      <c r="K28" s="3481" t="s">
        <v>4171</v>
      </c>
      <c r="L28" s="3481" t="s">
        <v>4171</v>
      </c>
      <c r="M28" s="3481" t="s">
        <v>3460</v>
      </c>
      <c r="N28" s="3481" t="s">
        <v>4172</v>
      </c>
      <c r="O28" s="3481">
        <v>31619</v>
      </c>
      <c r="P28" s="3481">
        <v>6324</v>
      </c>
      <c r="Q28" s="3481" t="s">
        <v>4173</v>
      </c>
      <c r="R28" s="3481">
        <v>31619</v>
      </c>
      <c r="S28" s="3481">
        <v>1952</v>
      </c>
      <c r="T28" s="3481">
        <v>0</v>
      </c>
      <c r="U28">
        <f t="shared" si="0"/>
        <v>3903.1465639620287</v>
      </c>
    </row>
    <row r="29" spans="1:21" ht="14.25">
      <c r="A29" s="3480" t="s">
        <v>4176</v>
      </c>
      <c r="B29" s="3480" t="s">
        <v>3454</v>
      </c>
      <c r="C29" s="3480" t="s">
        <v>4177</v>
      </c>
      <c r="D29" s="3480" t="s">
        <v>3464</v>
      </c>
      <c r="E29" s="3480">
        <v>9876</v>
      </c>
      <c r="F29" s="3480">
        <v>17776.8</v>
      </c>
      <c r="G29" s="3480" t="s">
        <v>4178</v>
      </c>
      <c r="H29" s="3480" t="s">
        <v>3457</v>
      </c>
      <c r="I29" s="3480" t="s">
        <v>3408</v>
      </c>
      <c r="J29" s="3480" t="s">
        <v>3427</v>
      </c>
      <c r="K29" s="3480" t="s">
        <v>4179</v>
      </c>
      <c r="L29" s="3480" t="s">
        <v>4179</v>
      </c>
      <c r="M29" s="3480" t="s">
        <v>3460</v>
      </c>
      <c r="N29" s="3480" t="s">
        <v>3484</v>
      </c>
      <c r="O29" s="3480">
        <v>6080</v>
      </c>
      <c r="P29" s="3480">
        <v>1980</v>
      </c>
      <c r="Q29" s="3480" t="s">
        <v>4180</v>
      </c>
      <c r="R29" s="3480">
        <v>6080</v>
      </c>
      <c r="S29" s="3480">
        <v>3420</v>
      </c>
      <c r="T29" s="3480">
        <v>0</v>
      </c>
      <c r="U29">
        <f t="shared" si="0"/>
        <v>6156.338598622925</v>
      </c>
    </row>
    <row r="30" spans="1:21" ht="14.25">
      <c r="A30" s="3480" t="s">
        <v>4181</v>
      </c>
      <c r="B30" s="3480" t="s">
        <v>3454</v>
      </c>
      <c r="C30" s="3480" t="s">
        <v>4182</v>
      </c>
      <c r="D30" s="3480" t="s">
        <v>3464</v>
      </c>
      <c r="E30" s="3480">
        <v>42162</v>
      </c>
      <c r="F30" s="3480">
        <v>84324</v>
      </c>
      <c r="G30" s="3480" t="s">
        <v>3728</v>
      </c>
      <c r="H30" s="3480" t="s">
        <v>3457</v>
      </c>
      <c r="I30" s="3480" t="s">
        <v>3408</v>
      </c>
      <c r="J30" s="3480" t="s">
        <v>3427</v>
      </c>
      <c r="K30" s="3480" t="s">
        <v>4179</v>
      </c>
      <c r="L30" s="3480" t="s">
        <v>4179</v>
      </c>
      <c r="M30" s="3480" t="s">
        <v>3460</v>
      </c>
      <c r="N30" s="3480" t="s">
        <v>4183</v>
      </c>
      <c r="O30" s="3480">
        <v>26570</v>
      </c>
      <c r="P30" s="3480">
        <v>5320</v>
      </c>
      <c r="Q30" s="3480" t="s">
        <v>4180</v>
      </c>
      <c r="R30" s="3480">
        <v>26570</v>
      </c>
      <c r="S30" s="3480">
        <v>3151</v>
      </c>
      <c r="T30" s="3480">
        <v>0</v>
      </c>
      <c r="U30">
        <f t="shared" si="0"/>
        <v>6301.88321237133</v>
      </c>
    </row>
    <row r="31" spans="1:21" ht="14.25">
      <c r="A31" s="3480" t="s">
        <v>4184</v>
      </c>
      <c r="B31" s="3480" t="s">
        <v>3454</v>
      </c>
      <c r="C31" s="3480" t="s">
        <v>4185</v>
      </c>
      <c r="D31" s="3480" t="s">
        <v>3455</v>
      </c>
      <c r="E31" s="3480">
        <v>96992</v>
      </c>
      <c r="F31" s="3480">
        <v>126089.60000000001</v>
      </c>
      <c r="G31" s="3480" t="s">
        <v>4083</v>
      </c>
      <c r="H31" s="3480" t="s">
        <v>3457</v>
      </c>
      <c r="I31" s="3480" t="s">
        <v>3973</v>
      </c>
      <c r="J31" s="3480" t="s">
        <v>3427</v>
      </c>
      <c r="K31" s="3480" t="s">
        <v>4179</v>
      </c>
      <c r="L31" s="3480" t="s">
        <v>4179</v>
      </c>
      <c r="M31" s="3480" t="s">
        <v>3460</v>
      </c>
      <c r="N31" s="3480" t="s">
        <v>4186</v>
      </c>
      <c r="O31" s="3480">
        <v>18920</v>
      </c>
      <c r="P31" s="3480">
        <v>3790</v>
      </c>
      <c r="Q31" s="3480" t="s">
        <v>4180</v>
      </c>
      <c r="R31" s="3480">
        <v>18920</v>
      </c>
      <c r="S31" s="3480">
        <v>1501</v>
      </c>
      <c r="T31" s="3480">
        <v>0</v>
      </c>
      <c r="U31">
        <f t="shared" si="0"/>
        <v>1950.6763444407788</v>
      </c>
    </row>
    <row r="32" spans="1:21" ht="14.25">
      <c r="A32" s="3480" t="s">
        <v>4187</v>
      </c>
      <c r="B32" s="3480" t="s">
        <v>3454</v>
      </c>
      <c r="C32" s="3480" t="s">
        <v>4188</v>
      </c>
      <c r="D32" s="3480" t="s">
        <v>3455</v>
      </c>
      <c r="E32" s="3480">
        <v>9014</v>
      </c>
      <c r="F32" s="3480">
        <v>22535</v>
      </c>
      <c r="G32" s="3480" t="s">
        <v>3511</v>
      </c>
      <c r="H32" s="3480" t="s">
        <v>3457</v>
      </c>
      <c r="I32" s="3480" t="s">
        <v>3407</v>
      </c>
      <c r="J32" s="3480" t="s">
        <v>3427</v>
      </c>
      <c r="K32" s="3480" t="s">
        <v>4179</v>
      </c>
      <c r="L32" s="3480" t="s">
        <v>4179</v>
      </c>
      <c r="M32" s="3480" t="s">
        <v>3460</v>
      </c>
      <c r="N32" s="3480" t="s">
        <v>3484</v>
      </c>
      <c r="O32" s="3480">
        <v>3790</v>
      </c>
      <c r="P32" s="3480">
        <v>1980</v>
      </c>
      <c r="Q32" s="3480" t="s">
        <v>4180</v>
      </c>
      <c r="R32" s="3480">
        <v>3790</v>
      </c>
      <c r="S32" s="3480">
        <v>1682</v>
      </c>
      <c r="T32" s="3480">
        <v>0</v>
      </c>
      <c r="U32">
        <f t="shared" si="0"/>
        <v>4204.570667850011</v>
      </c>
    </row>
    <row r="33" spans="1:21" ht="14.25">
      <c r="A33" s="3480" t="s">
        <v>4189</v>
      </c>
      <c r="B33" s="3480" t="s">
        <v>3454</v>
      </c>
      <c r="C33" s="3480" t="s">
        <v>4190</v>
      </c>
      <c r="D33" s="3480" t="s">
        <v>3455</v>
      </c>
      <c r="E33" s="3480">
        <v>3300</v>
      </c>
      <c r="F33" s="3480">
        <v>1980</v>
      </c>
      <c r="G33" s="3480" t="s">
        <v>3582</v>
      </c>
      <c r="H33" s="3480" t="s">
        <v>3457</v>
      </c>
      <c r="I33" s="3480" t="s">
        <v>3458</v>
      </c>
      <c r="J33" s="3480" t="s">
        <v>3427</v>
      </c>
      <c r="K33" s="3480" t="s">
        <v>4179</v>
      </c>
      <c r="L33" s="3480" t="s">
        <v>4179</v>
      </c>
      <c r="M33" s="3480" t="s">
        <v>3460</v>
      </c>
      <c r="N33" s="3480" t="s">
        <v>3879</v>
      </c>
      <c r="O33" s="3480">
        <v>620</v>
      </c>
      <c r="P33" s="3480">
        <v>130</v>
      </c>
      <c r="Q33" s="3480" t="s">
        <v>4180</v>
      </c>
      <c r="R33" s="3480">
        <v>620</v>
      </c>
      <c r="S33" s="3480">
        <v>3131</v>
      </c>
      <c r="T33" s="3480">
        <v>0</v>
      </c>
      <c r="U33">
        <f t="shared" si="0"/>
        <v>1878.7878787878788</v>
      </c>
    </row>
    <row r="34" spans="1:21" ht="14.25">
      <c r="A34" s="3480" t="s">
        <v>4229</v>
      </c>
      <c r="B34" s="3480" t="s">
        <v>3454</v>
      </c>
      <c r="C34" s="3480" t="s">
        <v>4230</v>
      </c>
      <c r="D34" s="3480" t="s">
        <v>3464</v>
      </c>
      <c r="E34" s="3480">
        <v>17149</v>
      </c>
      <c r="F34" s="3480">
        <v>20578.8</v>
      </c>
      <c r="G34" s="3480" t="s">
        <v>3773</v>
      </c>
      <c r="H34" s="3480" t="s">
        <v>3457</v>
      </c>
      <c r="I34" s="3480" t="s">
        <v>3408</v>
      </c>
      <c r="J34" s="3480" t="s">
        <v>3427</v>
      </c>
      <c r="K34" s="3480" t="s">
        <v>4231</v>
      </c>
      <c r="L34" s="3480" t="s">
        <v>4231</v>
      </c>
      <c r="M34" s="3480" t="s">
        <v>3460</v>
      </c>
      <c r="N34" s="3480" t="s">
        <v>4183</v>
      </c>
      <c r="O34" s="3480">
        <v>9270</v>
      </c>
      <c r="P34" s="3480">
        <v>4740</v>
      </c>
      <c r="Q34" s="3480" t="s">
        <v>4232</v>
      </c>
      <c r="R34" s="3480">
        <v>9270</v>
      </c>
      <c r="S34" s="3480">
        <v>4505</v>
      </c>
      <c r="T34" s="3480">
        <v>0</v>
      </c>
      <c r="U34">
        <f t="shared" si="0"/>
        <v>5405.5630065893056</v>
      </c>
    </row>
    <row r="35" spans="1:21" ht="14.25">
      <c r="A35" s="3480" t="s">
        <v>4233</v>
      </c>
      <c r="B35" s="3480" t="s">
        <v>3454</v>
      </c>
      <c r="C35" s="3480" t="s">
        <v>4234</v>
      </c>
      <c r="D35" s="3480" t="s">
        <v>3464</v>
      </c>
      <c r="E35" s="3480">
        <v>19070</v>
      </c>
      <c r="F35" s="3480">
        <v>26698</v>
      </c>
      <c r="G35" s="3480" t="s">
        <v>4235</v>
      </c>
      <c r="H35" s="3480" t="s">
        <v>3457</v>
      </c>
      <c r="I35" s="3480" t="s">
        <v>3408</v>
      </c>
      <c r="J35" s="3480" t="s">
        <v>3427</v>
      </c>
      <c r="K35" s="3480" t="s">
        <v>4231</v>
      </c>
      <c r="L35" s="3480" t="s">
        <v>4231</v>
      </c>
      <c r="M35" s="3480" t="s">
        <v>3460</v>
      </c>
      <c r="N35" s="3480" t="s">
        <v>4183</v>
      </c>
      <c r="O35" s="3480">
        <v>10880</v>
      </c>
      <c r="P35" s="3480">
        <v>4740</v>
      </c>
      <c r="Q35" s="3480" t="s">
        <v>4232</v>
      </c>
      <c r="R35" s="3480">
        <v>10880</v>
      </c>
      <c r="S35" s="3480">
        <v>4075</v>
      </c>
      <c r="T35" s="3480">
        <v>0</v>
      </c>
      <c r="U35">
        <f t="shared" si="0"/>
        <v>5705.296276874672</v>
      </c>
    </row>
    <row r="36" spans="1:21" ht="14.25">
      <c r="A36" s="3480" t="s">
        <v>4241</v>
      </c>
      <c r="B36" s="3480" t="s">
        <v>3454</v>
      </c>
      <c r="C36" s="3480" t="s">
        <v>4242</v>
      </c>
      <c r="D36" s="3480" t="s">
        <v>3455</v>
      </c>
      <c r="E36" s="3480">
        <v>11575</v>
      </c>
      <c r="F36" s="3480">
        <v>23150</v>
      </c>
      <c r="G36" s="3480" t="s">
        <v>3728</v>
      </c>
      <c r="H36" s="3480" t="s">
        <v>3457</v>
      </c>
      <c r="I36" s="3480" t="s">
        <v>3407</v>
      </c>
      <c r="J36" s="3480" t="s">
        <v>3427</v>
      </c>
      <c r="K36" s="3480" t="s">
        <v>4231</v>
      </c>
      <c r="L36" s="3480" t="s">
        <v>4231</v>
      </c>
      <c r="M36" s="3480" t="s">
        <v>3460</v>
      </c>
      <c r="N36" s="3480" t="s">
        <v>4183</v>
      </c>
      <c r="O36" s="3480">
        <v>3480</v>
      </c>
      <c r="P36" s="3480">
        <v>700</v>
      </c>
      <c r="Q36" s="3480" t="s">
        <v>4232</v>
      </c>
      <c r="R36" s="3480">
        <v>3480</v>
      </c>
      <c r="S36" s="3480">
        <v>1503</v>
      </c>
      <c r="T36" s="3480">
        <v>0</v>
      </c>
      <c r="U36">
        <f t="shared" si="0"/>
        <v>3006.4794816414687</v>
      </c>
    </row>
    <row r="37" spans="1:21" ht="14.25">
      <c r="A37" s="3480" t="s">
        <v>4828</v>
      </c>
      <c r="B37" s="3480" t="s">
        <v>3454</v>
      </c>
      <c r="C37" s="3480" t="s">
        <v>4829</v>
      </c>
      <c r="D37" s="3480" t="s">
        <v>3455</v>
      </c>
      <c r="E37" s="3480">
        <v>10008</v>
      </c>
      <c r="F37" s="3480">
        <v>25020</v>
      </c>
      <c r="G37" s="3480" t="s">
        <v>3511</v>
      </c>
      <c r="H37" s="3480" t="s">
        <v>3457</v>
      </c>
      <c r="I37" s="3480" t="s">
        <v>3407</v>
      </c>
      <c r="J37" s="3480" t="s">
        <v>3427</v>
      </c>
      <c r="K37" s="3480" t="s">
        <v>4830</v>
      </c>
      <c r="L37" s="3480" t="s">
        <v>4830</v>
      </c>
      <c r="M37" s="3480" t="s">
        <v>3460</v>
      </c>
      <c r="N37" s="3480" t="s">
        <v>3484</v>
      </c>
      <c r="O37" s="3480">
        <v>4210</v>
      </c>
      <c r="P37" s="3480">
        <v>2060</v>
      </c>
      <c r="Q37" s="3480" t="s">
        <v>4831</v>
      </c>
      <c r="R37" s="3480">
        <v>4210</v>
      </c>
      <c r="S37" s="3480">
        <v>1683</v>
      </c>
      <c r="T37" s="3480">
        <v>0</v>
      </c>
      <c r="U37">
        <f t="shared" si="0"/>
        <v>4206.6346922462026</v>
      </c>
    </row>
    <row r="38" spans="1:21" ht="14.25">
      <c r="A38" s="3480" t="s">
        <v>4832</v>
      </c>
      <c r="B38" s="3480" t="s">
        <v>3454</v>
      </c>
      <c r="C38" s="3480" t="s">
        <v>4833</v>
      </c>
      <c r="D38" s="3480" t="s">
        <v>3464</v>
      </c>
      <c r="E38" s="3480">
        <v>15711</v>
      </c>
      <c r="F38" s="3480">
        <v>36135.300000000003</v>
      </c>
      <c r="G38" s="3480" t="s">
        <v>3471</v>
      </c>
      <c r="H38" s="3480" t="s">
        <v>3457</v>
      </c>
      <c r="I38" s="3480" t="s">
        <v>3408</v>
      </c>
      <c r="J38" s="3480" t="s">
        <v>3427</v>
      </c>
      <c r="K38" s="3480" t="s">
        <v>4830</v>
      </c>
      <c r="L38" s="3480" t="s">
        <v>4830</v>
      </c>
      <c r="M38" s="3480" t="s">
        <v>3460</v>
      </c>
      <c r="N38" s="3480" t="s">
        <v>4183</v>
      </c>
      <c r="O38" s="3480">
        <v>9900</v>
      </c>
      <c r="P38" s="3480">
        <v>3640</v>
      </c>
      <c r="Q38" s="3480" t="s">
        <v>4831</v>
      </c>
      <c r="R38" s="3480">
        <v>9900</v>
      </c>
      <c r="S38" s="3480">
        <v>2740</v>
      </c>
      <c r="T38" s="3480">
        <v>0</v>
      </c>
      <c r="U38">
        <f t="shared" si="0"/>
        <v>6301.3175482146271</v>
      </c>
    </row>
    <row r="39" spans="1:21" ht="14.25">
      <c r="A39" s="3480" t="s">
        <v>4834</v>
      </c>
      <c r="B39" s="3480" t="s">
        <v>3454</v>
      </c>
      <c r="C39" s="3480" t="s">
        <v>4835</v>
      </c>
      <c r="D39" s="3480" t="s">
        <v>3455</v>
      </c>
      <c r="E39" s="3480">
        <v>19980</v>
      </c>
      <c r="F39" s="3480">
        <v>39960</v>
      </c>
      <c r="G39" s="3480" t="s">
        <v>3456</v>
      </c>
      <c r="H39" s="3480" t="s">
        <v>3457</v>
      </c>
      <c r="I39" s="3480" t="s">
        <v>3407</v>
      </c>
      <c r="J39" s="3480" t="s">
        <v>3427</v>
      </c>
      <c r="K39" s="3480" t="s">
        <v>4830</v>
      </c>
      <c r="L39" s="3480" t="s">
        <v>4830</v>
      </c>
      <c r="M39" s="3480" t="s">
        <v>3460</v>
      </c>
      <c r="N39" s="3480" t="s">
        <v>4836</v>
      </c>
      <c r="O39" s="3480">
        <v>7800</v>
      </c>
      <c r="P39" s="3480">
        <v>1560</v>
      </c>
      <c r="Q39" s="3480" t="s">
        <v>4831</v>
      </c>
      <c r="R39" s="3480">
        <v>7800</v>
      </c>
      <c r="S39" s="3480">
        <v>1952</v>
      </c>
      <c r="T39" s="3480">
        <v>0</v>
      </c>
      <c r="U39">
        <f t="shared" si="0"/>
        <v>3903.9039039039035</v>
      </c>
    </row>
    <row r="40" spans="1:21" ht="14.25">
      <c r="A40" s="3480" t="s">
        <v>4837</v>
      </c>
      <c r="B40" s="3480" t="s">
        <v>3454</v>
      </c>
      <c r="C40" s="3480" t="s">
        <v>4838</v>
      </c>
      <c r="D40" s="3480" t="s">
        <v>3455</v>
      </c>
      <c r="E40" s="3480">
        <v>14620</v>
      </c>
      <c r="F40" s="3480">
        <v>87720</v>
      </c>
      <c r="G40" s="3480" t="s">
        <v>4839</v>
      </c>
      <c r="H40" s="3480" t="s">
        <v>3457</v>
      </c>
      <c r="I40" s="3480" t="s">
        <v>3407</v>
      </c>
      <c r="J40" s="3480" t="s">
        <v>3427</v>
      </c>
      <c r="K40" s="3480" t="s">
        <v>4830</v>
      </c>
      <c r="L40" s="3480" t="s">
        <v>4830</v>
      </c>
      <c r="M40" s="3480" t="s">
        <v>3460</v>
      </c>
      <c r="N40" s="3480" t="s">
        <v>4183</v>
      </c>
      <c r="O40" s="3480">
        <v>7900</v>
      </c>
      <c r="P40" s="3480">
        <v>3240</v>
      </c>
      <c r="Q40" s="3480" t="s">
        <v>4831</v>
      </c>
      <c r="R40" s="3480">
        <v>7900</v>
      </c>
      <c r="S40" s="3480">
        <v>901</v>
      </c>
      <c r="T40" s="3480">
        <v>0</v>
      </c>
      <c r="U40">
        <f t="shared" si="0"/>
        <v>5403.5567715458274</v>
      </c>
    </row>
    <row r="41" spans="1:21" ht="14.25">
      <c r="A41" s="3480" t="s">
        <v>4840</v>
      </c>
      <c r="B41" s="3480" t="s">
        <v>3454</v>
      </c>
      <c r="C41" s="3480" t="s">
        <v>4841</v>
      </c>
      <c r="D41" s="3480" t="s">
        <v>3464</v>
      </c>
      <c r="E41" s="3480">
        <v>9787</v>
      </c>
      <c r="F41" s="3480">
        <v>17616.599999999999</v>
      </c>
      <c r="G41" s="3480" t="s">
        <v>4178</v>
      </c>
      <c r="H41" s="3480" t="s">
        <v>3457</v>
      </c>
      <c r="I41" s="3480" t="s">
        <v>3408</v>
      </c>
      <c r="J41" s="3480" t="s">
        <v>3427</v>
      </c>
      <c r="K41" s="3480" t="s">
        <v>4830</v>
      </c>
      <c r="L41" s="3480" t="s">
        <v>4830</v>
      </c>
      <c r="M41" s="3480" t="s">
        <v>3460</v>
      </c>
      <c r="N41" s="3480" t="s">
        <v>3484</v>
      </c>
      <c r="O41" s="3480">
        <v>6020</v>
      </c>
      <c r="P41" s="3480">
        <v>2060</v>
      </c>
      <c r="Q41" s="3480" t="s">
        <v>4831</v>
      </c>
      <c r="R41" s="3480">
        <v>6020</v>
      </c>
      <c r="S41" s="3480">
        <v>3417</v>
      </c>
      <c r="T41" s="3480">
        <v>0</v>
      </c>
      <c r="U41">
        <f t="shared" si="0"/>
        <v>6151.0166547460922</v>
      </c>
    </row>
    <row r="42" spans="1:21" ht="14.25">
      <c r="A42" s="3480" t="s">
        <v>4842</v>
      </c>
      <c r="B42" s="3480" t="s">
        <v>3454</v>
      </c>
      <c r="C42" s="3480" t="s">
        <v>4843</v>
      </c>
      <c r="D42" s="3480" t="s">
        <v>3455</v>
      </c>
      <c r="E42" s="3480">
        <v>15133</v>
      </c>
      <c r="F42" s="3480">
        <v>90798</v>
      </c>
      <c r="G42" s="3480" t="s">
        <v>4844</v>
      </c>
      <c r="H42" s="3480" t="s">
        <v>3457</v>
      </c>
      <c r="I42" s="3480" t="s">
        <v>3407</v>
      </c>
      <c r="J42" s="3480" t="s">
        <v>3427</v>
      </c>
      <c r="K42" s="3480" t="s">
        <v>4830</v>
      </c>
      <c r="L42" s="3480" t="s">
        <v>4830</v>
      </c>
      <c r="M42" s="3480" t="s">
        <v>3460</v>
      </c>
      <c r="N42" s="3480" t="s">
        <v>3484</v>
      </c>
      <c r="O42" s="3480">
        <v>8970</v>
      </c>
      <c r="P42" s="3480">
        <v>3940</v>
      </c>
      <c r="Q42" s="3480" t="s">
        <v>4831</v>
      </c>
      <c r="R42" s="3480">
        <v>8970</v>
      </c>
      <c r="S42" s="3480">
        <v>988</v>
      </c>
      <c r="T42" s="3480">
        <v>0</v>
      </c>
      <c r="U42">
        <f t="shared" si="0"/>
        <v>5927.4433357562939</v>
      </c>
    </row>
    <row r="43" spans="1:21" ht="14.25">
      <c r="A43" s="3480" t="s">
        <v>4845</v>
      </c>
      <c r="B43" s="3480" t="s">
        <v>3454</v>
      </c>
      <c r="C43" s="3480" t="s">
        <v>4846</v>
      </c>
      <c r="D43" s="3480" t="s">
        <v>3464</v>
      </c>
      <c r="E43" s="3480">
        <v>15711</v>
      </c>
      <c r="F43" s="3480">
        <v>36135.300000000003</v>
      </c>
      <c r="G43" s="3480" t="s">
        <v>3471</v>
      </c>
      <c r="H43" s="3480" t="s">
        <v>3457</v>
      </c>
      <c r="I43" s="3480" t="s">
        <v>3408</v>
      </c>
      <c r="J43" s="3480" t="s">
        <v>3427</v>
      </c>
      <c r="K43" s="3480" t="s">
        <v>4830</v>
      </c>
      <c r="L43" s="3480" t="s">
        <v>4830</v>
      </c>
      <c r="M43" s="3480" t="s">
        <v>3460</v>
      </c>
      <c r="N43" s="3480" t="s">
        <v>4183</v>
      </c>
      <c r="O43" s="3480">
        <v>9900</v>
      </c>
      <c r="P43" s="3480">
        <v>3540</v>
      </c>
      <c r="Q43" s="3480" t="s">
        <v>4831</v>
      </c>
      <c r="R43" s="3480">
        <v>9900</v>
      </c>
      <c r="S43" s="3480">
        <v>2740</v>
      </c>
      <c r="T43" s="3480">
        <v>0</v>
      </c>
      <c r="U43">
        <f t="shared" si="0"/>
        <v>6301.3175482146271</v>
      </c>
    </row>
    <row r="44" spans="1:21" ht="14.25">
      <c r="A44" s="3480" t="s">
        <v>4847</v>
      </c>
      <c r="B44" s="3480" t="s">
        <v>3454</v>
      </c>
      <c r="C44" s="3480" t="s">
        <v>4848</v>
      </c>
      <c r="D44" s="3480" t="s">
        <v>3455</v>
      </c>
      <c r="E44" s="3480">
        <v>15013</v>
      </c>
      <c r="F44" s="3480">
        <v>52545.5</v>
      </c>
      <c r="G44" s="3480" t="s">
        <v>4849</v>
      </c>
      <c r="H44" s="3480" t="s">
        <v>3457</v>
      </c>
      <c r="I44" s="3480" t="s">
        <v>3407</v>
      </c>
      <c r="J44" s="3480" t="s">
        <v>3427</v>
      </c>
      <c r="K44" s="3480" t="s">
        <v>4830</v>
      </c>
      <c r="L44" s="3480" t="s">
        <v>4830</v>
      </c>
      <c r="M44" s="3480" t="s">
        <v>3460</v>
      </c>
      <c r="N44" s="3480" t="s">
        <v>3484</v>
      </c>
      <c r="O44" s="3480">
        <v>7210</v>
      </c>
      <c r="P44" s="3480">
        <v>3280</v>
      </c>
      <c r="Q44" s="3480" t="s">
        <v>4831</v>
      </c>
      <c r="R44" s="3480">
        <v>7210</v>
      </c>
      <c r="S44" s="3480">
        <v>1372</v>
      </c>
      <c r="T44" s="3480">
        <v>0</v>
      </c>
      <c r="U44">
        <f t="shared" si="0"/>
        <v>4802.5044961033773</v>
      </c>
    </row>
    <row r="45" spans="1:21" ht="14.25">
      <c r="A45" s="3480" t="s">
        <v>4850</v>
      </c>
      <c r="B45" s="3480" t="s">
        <v>3454</v>
      </c>
      <c r="C45" s="3480" t="s">
        <v>4851</v>
      </c>
      <c r="D45" s="3480" t="s">
        <v>3455</v>
      </c>
      <c r="E45" s="3480">
        <v>15801</v>
      </c>
      <c r="F45" s="3480">
        <v>9480.6</v>
      </c>
      <c r="G45" s="3480" t="s">
        <v>3582</v>
      </c>
      <c r="H45" s="3480" t="s">
        <v>3457</v>
      </c>
      <c r="I45" s="3480" t="s">
        <v>3407</v>
      </c>
      <c r="J45" s="3480" t="s">
        <v>3427</v>
      </c>
      <c r="K45" s="3480" t="s">
        <v>4830</v>
      </c>
      <c r="L45" s="3480" t="s">
        <v>4830</v>
      </c>
      <c r="M45" s="3480" t="s">
        <v>3460</v>
      </c>
      <c r="N45" s="3480" t="s">
        <v>3879</v>
      </c>
      <c r="O45" s="3480">
        <v>2970</v>
      </c>
      <c r="P45" s="3480">
        <v>600</v>
      </c>
      <c r="Q45" s="3480" t="s">
        <v>4831</v>
      </c>
      <c r="R45" s="3480">
        <v>2970</v>
      </c>
      <c r="S45" s="3480">
        <v>3133</v>
      </c>
      <c r="T45" s="3480">
        <v>0</v>
      </c>
      <c r="U45">
        <f t="shared" si="0"/>
        <v>1879.6278716536929</v>
      </c>
    </row>
    <row r="46" spans="1:21" ht="14.25">
      <c r="A46" s="3480" t="s">
        <v>4852</v>
      </c>
      <c r="B46" s="3480" t="s">
        <v>3454</v>
      </c>
      <c r="C46" s="3480" t="s">
        <v>4853</v>
      </c>
      <c r="D46" s="3480" t="s">
        <v>3464</v>
      </c>
      <c r="E46" s="3480">
        <v>22810</v>
      </c>
      <c r="F46" s="3480">
        <v>50182</v>
      </c>
      <c r="G46" s="3480" t="s">
        <v>3531</v>
      </c>
      <c r="H46" s="3480" t="s">
        <v>3457</v>
      </c>
      <c r="I46" s="3480" t="s">
        <v>3408</v>
      </c>
      <c r="J46" s="3480" t="s">
        <v>3427</v>
      </c>
      <c r="K46" s="3480" t="s">
        <v>4830</v>
      </c>
      <c r="L46" s="3480" t="s">
        <v>4830</v>
      </c>
      <c r="M46" s="3480" t="s">
        <v>3460</v>
      </c>
      <c r="N46" s="3480" t="s">
        <v>4183</v>
      </c>
      <c r="O46" s="3480">
        <v>14380</v>
      </c>
      <c r="P46" s="3480">
        <v>5500</v>
      </c>
      <c r="Q46" s="3480" t="s">
        <v>4831</v>
      </c>
      <c r="R46" s="3480">
        <v>14380</v>
      </c>
      <c r="S46" s="3480">
        <v>2866</v>
      </c>
      <c r="T46" s="3480">
        <v>0</v>
      </c>
      <c r="U46">
        <f t="shared" si="0"/>
        <v>6304.2525208241996</v>
      </c>
    </row>
    <row r="47" spans="1:21" ht="14.25">
      <c r="A47" s="3480" t="s">
        <v>4854</v>
      </c>
      <c r="B47" s="3480" t="s">
        <v>3454</v>
      </c>
      <c r="C47" s="3480" t="s">
        <v>4855</v>
      </c>
      <c r="D47" s="3480" t="s">
        <v>3455</v>
      </c>
      <c r="E47" s="3480">
        <v>32069</v>
      </c>
      <c r="F47" s="3480">
        <v>32069</v>
      </c>
      <c r="G47" s="3480" t="s">
        <v>3636</v>
      </c>
      <c r="H47" s="3480" t="s">
        <v>3457</v>
      </c>
      <c r="I47" s="3480" t="s">
        <v>3407</v>
      </c>
      <c r="J47" s="3480" t="s">
        <v>3427</v>
      </c>
      <c r="K47" s="3480" t="s">
        <v>4830</v>
      </c>
      <c r="L47" s="3480" t="s">
        <v>4830</v>
      </c>
      <c r="M47" s="3480" t="s">
        <v>3460</v>
      </c>
      <c r="N47" s="3480" t="s">
        <v>3879</v>
      </c>
      <c r="O47" s="3480">
        <v>9870</v>
      </c>
      <c r="P47" s="3480">
        <v>1980</v>
      </c>
      <c r="Q47" s="3480" t="s">
        <v>4831</v>
      </c>
      <c r="R47" s="3480">
        <v>9870</v>
      </c>
      <c r="S47" s="3480">
        <v>3078</v>
      </c>
      <c r="T47" s="3480">
        <v>0</v>
      </c>
      <c r="U47">
        <f t="shared" si="0"/>
        <v>3077.7386260874991</v>
      </c>
    </row>
    <row r="48" spans="1:21" ht="14.25">
      <c r="A48" s="3480" t="s">
        <v>4856</v>
      </c>
      <c r="B48" s="3480" t="s">
        <v>3454</v>
      </c>
      <c r="C48" s="3480" t="s">
        <v>4857</v>
      </c>
      <c r="D48" s="3480" t="s">
        <v>3455</v>
      </c>
      <c r="E48" s="3480">
        <v>10870</v>
      </c>
      <c r="F48" s="3480">
        <v>6522</v>
      </c>
      <c r="G48" s="3480" t="s">
        <v>3582</v>
      </c>
      <c r="H48" s="3480" t="s">
        <v>3457</v>
      </c>
      <c r="I48" s="3480" t="s">
        <v>3407</v>
      </c>
      <c r="J48" s="3480" t="s">
        <v>3427</v>
      </c>
      <c r="K48" s="3480" t="s">
        <v>4830</v>
      </c>
      <c r="L48" s="3480" t="s">
        <v>4830</v>
      </c>
      <c r="M48" s="3480" t="s">
        <v>3460</v>
      </c>
      <c r="N48" s="3480" t="s">
        <v>3879</v>
      </c>
      <c r="O48" s="3480">
        <v>2040</v>
      </c>
      <c r="P48" s="3480">
        <v>410</v>
      </c>
      <c r="Q48" s="3480" t="s">
        <v>4831</v>
      </c>
      <c r="R48" s="3480">
        <v>2040</v>
      </c>
      <c r="S48" s="3480">
        <v>3128</v>
      </c>
      <c r="T48" s="3480">
        <v>0</v>
      </c>
      <c r="U48">
        <f t="shared" si="0"/>
        <v>1876.7249310027598</v>
      </c>
    </row>
    <row r="49" spans="1:21" ht="14.25">
      <c r="A49" s="3480" t="s">
        <v>4858</v>
      </c>
      <c r="B49" s="3480" t="s">
        <v>3454</v>
      </c>
      <c r="C49" s="3480" t="s">
        <v>4859</v>
      </c>
      <c r="D49" s="3480" t="s">
        <v>3464</v>
      </c>
      <c r="E49" s="3480">
        <v>13366</v>
      </c>
      <c r="F49" s="3480">
        <v>30741.8</v>
      </c>
      <c r="G49" s="3480" t="s">
        <v>3471</v>
      </c>
      <c r="H49" s="3480" t="s">
        <v>3457</v>
      </c>
      <c r="I49" s="3480" t="s">
        <v>3408</v>
      </c>
      <c r="J49" s="3480" t="s">
        <v>3427</v>
      </c>
      <c r="K49" s="3480" t="s">
        <v>4830</v>
      </c>
      <c r="L49" s="3480" t="s">
        <v>4830</v>
      </c>
      <c r="M49" s="3480" t="s">
        <v>3460</v>
      </c>
      <c r="N49" s="3480" t="s">
        <v>4183</v>
      </c>
      <c r="O49" s="3480">
        <v>8430</v>
      </c>
      <c r="P49" s="3480">
        <v>1690</v>
      </c>
      <c r="Q49" s="3480" t="s">
        <v>4831</v>
      </c>
      <c r="R49" s="3480">
        <v>8430</v>
      </c>
      <c r="S49" s="3480">
        <v>2742</v>
      </c>
      <c r="T49" s="3480">
        <v>0</v>
      </c>
      <c r="U49">
        <f t="shared" si="0"/>
        <v>6307.047733054018</v>
      </c>
    </row>
    <row r="50" spans="1:21" ht="14.25">
      <c r="A50" s="3480" t="s">
        <v>4860</v>
      </c>
      <c r="B50" s="3480" t="s">
        <v>3454</v>
      </c>
      <c r="C50" s="3480" t="s">
        <v>4861</v>
      </c>
      <c r="D50" s="3480" t="s">
        <v>3464</v>
      </c>
      <c r="E50" s="3480">
        <v>14515</v>
      </c>
      <c r="F50" s="3480">
        <v>31933</v>
      </c>
      <c r="G50" s="3480" t="s">
        <v>3531</v>
      </c>
      <c r="H50" s="3480" t="s">
        <v>3457</v>
      </c>
      <c r="I50" s="3480" t="s">
        <v>3408</v>
      </c>
      <c r="J50" s="3480" t="s">
        <v>3427</v>
      </c>
      <c r="K50" s="3480" t="s">
        <v>4830</v>
      </c>
      <c r="L50" s="3480" t="s">
        <v>4830</v>
      </c>
      <c r="M50" s="3480" t="s">
        <v>3460</v>
      </c>
      <c r="N50" s="3480" t="s">
        <v>3484</v>
      </c>
      <c r="O50" s="3480">
        <v>9150</v>
      </c>
      <c r="P50" s="3480">
        <v>3280</v>
      </c>
      <c r="Q50" s="3480" t="s">
        <v>4831</v>
      </c>
      <c r="R50" s="3480">
        <v>9150</v>
      </c>
      <c r="S50" s="3480">
        <v>2865</v>
      </c>
      <c r="T50" s="3480">
        <v>0</v>
      </c>
      <c r="U50">
        <f t="shared" si="0"/>
        <v>6303.8236307268344</v>
      </c>
    </row>
    <row r="51" spans="1:21" ht="14.25">
      <c r="A51" s="3480" t="s">
        <v>4862</v>
      </c>
      <c r="B51" s="3480" t="s">
        <v>3454</v>
      </c>
      <c r="C51" s="3480" t="s">
        <v>4863</v>
      </c>
      <c r="D51" s="3480" t="s">
        <v>3455</v>
      </c>
      <c r="E51" s="3480">
        <v>21362</v>
      </c>
      <c r="F51" s="3480">
        <v>12817.2</v>
      </c>
      <c r="G51" s="3480" t="s">
        <v>3582</v>
      </c>
      <c r="H51" s="3480" t="s">
        <v>3457</v>
      </c>
      <c r="I51" s="3480" t="s">
        <v>3407</v>
      </c>
      <c r="J51" s="3480" t="s">
        <v>3427</v>
      </c>
      <c r="K51" s="3480" t="s">
        <v>4830</v>
      </c>
      <c r="L51" s="3480" t="s">
        <v>4830</v>
      </c>
      <c r="M51" s="3480" t="s">
        <v>3460</v>
      </c>
      <c r="N51" s="3480" t="s">
        <v>3879</v>
      </c>
      <c r="O51" s="3480">
        <v>4010</v>
      </c>
      <c r="P51" s="3480">
        <v>810</v>
      </c>
      <c r="Q51" s="3480" t="s">
        <v>4831</v>
      </c>
      <c r="R51" s="3480">
        <v>4010</v>
      </c>
      <c r="S51" s="3480">
        <v>3129</v>
      </c>
      <c r="T51" s="3480">
        <v>0</v>
      </c>
      <c r="U51">
        <f t="shared" si="0"/>
        <v>1877.1650594513621</v>
      </c>
    </row>
    <row r="52" spans="1:21" ht="14.25">
      <c r="A52" s="3480" t="s">
        <v>3453</v>
      </c>
      <c r="B52" s="3480" t="s">
        <v>3454</v>
      </c>
      <c r="C52" s="3480" t="s">
        <v>3453</v>
      </c>
      <c r="D52" s="3480" t="s">
        <v>3455</v>
      </c>
      <c r="E52" s="3480">
        <v>18000</v>
      </c>
      <c r="F52" s="3480">
        <v>36000</v>
      </c>
      <c r="G52" s="3480" t="s">
        <v>3456</v>
      </c>
      <c r="H52" s="3480" t="s">
        <v>3457</v>
      </c>
      <c r="I52" s="3480" t="s">
        <v>3458</v>
      </c>
      <c r="J52" s="3480" t="s">
        <v>3427</v>
      </c>
      <c r="K52" s="3480" t="s">
        <v>3459</v>
      </c>
      <c r="L52" s="3480" t="s">
        <v>3459</v>
      </c>
      <c r="M52" s="3480" t="s">
        <v>3460</v>
      </c>
      <c r="N52" s="3480" t="s">
        <v>3461</v>
      </c>
      <c r="O52" s="3480">
        <v>5400</v>
      </c>
      <c r="P52" s="3480">
        <v>1700</v>
      </c>
      <c r="Q52" s="3480" t="s">
        <v>3462</v>
      </c>
      <c r="R52" s="3480">
        <v>5400</v>
      </c>
      <c r="S52" s="3480">
        <v>1500</v>
      </c>
      <c r="T52" s="3480">
        <v>0</v>
      </c>
      <c r="U52">
        <f t="shared" si="0"/>
        <v>3000</v>
      </c>
    </row>
    <row r="53" spans="1:21" ht="14.25">
      <c r="A53" s="3480" t="s">
        <v>3463</v>
      </c>
      <c r="B53" s="3480" t="s">
        <v>3454</v>
      </c>
      <c r="C53" s="3480" t="s">
        <v>3463</v>
      </c>
      <c r="D53" s="3480" t="s">
        <v>3464</v>
      </c>
      <c r="E53" s="3480">
        <v>8667</v>
      </c>
      <c r="F53" s="3480">
        <v>15600.6</v>
      </c>
      <c r="G53" s="3480" t="s">
        <v>3465</v>
      </c>
      <c r="H53" s="3480" t="s">
        <v>3457</v>
      </c>
      <c r="I53" s="3480" t="s">
        <v>3408</v>
      </c>
      <c r="J53" s="3480" t="s">
        <v>3427</v>
      </c>
      <c r="K53" s="3480" t="s">
        <v>3459</v>
      </c>
      <c r="L53" s="3480" t="s">
        <v>3459</v>
      </c>
      <c r="M53" s="3480" t="s">
        <v>3460</v>
      </c>
      <c r="N53" s="3480" t="s">
        <v>3466</v>
      </c>
      <c r="O53" s="3480">
        <v>2600</v>
      </c>
      <c r="P53" s="3480">
        <v>780</v>
      </c>
      <c r="Q53" s="3480" t="s">
        <v>3462</v>
      </c>
      <c r="R53" s="3480">
        <v>2600</v>
      </c>
      <c r="S53" s="3480">
        <v>1667</v>
      </c>
      <c r="T53" s="3480">
        <v>0</v>
      </c>
      <c r="U53">
        <f t="shared" si="0"/>
        <v>2999.8846198223146</v>
      </c>
    </row>
    <row r="54" spans="1:21" ht="14.25">
      <c r="A54" s="3480" t="s">
        <v>3467</v>
      </c>
      <c r="B54" s="3480" t="s">
        <v>3454</v>
      </c>
      <c r="C54" s="3480" t="s">
        <v>3467</v>
      </c>
      <c r="D54" s="3480" t="s">
        <v>3464</v>
      </c>
      <c r="E54" s="3480">
        <v>16667</v>
      </c>
      <c r="F54" s="3480">
        <v>30000.6</v>
      </c>
      <c r="G54" s="3480" t="s">
        <v>3465</v>
      </c>
      <c r="H54" s="3480" t="s">
        <v>3457</v>
      </c>
      <c r="I54" s="3480" t="s">
        <v>3408</v>
      </c>
      <c r="J54" s="3480" t="s">
        <v>3427</v>
      </c>
      <c r="K54" s="3480" t="s">
        <v>3459</v>
      </c>
      <c r="L54" s="3480" t="s">
        <v>3459</v>
      </c>
      <c r="M54" s="3480" t="s">
        <v>3460</v>
      </c>
      <c r="N54" s="3480" t="s">
        <v>3468</v>
      </c>
      <c r="O54" s="3480">
        <v>5000</v>
      </c>
      <c r="P54" s="3480">
        <v>1500</v>
      </c>
      <c r="Q54" s="3480" t="s">
        <v>3462</v>
      </c>
      <c r="R54" s="3480">
        <v>5000</v>
      </c>
      <c r="S54" s="3480">
        <v>1667</v>
      </c>
      <c r="T54" s="3480">
        <v>0</v>
      </c>
      <c r="U54">
        <f t="shared" si="0"/>
        <v>2999.940001199976</v>
      </c>
    </row>
    <row r="55" spans="1:21" ht="14.25">
      <c r="A55" s="3480" t="s">
        <v>3469</v>
      </c>
      <c r="B55" s="3480" t="s">
        <v>3454</v>
      </c>
      <c r="C55" s="3480" t="s">
        <v>3470</v>
      </c>
      <c r="D55" s="3480" t="s">
        <v>3464</v>
      </c>
      <c r="E55" s="3480">
        <v>13694</v>
      </c>
      <c r="F55" s="3480">
        <v>31496.2</v>
      </c>
      <c r="G55" s="3480" t="s">
        <v>3471</v>
      </c>
      <c r="H55" s="3480" t="s">
        <v>3457</v>
      </c>
      <c r="I55" s="3480" t="s">
        <v>3408</v>
      </c>
      <c r="J55" s="3480" t="s">
        <v>3427</v>
      </c>
      <c r="K55" s="3480" t="s">
        <v>3472</v>
      </c>
      <c r="L55" s="3480" t="s">
        <v>3472</v>
      </c>
      <c r="M55" s="3480" t="s">
        <v>3460</v>
      </c>
      <c r="N55" s="3480" t="s">
        <v>3473</v>
      </c>
      <c r="O55" s="3480">
        <v>26709</v>
      </c>
      <c r="P55" s="3480">
        <v>6000</v>
      </c>
      <c r="Q55" s="3480" t="s">
        <v>3474</v>
      </c>
      <c r="R55" s="3480">
        <v>32909</v>
      </c>
      <c r="S55" s="3480">
        <v>10449</v>
      </c>
      <c r="T55" s="3480">
        <v>23.21</v>
      </c>
      <c r="U55">
        <f t="shared" si="0"/>
        <v>24031.692712136704</v>
      </c>
    </row>
    <row r="56" spans="1:21" ht="14.25">
      <c r="A56" s="3480" t="s">
        <v>4790</v>
      </c>
      <c r="B56" s="3480" t="s">
        <v>3454</v>
      </c>
      <c r="C56" s="3480" t="s">
        <v>3475</v>
      </c>
      <c r="D56" s="3480" t="s">
        <v>3464</v>
      </c>
      <c r="E56" s="3480">
        <v>32663</v>
      </c>
      <c r="F56" s="3480">
        <v>55527.1</v>
      </c>
      <c r="G56" s="3480" t="s">
        <v>3476</v>
      </c>
      <c r="H56" s="3480" t="s">
        <v>3457</v>
      </c>
      <c r="I56" s="3480" t="s">
        <v>3408</v>
      </c>
      <c r="J56" s="3480" t="s">
        <v>3427</v>
      </c>
      <c r="K56" s="3480" t="s">
        <v>3477</v>
      </c>
      <c r="L56" s="3480" t="s">
        <v>3477</v>
      </c>
      <c r="M56" s="3480" t="s">
        <v>3460</v>
      </c>
      <c r="N56" s="3480" t="s">
        <v>3478</v>
      </c>
      <c r="O56" s="3480">
        <v>33026</v>
      </c>
      <c r="P56" s="3480">
        <v>6606</v>
      </c>
      <c r="Q56" s="3480" t="s">
        <v>3479</v>
      </c>
      <c r="R56" s="3480">
        <v>33026</v>
      </c>
      <c r="S56" s="3480">
        <v>5948</v>
      </c>
      <c r="T56" s="3480">
        <v>0</v>
      </c>
      <c r="U56">
        <f t="shared" si="0"/>
        <v>10111.134923307718</v>
      </c>
    </row>
    <row r="57" spans="1:21" ht="14.25">
      <c r="A57" s="3480" t="s">
        <v>3480</v>
      </c>
      <c r="B57" s="3480" t="s">
        <v>3454</v>
      </c>
      <c r="C57" s="3480" t="s">
        <v>3481</v>
      </c>
      <c r="D57" s="3480" t="s">
        <v>3455</v>
      </c>
      <c r="E57" s="3480">
        <v>259</v>
      </c>
      <c r="F57" s="3480">
        <v>1554</v>
      </c>
      <c r="G57" s="3480" t="s">
        <v>3482</v>
      </c>
      <c r="H57" s="3480" t="s">
        <v>3457</v>
      </c>
      <c r="I57" s="3480" t="s">
        <v>3458</v>
      </c>
      <c r="J57" s="3480" t="s">
        <v>3427</v>
      </c>
      <c r="K57" s="3480" t="s">
        <v>3483</v>
      </c>
      <c r="L57" s="3480" t="s">
        <v>3483</v>
      </c>
      <c r="M57" s="3480" t="s">
        <v>3460</v>
      </c>
      <c r="N57" s="3480" t="s">
        <v>3484</v>
      </c>
      <c r="O57" s="3480">
        <v>160</v>
      </c>
      <c r="P57" s="3480">
        <v>40</v>
      </c>
      <c r="Q57" s="3480" t="s">
        <v>3485</v>
      </c>
      <c r="R57" s="3480">
        <v>160</v>
      </c>
      <c r="S57" s="3480">
        <v>1030</v>
      </c>
      <c r="T57" s="3480">
        <v>0</v>
      </c>
      <c r="U57">
        <f t="shared" si="0"/>
        <v>6177.6061776061779</v>
      </c>
    </row>
    <row r="58" spans="1:21" ht="14.25">
      <c r="A58" s="3480" t="s">
        <v>3486</v>
      </c>
      <c r="B58" s="3480" t="s">
        <v>3454</v>
      </c>
      <c r="C58" s="3480" t="s">
        <v>3487</v>
      </c>
      <c r="D58" s="3480" t="s">
        <v>3455</v>
      </c>
      <c r="E58" s="3480">
        <v>13940</v>
      </c>
      <c r="F58" s="3480">
        <v>55760</v>
      </c>
      <c r="G58" s="3480" t="s">
        <v>3488</v>
      </c>
      <c r="H58" s="3480" t="s">
        <v>3457</v>
      </c>
      <c r="I58" s="3480" t="s">
        <v>3458</v>
      </c>
      <c r="J58" s="3480" t="s">
        <v>3427</v>
      </c>
      <c r="K58" s="3480" t="s">
        <v>3483</v>
      </c>
      <c r="L58" s="3480" t="s">
        <v>3483</v>
      </c>
      <c r="M58" s="3480" t="s">
        <v>3460</v>
      </c>
      <c r="N58" s="3480" t="s">
        <v>3484</v>
      </c>
      <c r="O58" s="3480">
        <v>7430</v>
      </c>
      <c r="P58" s="3480">
        <v>1490</v>
      </c>
      <c r="Q58" s="3480" t="s">
        <v>3485</v>
      </c>
      <c r="R58" s="3480">
        <v>7430</v>
      </c>
      <c r="S58" s="3480">
        <v>1333</v>
      </c>
      <c r="T58" s="3480">
        <v>0</v>
      </c>
    </row>
    <row r="59" spans="1:21" ht="14.25">
      <c r="A59" s="3480" t="s">
        <v>3489</v>
      </c>
      <c r="B59" s="3480" t="s">
        <v>3454</v>
      </c>
      <c r="C59" s="3480" t="s">
        <v>3489</v>
      </c>
      <c r="D59" s="3480" t="s">
        <v>3455</v>
      </c>
      <c r="E59" s="3480">
        <v>6415</v>
      </c>
      <c r="F59" s="3480">
        <v>12830</v>
      </c>
      <c r="G59" s="3480" t="s">
        <v>3456</v>
      </c>
      <c r="H59" s="3480" t="s">
        <v>3457</v>
      </c>
      <c r="I59" s="3480" t="s">
        <v>3458</v>
      </c>
      <c r="J59" s="3480" t="s">
        <v>3427</v>
      </c>
      <c r="K59" s="3480" t="s">
        <v>3490</v>
      </c>
      <c r="L59" s="3480" t="s">
        <v>3490</v>
      </c>
      <c r="M59" s="3480" t="s">
        <v>3460</v>
      </c>
      <c r="N59" s="3480" t="s">
        <v>3491</v>
      </c>
      <c r="O59" s="3480">
        <v>442</v>
      </c>
      <c r="P59" s="3480">
        <v>230</v>
      </c>
      <c r="Q59" s="3480" t="s">
        <v>3492</v>
      </c>
      <c r="R59" s="3480">
        <v>442</v>
      </c>
      <c r="S59" s="3480">
        <v>345</v>
      </c>
      <c r="T59" s="3480">
        <v>0</v>
      </c>
    </row>
    <row r="60" spans="1:21" ht="14.25">
      <c r="A60" s="3480" t="s">
        <v>3493</v>
      </c>
      <c r="B60" s="3480" t="s">
        <v>3454</v>
      </c>
      <c r="C60" s="3480" t="s">
        <v>3493</v>
      </c>
      <c r="D60" s="3480" t="s">
        <v>3455</v>
      </c>
      <c r="E60" s="3480">
        <v>7796</v>
      </c>
      <c r="F60" s="3480">
        <v>15592</v>
      </c>
      <c r="G60" s="3480" t="s">
        <v>3456</v>
      </c>
      <c r="H60" s="3480" t="s">
        <v>3457</v>
      </c>
      <c r="I60" s="3480" t="s">
        <v>3458</v>
      </c>
      <c r="J60" s="3480" t="s">
        <v>3427</v>
      </c>
      <c r="K60" s="3480" t="s">
        <v>3490</v>
      </c>
      <c r="L60" s="3480" t="s">
        <v>3490</v>
      </c>
      <c r="M60" s="3480" t="s">
        <v>3460</v>
      </c>
      <c r="N60" s="3480" t="s">
        <v>3494</v>
      </c>
      <c r="O60" s="3480">
        <v>547</v>
      </c>
      <c r="P60" s="3480">
        <v>280</v>
      </c>
      <c r="Q60" s="3480" t="s">
        <v>3492</v>
      </c>
      <c r="R60" s="3480">
        <v>635</v>
      </c>
      <c r="S60" s="3480">
        <v>407</v>
      </c>
      <c r="T60" s="3480">
        <v>16.09</v>
      </c>
    </row>
    <row r="61" spans="1:21" ht="14.25">
      <c r="A61" s="3480" t="s">
        <v>3495</v>
      </c>
      <c r="B61" s="3480" t="s">
        <v>3454</v>
      </c>
      <c r="C61" s="3480" t="s">
        <v>3495</v>
      </c>
      <c r="D61" s="3480" t="s">
        <v>3455</v>
      </c>
      <c r="E61" s="3480">
        <v>1373</v>
      </c>
      <c r="F61" s="3480">
        <v>2471.4</v>
      </c>
      <c r="G61" s="3480" t="s">
        <v>3496</v>
      </c>
      <c r="H61" s="3480" t="s">
        <v>3457</v>
      </c>
      <c r="I61" s="3480" t="s">
        <v>3458</v>
      </c>
      <c r="J61" s="3480" t="s">
        <v>3427</v>
      </c>
      <c r="K61" s="3480" t="s">
        <v>3490</v>
      </c>
      <c r="L61" s="3480" t="s">
        <v>3490</v>
      </c>
      <c r="M61" s="3480" t="s">
        <v>3460</v>
      </c>
      <c r="N61" s="3480" t="s">
        <v>3497</v>
      </c>
      <c r="O61" s="3480">
        <v>176</v>
      </c>
      <c r="P61" s="3480">
        <v>90</v>
      </c>
      <c r="Q61" s="3480" t="s">
        <v>3492</v>
      </c>
      <c r="R61" s="3480">
        <v>176</v>
      </c>
      <c r="S61" s="3480">
        <v>712</v>
      </c>
      <c r="T61" s="3480">
        <v>0</v>
      </c>
    </row>
    <row r="62" spans="1:21" ht="14.25">
      <c r="A62" s="3480" t="s">
        <v>3498</v>
      </c>
      <c r="B62" s="3480" t="s">
        <v>3454</v>
      </c>
      <c r="C62" s="3480" t="s">
        <v>3498</v>
      </c>
      <c r="D62" s="3480" t="s">
        <v>3455</v>
      </c>
      <c r="E62" s="3480">
        <v>181408</v>
      </c>
      <c r="F62" s="3480">
        <v>272112</v>
      </c>
      <c r="G62" s="3480" t="s">
        <v>3499</v>
      </c>
      <c r="H62" s="3480" t="s">
        <v>3457</v>
      </c>
      <c r="I62" s="3480" t="s">
        <v>3458</v>
      </c>
      <c r="J62" s="3480" t="s">
        <v>3427</v>
      </c>
      <c r="K62" s="3480" t="s">
        <v>3500</v>
      </c>
      <c r="L62" s="3480" t="s">
        <v>3500</v>
      </c>
      <c r="M62" s="3480" t="s">
        <v>3460</v>
      </c>
      <c r="N62" s="3480" t="s">
        <v>3501</v>
      </c>
      <c r="O62" s="3480">
        <v>10885</v>
      </c>
      <c r="P62" s="3480">
        <v>5443</v>
      </c>
      <c r="Q62" s="3480" t="s">
        <v>3502</v>
      </c>
      <c r="R62" s="3480">
        <v>10885</v>
      </c>
      <c r="S62" s="3480">
        <v>400</v>
      </c>
      <c r="T62" s="3480">
        <v>0</v>
      </c>
    </row>
    <row r="63" spans="1:21" ht="14.25">
      <c r="A63" s="3480" t="s">
        <v>3503</v>
      </c>
      <c r="B63" s="3480" t="s">
        <v>3454</v>
      </c>
      <c r="C63" s="3480" t="s">
        <v>3504</v>
      </c>
      <c r="D63" s="3480" t="s">
        <v>3455</v>
      </c>
      <c r="E63" s="3480">
        <v>22368</v>
      </c>
      <c r="F63" s="3480">
        <v>33552</v>
      </c>
      <c r="G63" s="3480" t="s">
        <v>3505</v>
      </c>
      <c r="H63" s="3480" t="s">
        <v>3457</v>
      </c>
      <c r="I63" s="3480" t="s">
        <v>3458</v>
      </c>
      <c r="J63" s="3480" t="s">
        <v>3427</v>
      </c>
      <c r="K63" s="3480" t="s">
        <v>3506</v>
      </c>
      <c r="L63" s="3480" t="s">
        <v>3506</v>
      </c>
      <c r="M63" s="3480" t="s">
        <v>3460</v>
      </c>
      <c r="N63" s="3480" t="s">
        <v>3507</v>
      </c>
      <c r="O63" s="3480">
        <v>5043</v>
      </c>
      <c r="P63" s="3480">
        <v>1009</v>
      </c>
      <c r="Q63" s="3480" t="s">
        <v>3508</v>
      </c>
      <c r="R63" s="3480">
        <v>5043</v>
      </c>
      <c r="S63" s="3480">
        <v>1503</v>
      </c>
      <c r="T63" s="3480">
        <v>0</v>
      </c>
    </row>
    <row r="64" spans="1:21" ht="14.25">
      <c r="A64" s="3480" t="s">
        <v>3509</v>
      </c>
      <c r="B64" s="3480" t="s">
        <v>3454</v>
      </c>
      <c r="C64" s="3480" t="s">
        <v>3510</v>
      </c>
      <c r="D64" s="3480" t="s">
        <v>3464</v>
      </c>
      <c r="E64" s="3480">
        <v>60971</v>
      </c>
      <c r="F64" s="3480">
        <v>152427.5</v>
      </c>
      <c r="G64" s="3480" t="s">
        <v>3511</v>
      </c>
      <c r="H64" s="3480" t="s">
        <v>3457</v>
      </c>
      <c r="I64" s="3480" t="s">
        <v>3408</v>
      </c>
      <c r="J64" s="3480" t="s">
        <v>3427</v>
      </c>
      <c r="K64" s="3480" t="s">
        <v>3512</v>
      </c>
      <c r="L64" s="3480" t="s">
        <v>3512</v>
      </c>
      <c r="M64" s="3480" t="s">
        <v>3460</v>
      </c>
      <c r="N64" s="3480" t="s">
        <v>3513</v>
      </c>
      <c r="O64" s="3480">
        <v>98621</v>
      </c>
      <c r="P64" s="3480">
        <v>20000</v>
      </c>
      <c r="Q64" s="3480" t="s">
        <v>3514</v>
      </c>
      <c r="R64" s="3480">
        <v>148621</v>
      </c>
      <c r="S64" s="3480">
        <v>9750</v>
      </c>
      <c r="T64" s="3480">
        <v>50.7</v>
      </c>
    </row>
    <row r="65" spans="1:20" ht="14.25">
      <c r="A65" s="3480" t="s">
        <v>3515</v>
      </c>
      <c r="B65" s="3480" t="s">
        <v>3454</v>
      </c>
      <c r="C65" s="3480" t="s">
        <v>3516</v>
      </c>
      <c r="D65" s="3480" t="s">
        <v>3455</v>
      </c>
      <c r="E65" s="3480">
        <v>40064</v>
      </c>
      <c r="F65" s="3480">
        <v>120192</v>
      </c>
      <c r="G65" s="3480" t="s">
        <v>3517</v>
      </c>
      <c r="H65" s="3480" t="s">
        <v>3457</v>
      </c>
      <c r="I65" s="3480" t="s">
        <v>3458</v>
      </c>
      <c r="J65" s="3480" t="s">
        <v>3427</v>
      </c>
      <c r="K65" s="3480" t="s">
        <v>3518</v>
      </c>
      <c r="L65" s="3480" t="s">
        <v>3518</v>
      </c>
      <c r="M65" s="3480" t="s">
        <v>3460</v>
      </c>
      <c r="N65" s="3480" t="s">
        <v>3519</v>
      </c>
      <c r="O65" s="3480">
        <v>18029</v>
      </c>
      <c r="P65" s="3480">
        <v>3606</v>
      </c>
      <c r="Q65" s="3480" t="s">
        <v>3520</v>
      </c>
      <c r="R65" s="3480">
        <v>18029</v>
      </c>
      <c r="S65" s="3480">
        <v>1500</v>
      </c>
      <c r="T65" s="3480">
        <v>0</v>
      </c>
    </row>
    <row r="66" spans="1:20" ht="14.25">
      <c r="A66" s="3480" t="s">
        <v>3521</v>
      </c>
      <c r="B66" s="3480" t="s">
        <v>3454</v>
      </c>
      <c r="C66" s="3480" t="s">
        <v>3522</v>
      </c>
      <c r="D66" s="3480" t="s">
        <v>3464</v>
      </c>
      <c r="E66" s="3480">
        <v>19082</v>
      </c>
      <c r="F66" s="3480">
        <v>38164</v>
      </c>
      <c r="G66" s="3480" t="s">
        <v>3523</v>
      </c>
      <c r="H66" s="3480" t="s">
        <v>3457</v>
      </c>
      <c r="I66" s="3480" t="s">
        <v>3408</v>
      </c>
      <c r="J66" s="3480" t="s">
        <v>3427</v>
      </c>
      <c r="K66" s="3480" t="s">
        <v>3512</v>
      </c>
      <c r="L66" s="3480" t="s">
        <v>3512</v>
      </c>
      <c r="M66" s="3480" t="s">
        <v>3460</v>
      </c>
      <c r="N66" s="3480" t="s">
        <v>3524</v>
      </c>
      <c r="O66" s="3480">
        <v>26361</v>
      </c>
      <c r="P66" s="3480">
        <v>5300</v>
      </c>
      <c r="Q66" s="3480" t="s">
        <v>3514</v>
      </c>
      <c r="R66" s="3480">
        <v>40061</v>
      </c>
      <c r="S66" s="3480">
        <v>10497</v>
      </c>
      <c r="T66" s="3480">
        <v>51.97</v>
      </c>
    </row>
    <row r="67" spans="1:20" ht="14.25">
      <c r="A67" s="3480" t="s">
        <v>3525</v>
      </c>
      <c r="B67" s="3480" t="s">
        <v>3454</v>
      </c>
      <c r="C67" s="3480" t="s">
        <v>3526</v>
      </c>
      <c r="D67" s="3480" t="s">
        <v>3455</v>
      </c>
      <c r="E67" s="3480">
        <v>7732</v>
      </c>
      <c r="F67" s="3480">
        <v>38660</v>
      </c>
      <c r="G67" s="3480" t="s">
        <v>3527</v>
      </c>
      <c r="H67" s="3480" t="s">
        <v>3457</v>
      </c>
      <c r="I67" s="3480" t="s">
        <v>3407</v>
      </c>
      <c r="J67" s="3480" t="s">
        <v>3427</v>
      </c>
      <c r="K67" s="3480" t="s">
        <v>3518</v>
      </c>
      <c r="L67" s="3480" t="s">
        <v>3518</v>
      </c>
      <c r="M67" s="3480" t="s">
        <v>3460</v>
      </c>
      <c r="N67" s="3480" t="s">
        <v>3528</v>
      </c>
      <c r="O67" s="3480">
        <v>13952</v>
      </c>
      <c r="P67" s="3480">
        <v>2791</v>
      </c>
      <c r="Q67" s="3480" t="s">
        <v>3520</v>
      </c>
      <c r="R67" s="3480">
        <v>13952</v>
      </c>
      <c r="S67" s="3480">
        <v>3609</v>
      </c>
      <c r="T67" s="3480">
        <v>0</v>
      </c>
    </row>
    <row r="68" spans="1:20" ht="14.25">
      <c r="A68" s="3480" t="s">
        <v>3529</v>
      </c>
      <c r="B68" s="3480" t="s">
        <v>3454</v>
      </c>
      <c r="C68" s="3480" t="s">
        <v>3530</v>
      </c>
      <c r="D68" s="3480" t="s">
        <v>3464</v>
      </c>
      <c r="E68" s="3480">
        <v>12858</v>
      </c>
      <c r="F68" s="3480">
        <v>28287.599999999999</v>
      </c>
      <c r="G68" s="3480" t="s">
        <v>3531</v>
      </c>
      <c r="H68" s="3480" t="s">
        <v>3457</v>
      </c>
      <c r="I68" s="3480" t="s">
        <v>3408</v>
      </c>
      <c r="J68" s="3480" t="s">
        <v>3427</v>
      </c>
      <c r="K68" s="3480" t="s">
        <v>3512</v>
      </c>
      <c r="L68" s="3480" t="s">
        <v>3512</v>
      </c>
      <c r="M68" s="3480" t="s">
        <v>3460</v>
      </c>
      <c r="N68" s="3480" t="s">
        <v>3532</v>
      </c>
      <c r="O68" s="3480">
        <v>12072</v>
      </c>
      <c r="P68" s="3480">
        <v>2415</v>
      </c>
      <c r="Q68" s="3480" t="s">
        <v>3514</v>
      </c>
      <c r="R68" s="3480">
        <v>12072</v>
      </c>
      <c r="S68" s="3480">
        <v>4268</v>
      </c>
      <c r="T68" s="3480">
        <v>0</v>
      </c>
    </row>
    <row r="69" spans="1:20" ht="14.25">
      <c r="A69" s="3480" t="s">
        <v>3533</v>
      </c>
      <c r="B69" s="3480" t="s">
        <v>3454</v>
      </c>
      <c r="C69" s="3480" t="s">
        <v>3534</v>
      </c>
      <c r="D69" s="3480" t="s">
        <v>3464</v>
      </c>
      <c r="E69" s="3480">
        <v>45828</v>
      </c>
      <c r="F69" s="3480">
        <v>82490.399999999994</v>
      </c>
      <c r="G69" s="3480" t="s">
        <v>3465</v>
      </c>
      <c r="H69" s="3480" t="s">
        <v>3457</v>
      </c>
      <c r="I69" s="3480" t="s">
        <v>3408</v>
      </c>
      <c r="J69" s="3480" t="s">
        <v>3427</v>
      </c>
      <c r="K69" s="3480" t="s">
        <v>3512</v>
      </c>
      <c r="L69" s="3480" t="s">
        <v>3512</v>
      </c>
      <c r="M69" s="3480" t="s">
        <v>3460</v>
      </c>
      <c r="N69" s="3480" t="s">
        <v>3535</v>
      </c>
      <c r="O69" s="3480">
        <v>46884</v>
      </c>
      <c r="P69" s="3480">
        <v>10010</v>
      </c>
      <c r="Q69" s="3480" t="s">
        <v>3514</v>
      </c>
      <c r="R69" s="3480">
        <v>46884</v>
      </c>
      <c r="S69" s="3480">
        <v>5684</v>
      </c>
      <c r="T69" s="3480">
        <v>0</v>
      </c>
    </row>
    <row r="70" spans="1:20" ht="14.25">
      <c r="A70" s="3480" t="s">
        <v>3536</v>
      </c>
      <c r="B70" s="3480" t="s">
        <v>3454</v>
      </c>
      <c r="C70" s="3480" t="s">
        <v>3537</v>
      </c>
      <c r="D70" s="3480" t="s">
        <v>3455</v>
      </c>
      <c r="E70" s="3480">
        <v>6260</v>
      </c>
      <c r="F70" s="3480">
        <v>10016</v>
      </c>
      <c r="G70" s="3480" t="s">
        <v>3538</v>
      </c>
      <c r="H70" s="3480" t="s">
        <v>3457</v>
      </c>
      <c r="I70" s="3480" t="s">
        <v>3407</v>
      </c>
      <c r="J70" s="3480" t="s">
        <v>3427</v>
      </c>
      <c r="K70" s="3480" t="s">
        <v>3512</v>
      </c>
      <c r="L70" s="3480" t="s">
        <v>3512</v>
      </c>
      <c r="M70" s="3480" t="s">
        <v>3460</v>
      </c>
      <c r="N70" s="3480" t="s">
        <v>3539</v>
      </c>
      <c r="O70" s="3480">
        <v>3006</v>
      </c>
      <c r="P70" s="3480">
        <v>601</v>
      </c>
      <c r="Q70" s="3480" t="s">
        <v>3514</v>
      </c>
      <c r="R70" s="3480">
        <v>3006</v>
      </c>
      <c r="S70" s="3480">
        <v>3001</v>
      </c>
      <c r="T70" s="3480">
        <v>0</v>
      </c>
    </row>
    <row r="71" spans="1:20" ht="14.25">
      <c r="A71" s="3480" t="s">
        <v>3540</v>
      </c>
      <c r="B71" s="3480" t="s">
        <v>3454</v>
      </c>
      <c r="C71" s="3480" t="s">
        <v>3541</v>
      </c>
      <c r="D71" s="3480" t="s">
        <v>3455</v>
      </c>
      <c r="E71" s="3480">
        <v>19862</v>
      </c>
      <c r="F71" s="3480">
        <v>51641.2</v>
      </c>
      <c r="G71" s="3480" t="s">
        <v>3542</v>
      </c>
      <c r="H71" s="3480" t="s">
        <v>3457</v>
      </c>
      <c r="I71" s="3480" t="s">
        <v>3458</v>
      </c>
      <c r="J71" s="3480" t="s">
        <v>3427</v>
      </c>
      <c r="K71" s="3480" t="s">
        <v>3512</v>
      </c>
      <c r="L71" s="3480" t="s">
        <v>3512</v>
      </c>
      <c r="M71" s="3480" t="s">
        <v>3460</v>
      </c>
      <c r="N71" s="3480" t="s">
        <v>3543</v>
      </c>
      <c r="O71" s="3480">
        <v>4343</v>
      </c>
      <c r="P71" s="3480">
        <v>1000</v>
      </c>
      <c r="Q71" s="3480" t="s">
        <v>3514</v>
      </c>
      <c r="R71" s="3480">
        <v>4343</v>
      </c>
      <c r="S71" s="3480">
        <v>841</v>
      </c>
      <c r="T71" s="3480">
        <v>0</v>
      </c>
    </row>
    <row r="72" spans="1:20" s="3183" customFormat="1" ht="14.25">
      <c r="A72" s="3481" t="s">
        <v>3544</v>
      </c>
      <c r="B72" s="3481" t="s">
        <v>3454</v>
      </c>
      <c r="C72" s="3481" t="s">
        <v>3545</v>
      </c>
      <c r="D72" s="3481" t="s">
        <v>3464</v>
      </c>
      <c r="E72" s="3481">
        <v>28649</v>
      </c>
      <c r="F72" s="3481">
        <v>74487.399999999994</v>
      </c>
      <c r="G72" s="3481" t="s">
        <v>3546</v>
      </c>
      <c r="H72" s="3481" t="s">
        <v>3457</v>
      </c>
      <c r="I72" s="3481" t="s">
        <v>3408</v>
      </c>
      <c r="J72" s="3481" t="s">
        <v>3427</v>
      </c>
      <c r="K72" s="3481" t="s">
        <v>3512</v>
      </c>
      <c r="L72" s="3481" t="s">
        <v>3512</v>
      </c>
      <c r="M72" s="3481" t="s">
        <v>3460</v>
      </c>
      <c r="N72" s="3481" t="s">
        <v>3539</v>
      </c>
      <c r="O72" s="3481">
        <v>50376</v>
      </c>
      <c r="P72" s="3481">
        <v>10677</v>
      </c>
      <c r="Q72" s="3481" t="s">
        <v>3514</v>
      </c>
      <c r="R72" s="3481">
        <v>53376</v>
      </c>
      <c r="S72" s="3481">
        <v>7166</v>
      </c>
      <c r="T72" s="3481">
        <v>5.96</v>
      </c>
    </row>
    <row r="73" spans="1:20" ht="14.25">
      <c r="A73" s="3480" t="s">
        <v>3547</v>
      </c>
      <c r="B73" s="3480" t="s">
        <v>3454</v>
      </c>
      <c r="C73" s="3480" t="s">
        <v>3548</v>
      </c>
      <c r="D73" s="3480" t="s">
        <v>3455</v>
      </c>
      <c r="E73" s="3480">
        <v>15548</v>
      </c>
      <c r="F73" s="3480">
        <v>93288</v>
      </c>
      <c r="G73" s="3480" t="s">
        <v>3549</v>
      </c>
      <c r="H73" s="3480" t="s">
        <v>3457</v>
      </c>
      <c r="I73" s="3480" t="s">
        <v>3407</v>
      </c>
      <c r="J73" s="3480" t="s">
        <v>3427</v>
      </c>
      <c r="K73" s="3480" t="s">
        <v>3518</v>
      </c>
      <c r="L73" s="3480" t="s">
        <v>3518</v>
      </c>
      <c r="M73" s="3480" t="s">
        <v>3460</v>
      </c>
      <c r="N73" s="3480" t="s">
        <v>3550</v>
      </c>
      <c r="O73" s="3480">
        <v>39042</v>
      </c>
      <c r="P73" s="3480">
        <v>7809</v>
      </c>
      <c r="Q73" s="3480" t="s">
        <v>3520</v>
      </c>
      <c r="R73" s="3480">
        <v>39042</v>
      </c>
      <c r="S73" s="3480">
        <v>4185</v>
      </c>
      <c r="T73" s="3480">
        <v>0</v>
      </c>
    </row>
    <row r="74" spans="1:20" ht="14.25">
      <c r="A74" s="3480" t="s">
        <v>3551</v>
      </c>
      <c r="B74" s="3480" t="s">
        <v>3454</v>
      </c>
      <c r="C74" s="3480" t="s">
        <v>3552</v>
      </c>
      <c r="D74" s="3480" t="s">
        <v>3455</v>
      </c>
      <c r="E74" s="3480">
        <v>13215</v>
      </c>
      <c r="F74" s="3480">
        <v>26430</v>
      </c>
      <c r="G74" s="3480" t="s">
        <v>3553</v>
      </c>
      <c r="H74" s="3480" t="s">
        <v>3457</v>
      </c>
      <c r="I74" s="3480" t="s">
        <v>3407</v>
      </c>
      <c r="J74" s="3480" t="s">
        <v>3427</v>
      </c>
      <c r="K74" s="3480" t="s">
        <v>3518</v>
      </c>
      <c r="L74" s="3480" t="s">
        <v>3518</v>
      </c>
      <c r="M74" s="3480" t="s">
        <v>3460</v>
      </c>
      <c r="N74" s="3480" t="s">
        <v>3554</v>
      </c>
      <c r="O74" s="3480">
        <v>4519</v>
      </c>
      <c r="P74" s="3480">
        <v>904</v>
      </c>
      <c r="Q74" s="3480" t="s">
        <v>3520</v>
      </c>
      <c r="R74" s="3480">
        <v>4519</v>
      </c>
      <c r="S74" s="3480">
        <v>1710</v>
      </c>
      <c r="T74" s="3480">
        <v>0</v>
      </c>
    </row>
    <row r="75" spans="1:20" ht="14.25">
      <c r="A75" s="3480" t="s">
        <v>3555</v>
      </c>
      <c r="B75" s="3480" t="s">
        <v>3454</v>
      </c>
      <c r="C75" s="3480" t="s">
        <v>3555</v>
      </c>
      <c r="D75" s="3480" t="s">
        <v>3464</v>
      </c>
      <c r="E75" s="3480">
        <v>18443</v>
      </c>
      <c r="F75" s="3480">
        <v>29508.799999999999</v>
      </c>
      <c r="G75" s="3480" t="s">
        <v>3556</v>
      </c>
      <c r="H75" s="3480" t="s">
        <v>3457</v>
      </c>
      <c r="I75" s="3480" t="s">
        <v>3408</v>
      </c>
      <c r="J75" s="3480" t="s">
        <v>3427</v>
      </c>
      <c r="K75" s="3480" t="s">
        <v>3557</v>
      </c>
      <c r="L75" s="3480" t="s">
        <v>3557</v>
      </c>
      <c r="M75" s="3480" t="s">
        <v>3460</v>
      </c>
      <c r="N75" s="3480" t="s">
        <v>3468</v>
      </c>
      <c r="O75" s="3480">
        <v>5533</v>
      </c>
      <c r="P75" s="3480">
        <v>1700</v>
      </c>
      <c r="Q75" s="3480" t="s">
        <v>3558</v>
      </c>
      <c r="R75" s="3480">
        <v>5533</v>
      </c>
      <c r="S75" s="3480">
        <v>1875</v>
      </c>
      <c r="T75" s="3480">
        <v>0</v>
      </c>
    </row>
    <row r="76" spans="1:20" ht="14.25">
      <c r="A76" s="3480" t="s">
        <v>3559</v>
      </c>
      <c r="B76" s="3480" t="s">
        <v>3454</v>
      </c>
      <c r="C76" s="3480" t="s">
        <v>3559</v>
      </c>
      <c r="D76" s="3480" t="s">
        <v>3464</v>
      </c>
      <c r="E76" s="3480">
        <v>9647</v>
      </c>
      <c r="F76" s="3480">
        <v>15435.2</v>
      </c>
      <c r="G76" s="3480" t="s">
        <v>3556</v>
      </c>
      <c r="H76" s="3480" t="s">
        <v>3457</v>
      </c>
      <c r="I76" s="3480" t="s">
        <v>3408</v>
      </c>
      <c r="J76" s="3480" t="s">
        <v>3427</v>
      </c>
      <c r="K76" s="3480" t="s">
        <v>3557</v>
      </c>
      <c r="L76" s="3480" t="s">
        <v>3557</v>
      </c>
      <c r="M76" s="3480" t="s">
        <v>3460</v>
      </c>
      <c r="N76" s="3480" t="s">
        <v>3468</v>
      </c>
      <c r="O76" s="3480">
        <v>2895</v>
      </c>
      <c r="P76" s="3480">
        <v>900</v>
      </c>
      <c r="Q76" s="3480" t="s">
        <v>3558</v>
      </c>
      <c r="R76" s="3480">
        <v>2895</v>
      </c>
      <c r="S76" s="3480">
        <v>1876</v>
      </c>
      <c r="T76" s="3480">
        <v>0</v>
      </c>
    </row>
    <row r="77" spans="1:20" ht="14.25">
      <c r="A77" s="3480" t="s">
        <v>3560</v>
      </c>
      <c r="B77" s="3480" t="s">
        <v>3454</v>
      </c>
      <c r="C77" s="3480" t="s">
        <v>3560</v>
      </c>
      <c r="D77" s="3480" t="s">
        <v>3455</v>
      </c>
      <c r="E77" s="3480">
        <v>8402</v>
      </c>
      <c r="F77" s="3480">
        <v>15123.6</v>
      </c>
      <c r="G77" s="3480" t="s">
        <v>3496</v>
      </c>
      <c r="H77" s="3480" t="s">
        <v>3457</v>
      </c>
      <c r="I77" s="3480" t="s">
        <v>3458</v>
      </c>
      <c r="J77" s="3480" t="s">
        <v>3427</v>
      </c>
      <c r="K77" s="3480" t="s">
        <v>3557</v>
      </c>
      <c r="L77" s="3480" t="s">
        <v>3557</v>
      </c>
      <c r="M77" s="3480" t="s">
        <v>3460</v>
      </c>
      <c r="N77" s="3480" t="s">
        <v>3468</v>
      </c>
      <c r="O77" s="3480">
        <v>2521</v>
      </c>
      <c r="P77" s="3480">
        <v>760</v>
      </c>
      <c r="Q77" s="3480" t="s">
        <v>3558</v>
      </c>
      <c r="R77" s="3480">
        <v>2521</v>
      </c>
      <c r="S77" s="3480">
        <v>1667</v>
      </c>
      <c r="T77" s="3480">
        <v>0</v>
      </c>
    </row>
    <row r="78" spans="1:20" ht="14.25">
      <c r="A78" s="3480" t="s">
        <v>3561</v>
      </c>
      <c r="B78" s="3480" t="s">
        <v>3454</v>
      </c>
      <c r="C78" s="3480" t="s">
        <v>3562</v>
      </c>
      <c r="D78" s="3480" t="s">
        <v>3464</v>
      </c>
      <c r="E78" s="3480">
        <v>41697</v>
      </c>
      <c r="F78" s="3480">
        <v>66715.199999999997</v>
      </c>
      <c r="G78" s="3480" t="s">
        <v>3563</v>
      </c>
      <c r="H78" s="3480" t="s">
        <v>3457</v>
      </c>
      <c r="I78" s="3480" t="s">
        <v>3408</v>
      </c>
      <c r="J78" s="3480" t="s">
        <v>3427</v>
      </c>
      <c r="K78" s="3480" t="s">
        <v>3564</v>
      </c>
      <c r="L78" s="3480" t="s">
        <v>3564</v>
      </c>
      <c r="M78" s="3480" t="s">
        <v>3460</v>
      </c>
      <c r="N78" s="3480" t="s">
        <v>3565</v>
      </c>
      <c r="O78" s="3480">
        <v>23794</v>
      </c>
      <c r="P78" s="3480">
        <v>4800</v>
      </c>
      <c r="Q78" s="3480" t="s">
        <v>3566</v>
      </c>
      <c r="R78" s="3480">
        <v>23794</v>
      </c>
      <c r="S78" s="3480">
        <v>3567</v>
      </c>
      <c r="T78" s="3480">
        <v>0</v>
      </c>
    </row>
    <row r="79" spans="1:20" ht="14.25">
      <c r="A79" s="3480" t="s">
        <v>3567</v>
      </c>
      <c r="B79" s="3480" t="s">
        <v>3454</v>
      </c>
      <c r="C79" s="3480" t="s">
        <v>3568</v>
      </c>
      <c r="D79" s="3480" t="s">
        <v>3464</v>
      </c>
      <c r="E79" s="3480">
        <v>37271</v>
      </c>
      <c r="F79" s="3480">
        <v>108085.9</v>
      </c>
      <c r="G79" s="3480" t="s">
        <v>3569</v>
      </c>
      <c r="H79" s="3480" t="s">
        <v>3457</v>
      </c>
      <c r="I79" s="3480" t="s">
        <v>3408</v>
      </c>
      <c r="J79" s="3480" t="s">
        <v>3427</v>
      </c>
      <c r="K79" s="3480" t="s">
        <v>3570</v>
      </c>
      <c r="L79" s="3480" t="s">
        <v>3570</v>
      </c>
      <c r="M79" s="3480" t="s">
        <v>3460</v>
      </c>
      <c r="N79" s="3480" t="s">
        <v>3571</v>
      </c>
      <c r="O79" s="3480">
        <v>162129</v>
      </c>
      <c r="P79" s="3480">
        <v>32426</v>
      </c>
      <c r="Q79" s="3480" t="s">
        <v>3572</v>
      </c>
      <c r="R79" s="3480">
        <v>162129</v>
      </c>
      <c r="S79" s="3480">
        <v>15000</v>
      </c>
      <c r="T79" s="3480">
        <v>0</v>
      </c>
    </row>
    <row r="80" spans="1:20" ht="14.25">
      <c r="A80" s="3480" t="s">
        <v>3573</v>
      </c>
      <c r="B80" s="3480" t="s">
        <v>3454</v>
      </c>
      <c r="C80" s="3480" t="s">
        <v>3573</v>
      </c>
      <c r="D80" s="3480" t="s">
        <v>3464</v>
      </c>
      <c r="E80" s="3480">
        <v>16464</v>
      </c>
      <c r="F80" s="3480">
        <v>32928</v>
      </c>
      <c r="G80" s="3480" t="s">
        <v>3523</v>
      </c>
      <c r="H80" s="3480" t="s">
        <v>3457</v>
      </c>
      <c r="I80" s="3480" t="s">
        <v>3408</v>
      </c>
      <c r="J80" s="3480" t="s">
        <v>3427</v>
      </c>
      <c r="K80" s="3480" t="s">
        <v>3574</v>
      </c>
      <c r="L80" s="3480" t="s">
        <v>3574</v>
      </c>
      <c r="M80" s="3480" t="s">
        <v>3460</v>
      </c>
      <c r="N80" s="3480" t="s">
        <v>3575</v>
      </c>
      <c r="O80" s="3480">
        <v>4940</v>
      </c>
      <c r="P80" s="3480">
        <v>1500</v>
      </c>
      <c r="Q80" s="3480" t="s">
        <v>3576</v>
      </c>
      <c r="R80" s="3480">
        <v>4940</v>
      </c>
      <c r="S80" s="3480">
        <v>1500</v>
      </c>
      <c r="T80" s="3480">
        <v>0</v>
      </c>
    </row>
    <row r="81" spans="1:20" ht="14.25">
      <c r="A81" s="3480" t="s">
        <v>3577</v>
      </c>
      <c r="B81" s="3480" t="s">
        <v>3454</v>
      </c>
      <c r="C81" s="3480" t="s">
        <v>3577</v>
      </c>
      <c r="D81" s="3480" t="s">
        <v>3464</v>
      </c>
      <c r="E81" s="3480">
        <v>20098</v>
      </c>
      <c r="F81" s="3480">
        <v>40196</v>
      </c>
      <c r="G81" s="3480" t="s">
        <v>3523</v>
      </c>
      <c r="H81" s="3480" t="s">
        <v>3457</v>
      </c>
      <c r="I81" s="3480" t="s">
        <v>3408</v>
      </c>
      <c r="J81" s="3480" t="s">
        <v>3427</v>
      </c>
      <c r="K81" s="3480" t="s">
        <v>3574</v>
      </c>
      <c r="L81" s="3480" t="s">
        <v>3574</v>
      </c>
      <c r="M81" s="3480" t="s">
        <v>3460</v>
      </c>
      <c r="N81" s="3480" t="s">
        <v>3575</v>
      </c>
      <c r="O81" s="3480">
        <v>6030</v>
      </c>
      <c r="P81" s="3480">
        <v>1900</v>
      </c>
      <c r="Q81" s="3480" t="s">
        <v>3576</v>
      </c>
      <c r="R81" s="3480">
        <v>6030</v>
      </c>
      <c r="S81" s="3480">
        <v>1500</v>
      </c>
      <c r="T81" s="3480">
        <v>0</v>
      </c>
    </row>
    <row r="82" spans="1:20" ht="14.25">
      <c r="A82" s="3480" t="s">
        <v>3578</v>
      </c>
      <c r="B82" s="3480" t="s">
        <v>3454</v>
      </c>
      <c r="C82" s="3480" t="s">
        <v>3578</v>
      </c>
      <c r="D82" s="3480" t="s">
        <v>3455</v>
      </c>
      <c r="E82" s="3480">
        <v>12244</v>
      </c>
      <c r="F82" s="3480">
        <v>18366</v>
      </c>
      <c r="G82" s="3480" t="s">
        <v>3579</v>
      </c>
      <c r="H82" s="3480" t="s">
        <v>3457</v>
      </c>
      <c r="I82" s="3480" t="s">
        <v>3458</v>
      </c>
      <c r="J82" s="3480" t="s">
        <v>3427</v>
      </c>
      <c r="K82" s="3480" t="s">
        <v>3574</v>
      </c>
      <c r="L82" s="3480" t="s">
        <v>3574</v>
      </c>
      <c r="M82" s="3480" t="s">
        <v>3460</v>
      </c>
      <c r="N82" s="3480" t="s">
        <v>3580</v>
      </c>
      <c r="O82" s="3480">
        <v>3674</v>
      </c>
      <c r="P82" s="3480">
        <v>1900</v>
      </c>
      <c r="Q82" s="3480" t="s">
        <v>3576</v>
      </c>
      <c r="R82" s="3480">
        <v>3674</v>
      </c>
      <c r="S82" s="3480">
        <v>2000</v>
      </c>
      <c r="T82" s="3480">
        <v>0</v>
      </c>
    </row>
    <row r="83" spans="1:20" ht="14.25">
      <c r="A83" s="3480" t="s">
        <v>3581</v>
      </c>
      <c r="B83" s="3480" t="s">
        <v>3454</v>
      </c>
      <c r="C83" s="3480" t="s">
        <v>3581</v>
      </c>
      <c r="D83" s="3480" t="s">
        <v>3455</v>
      </c>
      <c r="E83" s="3480">
        <v>1155</v>
      </c>
      <c r="F83" s="3480">
        <v>693</v>
      </c>
      <c r="G83" s="3480" t="s">
        <v>3582</v>
      </c>
      <c r="H83" s="3480" t="s">
        <v>3457</v>
      </c>
      <c r="I83" s="3480" t="s">
        <v>3458</v>
      </c>
      <c r="J83" s="3480" t="s">
        <v>3427</v>
      </c>
      <c r="K83" s="3480" t="s">
        <v>3574</v>
      </c>
      <c r="L83" s="3480" t="s">
        <v>3574</v>
      </c>
      <c r="M83" s="3480" t="s">
        <v>3460</v>
      </c>
      <c r="N83" s="3480" t="s">
        <v>3583</v>
      </c>
      <c r="O83" s="3480">
        <v>49</v>
      </c>
      <c r="P83" s="3480">
        <v>30</v>
      </c>
      <c r="Q83" s="3480" t="s">
        <v>3576</v>
      </c>
      <c r="R83" s="3480">
        <v>49</v>
      </c>
      <c r="S83" s="3480">
        <v>707</v>
      </c>
      <c r="T83" s="3480">
        <v>0</v>
      </c>
    </row>
    <row r="84" spans="1:20" ht="14.25">
      <c r="A84" s="3480" t="s">
        <v>3584</v>
      </c>
      <c r="B84" s="3480" t="s">
        <v>3454</v>
      </c>
      <c r="C84" s="3480" t="s">
        <v>3584</v>
      </c>
      <c r="D84" s="3480" t="s">
        <v>3464</v>
      </c>
      <c r="E84" s="3480">
        <v>16463</v>
      </c>
      <c r="F84" s="3480">
        <v>32926</v>
      </c>
      <c r="G84" s="3480" t="s">
        <v>3523</v>
      </c>
      <c r="H84" s="3480" t="s">
        <v>3457</v>
      </c>
      <c r="I84" s="3480" t="s">
        <v>3408</v>
      </c>
      <c r="J84" s="3480" t="s">
        <v>3427</v>
      </c>
      <c r="K84" s="3480" t="s">
        <v>3574</v>
      </c>
      <c r="L84" s="3480" t="s">
        <v>3574</v>
      </c>
      <c r="M84" s="3480" t="s">
        <v>3460</v>
      </c>
      <c r="N84" s="3480" t="s">
        <v>3575</v>
      </c>
      <c r="O84" s="3480">
        <v>4939</v>
      </c>
      <c r="P84" s="3480">
        <v>1500</v>
      </c>
      <c r="Q84" s="3480" t="s">
        <v>3576</v>
      </c>
      <c r="R84" s="3480">
        <v>4939</v>
      </c>
      <c r="S84" s="3480">
        <v>1500</v>
      </c>
      <c r="T84" s="3480">
        <v>0</v>
      </c>
    </row>
    <row r="85" spans="1:20" ht="14.25">
      <c r="A85" s="3480" t="s">
        <v>3585</v>
      </c>
      <c r="B85" s="3480" t="s">
        <v>3454</v>
      </c>
      <c r="C85" s="3480" t="s">
        <v>3585</v>
      </c>
      <c r="D85" s="3480" t="s">
        <v>3464</v>
      </c>
      <c r="E85" s="3480">
        <v>25965</v>
      </c>
      <c r="F85" s="3480">
        <v>51930</v>
      </c>
      <c r="G85" s="3480" t="s">
        <v>3523</v>
      </c>
      <c r="H85" s="3480" t="s">
        <v>3457</v>
      </c>
      <c r="I85" s="3480" t="s">
        <v>3408</v>
      </c>
      <c r="J85" s="3480" t="s">
        <v>3427</v>
      </c>
      <c r="K85" s="3480" t="s">
        <v>3574</v>
      </c>
      <c r="L85" s="3480" t="s">
        <v>3574</v>
      </c>
      <c r="M85" s="3480" t="s">
        <v>3460</v>
      </c>
      <c r="N85" s="3480" t="s">
        <v>3575</v>
      </c>
      <c r="O85" s="3480">
        <v>7790</v>
      </c>
      <c r="P85" s="3480">
        <v>2400</v>
      </c>
      <c r="Q85" s="3480" t="s">
        <v>3576</v>
      </c>
      <c r="R85" s="3480">
        <v>7790</v>
      </c>
      <c r="S85" s="3480">
        <v>1500</v>
      </c>
      <c r="T85" s="3480">
        <v>0</v>
      </c>
    </row>
    <row r="86" spans="1:20" ht="14.25">
      <c r="A86" s="3480" t="s">
        <v>3586</v>
      </c>
      <c r="B86" s="3480" t="s">
        <v>3454</v>
      </c>
      <c r="C86" s="3480" t="s">
        <v>3586</v>
      </c>
      <c r="D86" s="3480" t="s">
        <v>3464</v>
      </c>
      <c r="E86" s="3480">
        <v>20098</v>
      </c>
      <c r="F86" s="3480">
        <v>40196</v>
      </c>
      <c r="G86" s="3480" t="s">
        <v>3523</v>
      </c>
      <c r="H86" s="3480" t="s">
        <v>3457</v>
      </c>
      <c r="I86" s="3480" t="s">
        <v>3408</v>
      </c>
      <c r="J86" s="3480" t="s">
        <v>3427</v>
      </c>
      <c r="K86" s="3480" t="s">
        <v>3587</v>
      </c>
      <c r="L86" s="3480" t="s">
        <v>3587</v>
      </c>
      <c r="M86" s="3480" t="s">
        <v>3460</v>
      </c>
      <c r="N86" s="3480" t="s">
        <v>3575</v>
      </c>
      <c r="O86" s="3480">
        <v>6030</v>
      </c>
      <c r="P86" s="3480">
        <v>1900</v>
      </c>
      <c r="Q86" s="3480" t="s">
        <v>3588</v>
      </c>
      <c r="R86" s="3480">
        <v>6030</v>
      </c>
      <c r="S86" s="3480">
        <v>1500</v>
      </c>
      <c r="T86" s="3480">
        <v>0</v>
      </c>
    </row>
    <row r="87" spans="1:20" ht="14.25">
      <c r="A87" s="3480" t="s">
        <v>3589</v>
      </c>
      <c r="B87" s="3480" t="s">
        <v>3454</v>
      </c>
      <c r="C87" s="3480" t="s">
        <v>3589</v>
      </c>
      <c r="D87" s="3480" t="s">
        <v>3464</v>
      </c>
      <c r="E87" s="3480">
        <v>41835</v>
      </c>
      <c r="F87" s="3480">
        <v>75303</v>
      </c>
      <c r="G87" s="3480" t="s">
        <v>3465</v>
      </c>
      <c r="H87" s="3480" t="s">
        <v>3457</v>
      </c>
      <c r="I87" s="3480" t="s">
        <v>3408</v>
      </c>
      <c r="J87" s="3480" t="s">
        <v>3427</v>
      </c>
      <c r="K87" s="3480" t="s">
        <v>3590</v>
      </c>
      <c r="L87" s="3480" t="s">
        <v>3590</v>
      </c>
      <c r="M87" s="3480" t="s">
        <v>3460</v>
      </c>
      <c r="N87" s="3480" t="s">
        <v>3591</v>
      </c>
      <c r="O87" s="3480">
        <v>12551</v>
      </c>
      <c r="P87" s="3480">
        <v>3800</v>
      </c>
      <c r="Q87" s="3480" t="s">
        <v>3592</v>
      </c>
      <c r="R87" s="3480">
        <v>12551</v>
      </c>
      <c r="S87" s="3480">
        <v>1667</v>
      </c>
      <c r="T87" s="3480">
        <v>0</v>
      </c>
    </row>
    <row r="88" spans="1:20" ht="14.25">
      <c r="A88" s="3480" t="s">
        <v>3593</v>
      </c>
      <c r="B88" s="3480" t="s">
        <v>3454</v>
      </c>
      <c r="C88" s="3480" t="s">
        <v>3593</v>
      </c>
      <c r="D88" s="3480" t="s">
        <v>3464</v>
      </c>
      <c r="E88" s="3480">
        <v>680</v>
      </c>
      <c r="F88" s="3480">
        <v>0</v>
      </c>
      <c r="G88" s="3480" t="s">
        <v>3594</v>
      </c>
      <c r="H88" s="3480" t="s">
        <v>3457</v>
      </c>
      <c r="I88" s="3480" t="s">
        <v>2490</v>
      </c>
      <c r="J88" s="3480" t="s">
        <v>3427</v>
      </c>
      <c r="K88" s="3480" t="s">
        <v>3595</v>
      </c>
      <c r="L88" s="3480" t="s">
        <v>3595</v>
      </c>
      <c r="M88" s="3480" t="s">
        <v>3460</v>
      </c>
      <c r="N88" s="3480" t="s">
        <v>3596</v>
      </c>
      <c r="O88" s="3480">
        <v>23</v>
      </c>
      <c r="P88" s="3480">
        <v>12</v>
      </c>
      <c r="Q88" s="3480" t="s">
        <v>3597</v>
      </c>
      <c r="R88" s="3480">
        <v>23</v>
      </c>
      <c r="S88" s="3480" t="s">
        <v>3427</v>
      </c>
      <c r="T88" s="3480">
        <v>0</v>
      </c>
    </row>
    <row r="89" spans="1:20" ht="14.25">
      <c r="A89" s="3480" t="s">
        <v>3598</v>
      </c>
      <c r="B89" s="3480" t="s">
        <v>3454</v>
      </c>
      <c r="C89" s="3480" t="s">
        <v>3598</v>
      </c>
      <c r="D89" s="3480" t="s">
        <v>3455</v>
      </c>
      <c r="E89" s="3480">
        <v>3154</v>
      </c>
      <c r="F89" s="3480">
        <v>6308</v>
      </c>
      <c r="G89" s="3480" t="s">
        <v>3456</v>
      </c>
      <c r="H89" s="3480" t="s">
        <v>3457</v>
      </c>
      <c r="I89" s="3480" t="s">
        <v>3458</v>
      </c>
      <c r="J89" s="3480" t="s">
        <v>3427</v>
      </c>
      <c r="K89" s="3480" t="s">
        <v>3595</v>
      </c>
      <c r="L89" s="3480" t="s">
        <v>3595</v>
      </c>
      <c r="M89" s="3480" t="s">
        <v>3460</v>
      </c>
      <c r="N89" s="3480" t="s">
        <v>3599</v>
      </c>
      <c r="O89" s="3480">
        <v>947</v>
      </c>
      <c r="P89" s="3480">
        <v>290</v>
      </c>
      <c r="Q89" s="3480" t="s">
        <v>3597</v>
      </c>
      <c r="R89" s="3480">
        <v>947</v>
      </c>
      <c r="S89" s="3480">
        <v>1501</v>
      </c>
      <c r="T89" s="3480">
        <v>0</v>
      </c>
    </row>
    <row r="90" spans="1:20" ht="14.25">
      <c r="A90" s="3480" t="s">
        <v>3600</v>
      </c>
      <c r="B90" s="3480" t="s">
        <v>3454</v>
      </c>
      <c r="C90" s="3480" t="s">
        <v>3601</v>
      </c>
      <c r="D90" s="3480" t="s">
        <v>3464</v>
      </c>
      <c r="E90" s="3480">
        <v>55559</v>
      </c>
      <c r="F90" s="3480">
        <v>88894.399999999994</v>
      </c>
      <c r="G90" s="3480" t="s">
        <v>3602</v>
      </c>
      <c r="H90" s="3480" t="s">
        <v>3457</v>
      </c>
      <c r="I90" s="3480" t="s">
        <v>3408</v>
      </c>
      <c r="J90" s="3480" t="s">
        <v>3427</v>
      </c>
      <c r="K90" s="3480" t="s">
        <v>3603</v>
      </c>
      <c r="L90" s="3480" t="s">
        <v>3603</v>
      </c>
      <c r="M90" s="3480" t="s">
        <v>3460</v>
      </c>
      <c r="N90" s="3480" t="s">
        <v>3528</v>
      </c>
      <c r="O90" s="3480">
        <v>29141</v>
      </c>
      <c r="P90" s="3480">
        <v>5829</v>
      </c>
      <c r="Q90" s="3480" t="s">
        <v>3604</v>
      </c>
      <c r="R90" s="3480">
        <v>29141</v>
      </c>
      <c r="S90" s="3480">
        <v>3278</v>
      </c>
      <c r="T90" s="3480">
        <v>0</v>
      </c>
    </row>
    <row r="91" spans="1:20" ht="14.25">
      <c r="A91" s="3480" t="s">
        <v>3605</v>
      </c>
      <c r="B91" s="3480" t="s">
        <v>3454</v>
      </c>
      <c r="C91" s="3480" t="s">
        <v>3606</v>
      </c>
      <c r="D91" s="3480" t="s">
        <v>3464</v>
      </c>
      <c r="E91" s="3480">
        <v>21401</v>
      </c>
      <c r="F91" s="3480">
        <v>60992.85</v>
      </c>
      <c r="G91" s="3480" t="s">
        <v>3607</v>
      </c>
      <c r="H91" s="3480" t="s">
        <v>3457</v>
      </c>
      <c r="I91" s="3480" t="s">
        <v>3408</v>
      </c>
      <c r="J91" s="3480" t="s">
        <v>3427</v>
      </c>
      <c r="K91" s="3480" t="s">
        <v>3603</v>
      </c>
      <c r="L91" s="3480" t="s">
        <v>3603</v>
      </c>
      <c r="M91" s="3480" t="s">
        <v>3460</v>
      </c>
      <c r="N91" s="3480" t="s">
        <v>3528</v>
      </c>
      <c r="O91" s="3480">
        <v>12763</v>
      </c>
      <c r="P91" s="3480">
        <v>2553</v>
      </c>
      <c r="Q91" s="3480" t="s">
        <v>3604</v>
      </c>
      <c r="R91" s="3480">
        <v>12763</v>
      </c>
      <c r="S91" s="3480">
        <v>2093</v>
      </c>
      <c r="T91" s="3480">
        <v>0</v>
      </c>
    </row>
    <row r="92" spans="1:20" ht="14.25">
      <c r="A92" s="3480" t="s">
        <v>3608</v>
      </c>
      <c r="B92" s="3480" t="s">
        <v>3454</v>
      </c>
      <c r="C92" s="3480" t="s">
        <v>3609</v>
      </c>
      <c r="D92" s="3480" t="s">
        <v>3464</v>
      </c>
      <c r="E92" s="3480">
        <v>87757</v>
      </c>
      <c r="F92" s="3480">
        <v>245719.6</v>
      </c>
      <c r="G92" s="3480" t="s">
        <v>3610</v>
      </c>
      <c r="H92" s="3480" t="s">
        <v>3457</v>
      </c>
      <c r="I92" s="3480" t="s">
        <v>3408</v>
      </c>
      <c r="J92" s="3480" t="s">
        <v>3427</v>
      </c>
      <c r="K92" s="3480" t="s">
        <v>3603</v>
      </c>
      <c r="L92" s="3480" t="s">
        <v>3603</v>
      </c>
      <c r="M92" s="3480" t="s">
        <v>3460</v>
      </c>
      <c r="N92" s="3480" t="s">
        <v>3528</v>
      </c>
      <c r="O92" s="3480">
        <v>48355</v>
      </c>
      <c r="P92" s="3480">
        <v>9671</v>
      </c>
      <c r="Q92" s="3480" t="s">
        <v>3604</v>
      </c>
      <c r="R92" s="3480">
        <v>48355</v>
      </c>
      <c r="S92" s="3480">
        <v>1968</v>
      </c>
      <c r="T92" s="3480">
        <v>0</v>
      </c>
    </row>
    <row r="93" spans="1:20" ht="14.25">
      <c r="A93" s="3480" t="s">
        <v>3611</v>
      </c>
      <c r="B93" s="3480" t="s">
        <v>3454</v>
      </c>
      <c r="C93" s="3480" t="s">
        <v>3612</v>
      </c>
      <c r="D93" s="3480" t="s">
        <v>3464</v>
      </c>
      <c r="E93" s="3480">
        <v>42185</v>
      </c>
      <c r="F93" s="3480">
        <v>118118</v>
      </c>
      <c r="G93" s="3480" t="s">
        <v>3613</v>
      </c>
      <c r="H93" s="3480" t="s">
        <v>3457</v>
      </c>
      <c r="I93" s="3480" t="s">
        <v>3408</v>
      </c>
      <c r="J93" s="3480" t="s">
        <v>3427</v>
      </c>
      <c r="K93" s="3480" t="s">
        <v>3603</v>
      </c>
      <c r="L93" s="3480" t="s">
        <v>3603</v>
      </c>
      <c r="M93" s="3480" t="s">
        <v>3460</v>
      </c>
      <c r="N93" s="3480" t="s">
        <v>3528</v>
      </c>
      <c r="O93" s="3480">
        <v>25037</v>
      </c>
      <c r="P93" s="3480">
        <v>5008</v>
      </c>
      <c r="Q93" s="3480" t="s">
        <v>3604</v>
      </c>
      <c r="R93" s="3480">
        <v>25037</v>
      </c>
      <c r="S93" s="3480">
        <v>2120</v>
      </c>
      <c r="T93" s="3480">
        <v>0</v>
      </c>
    </row>
    <row r="94" spans="1:20" ht="14.25">
      <c r="A94" s="3480" t="s">
        <v>3614</v>
      </c>
      <c r="B94" s="3480" t="s">
        <v>3454</v>
      </c>
      <c r="C94" s="3480" t="s">
        <v>3615</v>
      </c>
      <c r="D94" s="3480" t="s">
        <v>3464</v>
      </c>
      <c r="E94" s="3480">
        <v>27580</v>
      </c>
      <c r="F94" s="3480">
        <v>49644</v>
      </c>
      <c r="G94" s="3480" t="s">
        <v>3465</v>
      </c>
      <c r="H94" s="3480" t="s">
        <v>3457</v>
      </c>
      <c r="I94" s="3480" t="s">
        <v>3408</v>
      </c>
      <c r="J94" s="3480" t="s">
        <v>3427</v>
      </c>
      <c r="K94" s="3480" t="s">
        <v>3616</v>
      </c>
      <c r="L94" s="3480" t="s">
        <v>3616</v>
      </c>
      <c r="M94" s="3480" t="s">
        <v>3460</v>
      </c>
      <c r="N94" s="3480" t="s">
        <v>3617</v>
      </c>
      <c r="O94" s="3480">
        <v>12379</v>
      </c>
      <c r="P94" s="3480">
        <v>2500</v>
      </c>
      <c r="Q94" s="3480" t="s">
        <v>3618</v>
      </c>
      <c r="R94" s="3480">
        <v>12379</v>
      </c>
      <c r="S94" s="3480">
        <v>2494</v>
      </c>
      <c r="T94" s="3480">
        <v>0</v>
      </c>
    </row>
    <row r="95" spans="1:20" ht="14.25">
      <c r="A95" s="3480" t="s">
        <v>3619</v>
      </c>
      <c r="B95" s="3480" t="s">
        <v>3454</v>
      </c>
      <c r="C95" s="3480" t="s">
        <v>3620</v>
      </c>
      <c r="D95" s="3480" t="s">
        <v>3464</v>
      </c>
      <c r="E95" s="3480">
        <v>315</v>
      </c>
      <c r="F95" s="3480">
        <v>267.75</v>
      </c>
      <c r="G95" s="3480" t="s">
        <v>3621</v>
      </c>
      <c r="H95" s="3480" t="s">
        <v>3457</v>
      </c>
      <c r="I95" s="3480" t="s">
        <v>3408</v>
      </c>
      <c r="J95" s="3480" t="s">
        <v>3427</v>
      </c>
      <c r="K95" s="3480" t="s">
        <v>3616</v>
      </c>
      <c r="L95" s="3480" t="s">
        <v>3616</v>
      </c>
      <c r="M95" s="3480" t="s">
        <v>3460</v>
      </c>
      <c r="N95" s="3480" t="s">
        <v>3622</v>
      </c>
      <c r="O95" s="3480">
        <v>374</v>
      </c>
      <c r="P95" s="3480">
        <v>76</v>
      </c>
      <c r="Q95" s="3480" t="s">
        <v>3618</v>
      </c>
      <c r="R95" s="3480">
        <v>374</v>
      </c>
      <c r="S95" s="3480">
        <v>13968</v>
      </c>
      <c r="T95" s="3480">
        <v>0</v>
      </c>
    </row>
    <row r="96" spans="1:20" ht="14.25">
      <c r="A96" s="3480" t="s">
        <v>3623</v>
      </c>
      <c r="B96" s="3480" t="s">
        <v>3454</v>
      </c>
      <c r="C96" s="3480" t="s">
        <v>3624</v>
      </c>
      <c r="D96" s="3480" t="s">
        <v>3455</v>
      </c>
      <c r="E96" s="3480">
        <v>1072</v>
      </c>
      <c r="F96" s="3480">
        <v>857.6</v>
      </c>
      <c r="G96" s="3480" t="s">
        <v>3625</v>
      </c>
      <c r="H96" s="3480" t="s">
        <v>3457</v>
      </c>
      <c r="I96" s="3480" t="s">
        <v>3458</v>
      </c>
      <c r="J96" s="3480" t="s">
        <v>3427</v>
      </c>
      <c r="K96" s="3480" t="s">
        <v>3616</v>
      </c>
      <c r="L96" s="3480" t="s">
        <v>3616</v>
      </c>
      <c r="M96" s="3480" t="s">
        <v>3460</v>
      </c>
      <c r="N96" s="3480" t="s">
        <v>3626</v>
      </c>
      <c r="O96" s="3480">
        <v>779</v>
      </c>
      <c r="P96" s="3480">
        <v>160</v>
      </c>
      <c r="Q96" s="3480" t="s">
        <v>3618</v>
      </c>
      <c r="R96" s="3480">
        <v>779</v>
      </c>
      <c r="S96" s="3480">
        <v>9083</v>
      </c>
      <c r="T96" s="3480">
        <v>0</v>
      </c>
    </row>
    <row r="97" spans="1:20" ht="14.25">
      <c r="A97" s="3480" t="s">
        <v>3627</v>
      </c>
      <c r="B97" s="3480" t="s">
        <v>3454</v>
      </c>
      <c r="C97" s="3480" t="s">
        <v>3628</v>
      </c>
      <c r="D97" s="3480" t="s">
        <v>3629</v>
      </c>
      <c r="E97" s="3480">
        <v>540</v>
      </c>
      <c r="F97" s="3480">
        <v>561.6</v>
      </c>
      <c r="G97" s="3480" t="s">
        <v>3630</v>
      </c>
      <c r="H97" s="3480" t="s">
        <v>3457</v>
      </c>
      <c r="I97" s="3480" t="s">
        <v>3631</v>
      </c>
      <c r="J97" s="3480" t="s">
        <v>3427</v>
      </c>
      <c r="K97" s="3480" t="s">
        <v>3616</v>
      </c>
      <c r="L97" s="3480" t="s">
        <v>3616</v>
      </c>
      <c r="M97" s="3480" t="s">
        <v>3460</v>
      </c>
      <c r="N97" s="3480" t="s">
        <v>3622</v>
      </c>
      <c r="O97" s="3480">
        <v>588</v>
      </c>
      <c r="P97" s="3480">
        <v>464</v>
      </c>
      <c r="Q97" s="3480" t="s">
        <v>3618</v>
      </c>
      <c r="R97" s="3480">
        <v>588</v>
      </c>
      <c r="S97" s="3480">
        <v>10470</v>
      </c>
      <c r="T97" s="3480">
        <v>0</v>
      </c>
    </row>
    <row r="98" spans="1:20" ht="14.25">
      <c r="A98" s="3480" t="s">
        <v>3632</v>
      </c>
      <c r="B98" s="3480" t="s">
        <v>3454</v>
      </c>
      <c r="C98" s="3480" t="s">
        <v>3633</v>
      </c>
      <c r="D98" s="3480" t="s">
        <v>3464</v>
      </c>
      <c r="E98" s="3480">
        <v>172</v>
      </c>
      <c r="F98" s="3480">
        <v>146.19999999999999</v>
      </c>
      <c r="G98" s="3480" t="s">
        <v>3621</v>
      </c>
      <c r="H98" s="3480" t="s">
        <v>3457</v>
      </c>
      <c r="I98" s="3480" t="s">
        <v>3408</v>
      </c>
      <c r="J98" s="3480" t="s">
        <v>3427</v>
      </c>
      <c r="K98" s="3480" t="s">
        <v>3616</v>
      </c>
      <c r="L98" s="3480" t="s">
        <v>3616</v>
      </c>
      <c r="M98" s="3480" t="s">
        <v>3460</v>
      </c>
      <c r="N98" s="3480" t="s">
        <v>3622</v>
      </c>
      <c r="O98" s="3480">
        <v>204</v>
      </c>
      <c r="P98" s="3480">
        <v>42</v>
      </c>
      <c r="Q98" s="3480" t="s">
        <v>3618</v>
      </c>
      <c r="R98" s="3480">
        <v>204</v>
      </c>
      <c r="S98" s="3480">
        <v>13953</v>
      </c>
      <c r="T98" s="3480">
        <v>0</v>
      </c>
    </row>
    <row r="99" spans="1:20" ht="14.25">
      <c r="A99" s="3480" t="s">
        <v>3634</v>
      </c>
      <c r="B99" s="3480" t="s">
        <v>3454</v>
      </c>
      <c r="C99" s="3480" t="s">
        <v>3635</v>
      </c>
      <c r="D99" s="3480" t="s">
        <v>3464</v>
      </c>
      <c r="E99" s="3480">
        <v>134</v>
      </c>
      <c r="F99" s="3480">
        <v>134</v>
      </c>
      <c r="G99" s="3480" t="s">
        <v>3636</v>
      </c>
      <c r="H99" s="3480" t="s">
        <v>3457</v>
      </c>
      <c r="I99" s="3480" t="s">
        <v>3408</v>
      </c>
      <c r="J99" s="3480" t="s">
        <v>3427</v>
      </c>
      <c r="K99" s="3480" t="s">
        <v>3616</v>
      </c>
      <c r="L99" s="3480" t="s">
        <v>3616</v>
      </c>
      <c r="M99" s="3480" t="s">
        <v>3460</v>
      </c>
      <c r="N99" s="3480" t="s">
        <v>3622</v>
      </c>
      <c r="O99" s="3480">
        <v>161</v>
      </c>
      <c r="P99" s="3480">
        <v>33</v>
      </c>
      <c r="Q99" s="3480" t="s">
        <v>3618</v>
      </c>
      <c r="R99" s="3480">
        <v>161</v>
      </c>
      <c r="S99" s="3480">
        <v>12015</v>
      </c>
      <c r="T99" s="3480">
        <v>0</v>
      </c>
    </row>
    <row r="100" spans="1:20" ht="14.25">
      <c r="A100" s="3480" t="s">
        <v>3637</v>
      </c>
      <c r="B100" s="3480" t="s">
        <v>3454</v>
      </c>
      <c r="C100" s="3480" t="s">
        <v>3638</v>
      </c>
      <c r="D100" s="3480" t="s">
        <v>3464</v>
      </c>
      <c r="E100" s="3480">
        <v>111</v>
      </c>
      <c r="F100" s="3480">
        <v>111</v>
      </c>
      <c r="G100" s="3480" t="s">
        <v>3636</v>
      </c>
      <c r="H100" s="3480" t="s">
        <v>3457</v>
      </c>
      <c r="I100" s="3480" t="s">
        <v>3408</v>
      </c>
      <c r="J100" s="3480" t="s">
        <v>3427</v>
      </c>
      <c r="K100" s="3480" t="s">
        <v>3616</v>
      </c>
      <c r="L100" s="3480" t="s">
        <v>3616</v>
      </c>
      <c r="M100" s="3480" t="s">
        <v>3460</v>
      </c>
      <c r="N100" s="3480" t="s">
        <v>3622</v>
      </c>
      <c r="O100" s="3480">
        <v>134</v>
      </c>
      <c r="P100" s="3480">
        <v>28</v>
      </c>
      <c r="Q100" s="3480" t="s">
        <v>3618</v>
      </c>
      <c r="R100" s="3480">
        <v>134</v>
      </c>
      <c r="S100" s="3480">
        <v>12072</v>
      </c>
      <c r="T100" s="3480">
        <v>0</v>
      </c>
    </row>
    <row r="101" spans="1:20" ht="14.25">
      <c r="A101" s="3480" t="s">
        <v>3639</v>
      </c>
      <c r="B101" s="3480" t="s">
        <v>3454</v>
      </c>
      <c r="C101" s="3480" t="s">
        <v>3640</v>
      </c>
      <c r="D101" s="3480" t="s">
        <v>3464</v>
      </c>
      <c r="E101" s="3480">
        <v>439</v>
      </c>
      <c r="F101" s="3480">
        <v>307.3</v>
      </c>
      <c r="G101" s="3480" t="s">
        <v>3641</v>
      </c>
      <c r="H101" s="3480" t="s">
        <v>3457</v>
      </c>
      <c r="I101" s="3480" t="s">
        <v>3408</v>
      </c>
      <c r="J101" s="3480" t="s">
        <v>3427</v>
      </c>
      <c r="K101" s="3480" t="s">
        <v>3616</v>
      </c>
      <c r="L101" s="3480" t="s">
        <v>3616</v>
      </c>
      <c r="M101" s="3480" t="s">
        <v>3460</v>
      </c>
      <c r="N101" s="3480" t="s">
        <v>3622</v>
      </c>
      <c r="O101" s="3480">
        <v>557</v>
      </c>
      <c r="P101" s="3480">
        <v>464</v>
      </c>
      <c r="Q101" s="3480" t="s">
        <v>3618</v>
      </c>
      <c r="R101" s="3480">
        <v>557</v>
      </c>
      <c r="S101" s="3480">
        <v>18126</v>
      </c>
      <c r="T101" s="3480">
        <v>0</v>
      </c>
    </row>
    <row r="102" spans="1:20" ht="14.25">
      <c r="A102" s="3480" t="s">
        <v>3642</v>
      </c>
      <c r="B102" s="3480" t="s">
        <v>3454</v>
      </c>
      <c r="C102" s="3480" t="s">
        <v>3643</v>
      </c>
      <c r="D102" s="3480" t="s">
        <v>3464</v>
      </c>
      <c r="E102" s="3480">
        <v>398</v>
      </c>
      <c r="F102" s="3480">
        <v>497.5</v>
      </c>
      <c r="G102" s="3480" t="s">
        <v>3644</v>
      </c>
      <c r="H102" s="3480" t="s">
        <v>3457</v>
      </c>
      <c r="I102" s="3480" t="s">
        <v>3408</v>
      </c>
      <c r="J102" s="3480" t="s">
        <v>3427</v>
      </c>
      <c r="K102" s="3480" t="s">
        <v>3616</v>
      </c>
      <c r="L102" s="3480" t="s">
        <v>3616</v>
      </c>
      <c r="M102" s="3480" t="s">
        <v>3460</v>
      </c>
      <c r="N102" s="3480" t="s">
        <v>3622</v>
      </c>
      <c r="O102" s="3480">
        <v>555</v>
      </c>
      <c r="P102" s="3480">
        <v>112</v>
      </c>
      <c r="Q102" s="3480" t="s">
        <v>3618</v>
      </c>
      <c r="R102" s="3480">
        <v>555</v>
      </c>
      <c r="S102" s="3480">
        <v>11156</v>
      </c>
      <c r="T102" s="3480">
        <v>0</v>
      </c>
    </row>
    <row r="103" spans="1:20" ht="14.25">
      <c r="A103" s="3480" t="s">
        <v>3645</v>
      </c>
      <c r="B103" s="3480" t="s">
        <v>3454</v>
      </c>
      <c r="C103" s="3480" t="s">
        <v>3646</v>
      </c>
      <c r="D103" s="3480" t="s">
        <v>3629</v>
      </c>
      <c r="E103" s="3480">
        <v>57</v>
      </c>
      <c r="F103" s="3480">
        <v>57.57</v>
      </c>
      <c r="G103" s="3480" t="s">
        <v>3647</v>
      </c>
      <c r="H103" s="3480" t="s">
        <v>3457</v>
      </c>
      <c r="I103" s="3480" t="s">
        <v>3631</v>
      </c>
      <c r="J103" s="3480" t="s">
        <v>3427</v>
      </c>
      <c r="K103" s="3480" t="s">
        <v>3616</v>
      </c>
      <c r="L103" s="3480" t="s">
        <v>3616</v>
      </c>
      <c r="M103" s="3480" t="s">
        <v>3460</v>
      </c>
      <c r="N103" s="3480" t="s">
        <v>3622</v>
      </c>
      <c r="O103" s="3480">
        <v>61</v>
      </c>
      <c r="P103" s="3480">
        <v>13</v>
      </c>
      <c r="Q103" s="3480" t="s">
        <v>3618</v>
      </c>
      <c r="R103" s="3480">
        <v>61</v>
      </c>
      <c r="S103" s="3480">
        <v>10596</v>
      </c>
      <c r="T103" s="3480">
        <v>0</v>
      </c>
    </row>
    <row r="104" spans="1:20" ht="14.25">
      <c r="A104" s="3480" t="s">
        <v>3648</v>
      </c>
      <c r="B104" s="3480" t="s">
        <v>3454</v>
      </c>
      <c r="C104" s="3480" t="s">
        <v>3649</v>
      </c>
      <c r="D104" s="3480" t="s">
        <v>3464</v>
      </c>
      <c r="E104" s="3480">
        <v>194</v>
      </c>
      <c r="F104" s="3480">
        <v>164.9</v>
      </c>
      <c r="G104" s="3480" t="s">
        <v>3621</v>
      </c>
      <c r="H104" s="3480" t="s">
        <v>3457</v>
      </c>
      <c r="I104" s="3480" t="s">
        <v>3408</v>
      </c>
      <c r="J104" s="3480" t="s">
        <v>3427</v>
      </c>
      <c r="K104" s="3480" t="s">
        <v>3616</v>
      </c>
      <c r="L104" s="3480" t="s">
        <v>3616</v>
      </c>
      <c r="M104" s="3480" t="s">
        <v>3460</v>
      </c>
      <c r="N104" s="3480" t="s">
        <v>3622</v>
      </c>
      <c r="O104" s="3480">
        <v>230</v>
      </c>
      <c r="P104" s="3480">
        <v>47</v>
      </c>
      <c r="Q104" s="3480" t="s">
        <v>3618</v>
      </c>
      <c r="R104" s="3480">
        <v>230</v>
      </c>
      <c r="S104" s="3480">
        <v>13948</v>
      </c>
      <c r="T104" s="3480">
        <v>0</v>
      </c>
    </row>
    <row r="105" spans="1:20" ht="14.25">
      <c r="A105" s="3480" t="s">
        <v>3650</v>
      </c>
      <c r="B105" s="3480" t="s">
        <v>3454</v>
      </c>
      <c r="C105" s="3480" t="s">
        <v>3651</v>
      </c>
      <c r="D105" s="3480" t="s">
        <v>3455</v>
      </c>
      <c r="E105" s="3480">
        <v>27</v>
      </c>
      <c r="F105" s="3480">
        <v>27</v>
      </c>
      <c r="G105" s="3480" t="s">
        <v>3636</v>
      </c>
      <c r="H105" s="3480" t="s">
        <v>3457</v>
      </c>
      <c r="I105" s="3480" t="s">
        <v>3458</v>
      </c>
      <c r="J105" s="3480" t="s">
        <v>3427</v>
      </c>
      <c r="K105" s="3480" t="s">
        <v>3616</v>
      </c>
      <c r="L105" s="3480" t="s">
        <v>3616</v>
      </c>
      <c r="M105" s="3480" t="s">
        <v>3460</v>
      </c>
      <c r="N105" s="3480" t="s">
        <v>3622</v>
      </c>
      <c r="O105" s="3480">
        <v>26</v>
      </c>
      <c r="P105" s="3480">
        <v>6</v>
      </c>
      <c r="Q105" s="3480" t="s">
        <v>3618</v>
      </c>
      <c r="R105" s="3480">
        <v>26</v>
      </c>
      <c r="S105" s="3480">
        <v>9630</v>
      </c>
      <c r="T105" s="3480">
        <v>0</v>
      </c>
    </row>
    <row r="106" spans="1:20" ht="14.25">
      <c r="A106" s="3480" t="s">
        <v>3652</v>
      </c>
      <c r="B106" s="3480" t="s">
        <v>3454</v>
      </c>
      <c r="C106" s="3480" t="s">
        <v>3653</v>
      </c>
      <c r="D106" s="3480" t="s">
        <v>3464</v>
      </c>
      <c r="E106" s="3480">
        <v>545</v>
      </c>
      <c r="F106" s="3480">
        <v>517.75</v>
      </c>
      <c r="G106" s="3480" t="s">
        <v>3654</v>
      </c>
      <c r="H106" s="3480" t="s">
        <v>3457</v>
      </c>
      <c r="I106" s="3480" t="s">
        <v>3408</v>
      </c>
      <c r="J106" s="3480" t="s">
        <v>3427</v>
      </c>
      <c r="K106" s="3480" t="s">
        <v>3616</v>
      </c>
      <c r="L106" s="3480" t="s">
        <v>3616</v>
      </c>
      <c r="M106" s="3480" t="s">
        <v>3460</v>
      </c>
      <c r="N106" s="3480" t="s">
        <v>3622</v>
      </c>
      <c r="O106" s="3480">
        <v>651</v>
      </c>
      <c r="P106" s="3480">
        <v>131</v>
      </c>
      <c r="Q106" s="3480" t="s">
        <v>3618</v>
      </c>
      <c r="R106" s="3480">
        <v>651</v>
      </c>
      <c r="S106" s="3480">
        <v>12574</v>
      </c>
      <c r="T106" s="3480">
        <v>0</v>
      </c>
    </row>
    <row r="107" spans="1:20" ht="14.25">
      <c r="A107" s="3480" t="s">
        <v>3655</v>
      </c>
      <c r="B107" s="3480" t="s">
        <v>3454</v>
      </c>
      <c r="C107" s="3480" t="s">
        <v>3656</v>
      </c>
      <c r="D107" s="3480" t="s">
        <v>3464</v>
      </c>
      <c r="E107" s="3480">
        <v>115</v>
      </c>
      <c r="F107" s="3480">
        <v>161</v>
      </c>
      <c r="G107" s="3480" t="s">
        <v>3657</v>
      </c>
      <c r="H107" s="3480" t="s">
        <v>3457</v>
      </c>
      <c r="I107" s="3480" t="s">
        <v>3408</v>
      </c>
      <c r="J107" s="3480" t="s">
        <v>3427</v>
      </c>
      <c r="K107" s="3480" t="s">
        <v>3616</v>
      </c>
      <c r="L107" s="3480" t="s">
        <v>3616</v>
      </c>
      <c r="M107" s="3480" t="s">
        <v>3460</v>
      </c>
      <c r="N107" s="3480" t="s">
        <v>3622</v>
      </c>
      <c r="O107" s="3480">
        <v>174</v>
      </c>
      <c r="P107" s="3480">
        <v>36</v>
      </c>
      <c r="Q107" s="3480" t="s">
        <v>3618</v>
      </c>
      <c r="R107" s="3480">
        <v>174</v>
      </c>
      <c r="S107" s="3480">
        <v>10807</v>
      </c>
      <c r="T107" s="3480">
        <v>0</v>
      </c>
    </row>
    <row r="108" spans="1:20" ht="14.25">
      <c r="A108" s="3480" t="s">
        <v>3658</v>
      </c>
      <c r="B108" s="3480" t="s">
        <v>3454</v>
      </c>
      <c r="C108" s="3480" t="s">
        <v>3659</v>
      </c>
      <c r="D108" s="3480" t="s">
        <v>3464</v>
      </c>
      <c r="E108" s="3480">
        <v>403</v>
      </c>
      <c r="F108" s="3480">
        <v>322.39999999999998</v>
      </c>
      <c r="G108" s="3480" t="s">
        <v>3625</v>
      </c>
      <c r="H108" s="3480" t="s">
        <v>3457</v>
      </c>
      <c r="I108" s="3480" t="s">
        <v>3408</v>
      </c>
      <c r="J108" s="3480" t="s">
        <v>3427</v>
      </c>
      <c r="K108" s="3480" t="s">
        <v>3616</v>
      </c>
      <c r="L108" s="3480" t="s">
        <v>3616</v>
      </c>
      <c r="M108" s="3480" t="s">
        <v>3460</v>
      </c>
      <c r="N108" s="3480" t="s">
        <v>3622</v>
      </c>
      <c r="O108" s="3480">
        <v>481</v>
      </c>
      <c r="P108" s="3480">
        <v>97</v>
      </c>
      <c r="Q108" s="3480" t="s">
        <v>3618</v>
      </c>
      <c r="R108" s="3480">
        <v>481</v>
      </c>
      <c r="S108" s="3480">
        <v>14919</v>
      </c>
      <c r="T108" s="3480">
        <v>0</v>
      </c>
    </row>
    <row r="109" spans="1:20" ht="14.25">
      <c r="A109" s="3480" t="s">
        <v>3660</v>
      </c>
      <c r="B109" s="3480" t="s">
        <v>3454</v>
      </c>
      <c r="C109" s="3480" t="s">
        <v>3661</v>
      </c>
      <c r="D109" s="3480" t="s">
        <v>3455</v>
      </c>
      <c r="E109" s="3480">
        <v>1333</v>
      </c>
      <c r="F109" s="3480">
        <v>1199.7</v>
      </c>
      <c r="G109" s="3480" t="s">
        <v>3662</v>
      </c>
      <c r="H109" s="3480" t="s">
        <v>3457</v>
      </c>
      <c r="I109" s="3480" t="s">
        <v>3458</v>
      </c>
      <c r="J109" s="3480" t="s">
        <v>3427</v>
      </c>
      <c r="K109" s="3480" t="s">
        <v>3616</v>
      </c>
      <c r="L109" s="3480" t="s">
        <v>3616</v>
      </c>
      <c r="M109" s="3480" t="s">
        <v>3460</v>
      </c>
      <c r="N109" s="3480" t="s">
        <v>3626</v>
      </c>
      <c r="O109" s="3480">
        <v>1095</v>
      </c>
      <c r="P109" s="3480">
        <v>219</v>
      </c>
      <c r="Q109" s="3480" t="s">
        <v>3618</v>
      </c>
      <c r="R109" s="3480">
        <v>1095</v>
      </c>
      <c r="S109" s="3480">
        <v>9127</v>
      </c>
      <c r="T109" s="3480">
        <v>0</v>
      </c>
    </row>
    <row r="110" spans="1:20" ht="14.25">
      <c r="A110" s="3480" t="s">
        <v>3663</v>
      </c>
      <c r="B110" s="3480" t="s">
        <v>3454</v>
      </c>
      <c r="C110" s="3480" t="s">
        <v>3664</v>
      </c>
      <c r="D110" s="3480" t="s">
        <v>3464</v>
      </c>
      <c r="E110" s="3480">
        <v>706</v>
      </c>
      <c r="F110" s="3480">
        <v>882.5</v>
      </c>
      <c r="G110" s="3480" t="s">
        <v>3644</v>
      </c>
      <c r="H110" s="3480" t="s">
        <v>3457</v>
      </c>
      <c r="I110" s="3480" t="s">
        <v>3408</v>
      </c>
      <c r="J110" s="3480" t="s">
        <v>3427</v>
      </c>
      <c r="K110" s="3480" t="s">
        <v>3616</v>
      </c>
      <c r="L110" s="3480" t="s">
        <v>3616</v>
      </c>
      <c r="M110" s="3480" t="s">
        <v>3460</v>
      </c>
      <c r="N110" s="3480" t="s">
        <v>3622</v>
      </c>
      <c r="O110" s="3480">
        <v>985</v>
      </c>
      <c r="P110" s="3480">
        <v>895</v>
      </c>
      <c r="Q110" s="3480" t="s">
        <v>3618</v>
      </c>
      <c r="R110" s="3480">
        <v>985</v>
      </c>
      <c r="S110" s="3480">
        <v>11161</v>
      </c>
      <c r="T110" s="3480">
        <v>0</v>
      </c>
    </row>
    <row r="111" spans="1:20" ht="14.25">
      <c r="A111" s="3480" t="s">
        <v>3665</v>
      </c>
      <c r="B111" s="3480" t="s">
        <v>3454</v>
      </c>
      <c r="C111" s="3480" t="s">
        <v>3666</v>
      </c>
      <c r="D111" s="3480" t="s">
        <v>3464</v>
      </c>
      <c r="E111" s="3480">
        <v>409</v>
      </c>
      <c r="F111" s="3480">
        <v>347.65</v>
      </c>
      <c r="G111" s="3480" t="s">
        <v>3621</v>
      </c>
      <c r="H111" s="3480" t="s">
        <v>3457</v>
      </c>
      <c r="I111" s="3480" t="s">
        <v>3408</v>
      </c>
      <c r="J111" s="3480" t="s">
        <v>3427</v>
      </c>
      <c r="K111" s="3480" t="s">
        <v>3616</v>
      </c>
      <c r="L111" s="3480" t="s">
        <v>3616</v>
      </c>
      <c r="M111" s="3480" t="s">
        <v>3460</v>
      </c>
      <c r="N111" s="3480" t="s">
        <v>3622</v>
      </c>
      <c r="O111" s="3480">
        <v>485</v>
      </c>
      <c r="P111" s="3480">
        <v>98</v>
      </c>
      <c r="Q111" s="3480" t="s">
        <v>3618</v>
      </c>
      <c r="R111" s="3480">
        <v>485</v>
      </c>
      <c r="S111" s="3480">
        <v>13951</v>
      </c>
      <c r="T111" s="3480">
        <v>0</v>
      </c>
    </row>
    <row r="112" spans="1:20" ht="14.25">
      <c r="A112" s="3480" t="s">
        <v>3667</v>
      </c>
      <c r="B112" s="3480" t="s">
        <v>3454</v>
      </c>
      <c r="C112" s="3480" t="s">
        <v>3668</v>
      </c>
      <c r="D112" s="3480" t="s">
        <v>3455</v>
      </c>
      <c r="E112" s="3480">
        <v>2513</v>
      </c>
      <c r="F112" s="3480">
        <v>2261.6999999999998</v>
      </c>
      <c r="G112" s="3480" t="s">
        <v>3662</v>
      </c>
      <c r="H112" s="3480" t="s">
        <v>3457</v>
      </c>
      <c r="I112" s="3480" t="s">
        <v>3458</v>
      </c>
      <c r="J112" s="3480" t="s">
        <v>3427</v>
      </c>
      <c r="K112" s="3480" t="s">
        <v>3616</v>
      </c>
      <c r="L112" s="3480" t="s">
        <v>3616</v>
      </c>
      <c r="M112" s="3480" t="s">
        <v>3460</v>
      </c>
      <c r="N112" s="3480" t="s">
        <v>3626</v>
      </c>
      <c r="O112" s="3480">
        <v>2071</v>
      </c>
      <c r="P112" s="3480">
        <v>415</v>
      </c>
      <c r="Q112" s="3480" t="s">
        <v>3618</v>
      </c>
      <c r="R112" s="3480">
        <v>2071</v>
      </c>
      <c r="S112" s="3480">
        <v>9157</v>
      </c>
      <c r="T112" s="3480">
        <v>0</v>
      </c>
    </row>
    <row r="113" spans="1:20" ht="14.25">
      <c r="A113" s="3480" t="s">
        <v>3669</v>
      </c>
      <c r="B113" s="3480" t="s">
        <v>3454</v>
      </c>
      <c r="C113" s="3480" t="s">
        <v>3670</v>
      </c>
      <c r="D113" s="3480" t="s">
        <v>3455</v>
      </c>
      <c r="E113" s="3480">
        <v>34</v>
      </c>
      <c r="F113" s="3480">
        <v>32.299999999999997</v>
      </c>
      <c r="G113" s="3480" t="s">
        <v>3654</v>
      </c>
      <c r="H113" s="3480" t="s">
        <v>3457</v>
      </c>
      <c r="I113" s="3480" t="s">
        <v>3458</v>
      </c>
      <c r="J113" s="3480" t="s">
        <v>3427</v>
      </c>
      <c r="K113" s="3480" t="s">
        <v>3616</v>
      </c>
      <c r="L113" s="3480" t="s">
        <v>3616</v>
      </c>
      <c r="M113" s="3480" t="s">
        <v>3460</v>
      </c>
      <c r="N113" s="3480" t="s">
        <v>3622</v>
      </c>
      <c r="O113" s="3480">
        <v>32</v>
      </c>
      <c r="P113" s="3480">
        <v>7</v>
      </c>
      <c r="Q113" s="3480" t="s">
        <v>3618</v>
      </c>
      <c r="R113" s="3480">
        <v>32</v>
      </c>
      <c r="S113" s="3480">
        <v>9907</v>
      </c>
      <c r="T113" s="3480">
        <v>0</v>
      </c>
    </row>
    <row r="114" spans="1:20" ht="14.25">
      <c r="A114" s="3480" t="s">
        <v>3671</v>
      </c>
      <c r="B114" s="3480" t="s">
        <v>3454</v>
      </c>
      <c r="C114" s="3480" t="s">
        <v>3672</v>
      </c>
      <c r="D114" s="3480" t="s">
        <v>3464</v>
      </c>
      <c r="E114" s="3480">
        <v>335</v>
      </c>
      <c r="F114" s="3480">
        <v>318.25</v>
      </c>
      <c r="G114" s="3480" t="s">
        <v>3654</v>
      </c>
      <c r="H114" s="3480" t="s">
        <v>3457</v>
      </c>
      <c r="I114" s="3480" t="s">
        <v>3408</v>
      </c>
      <c r="J114" s="3480" t="s">
        <v>3427</v>
      </c>
      <c r="K114" s="3480" t="s">
        <v>3616</v>
      </c>
      <c r="L114" s="3480" t="s">
        <v>3616</v>
      </c>
      <c r="M114" s="3480" t="s">
        <v>3460</v>
      </c>
      <c r="N114" s="3480" t="s">
        <v>3622</v>
      </c>
      <c r="O114" s="3480">
        <v>401</v>
      </c>
      <c r="P114" s="3480">
        <v>81</v>
      </c>
      <c r="Q114" s="3480" t="s">
        <v>3618</v>
      </c>
      <c r="R114" s="3480">
        <v>401</v>
      </c>
      <c r="S114" s="3480">
        <v>12600</v>
      </c>
      <c r="T114" s="3480">
        <v>0</v>
      </c>
    </row>
    <row r="115" spans="1:20" ht="14.25">
      <c r="A115" s="3480" t="s">
        <v>3673</v>
      </c>
      <c r="B115" s="3480" t="s">
        <v>3454</v>
      </c>
      <c r="C115" s="3480" t="s">
        <v>3674</v>
      </c>
      <c r="D115" s="3480" t="s">
        <v>3464</v>
      </c>
      <c r="E115" s="3480">
        <v>208</v>
      </c>
      <c r="F115" s="3480">
        <v>145.6</v>
      </c>
      <c r="G115" s="3480" t="s">
        <v>3641</v>
      </c>
      <c r="H115" s="3480" t="s">
        <v>3457</v>
      </c>
      <c r="I115" s="3480" t="s">
        <v>3408</v>
      </c>
      <c r="J115" s="3480" t="s">
        <v>3427</v>
      </c>
      <c r="K115" s="3480" t="s">
        <v>3616</v>
      </c>
      <c r="L115" s="3480" t="s">
        <v>3616</v>
      </c>
      <c r="M115" s="3480" t="s">
        <v>3460</v>
      </c>
      <c r="N115" s="3480" t="s">
        <v>3622</v>
      </c>
      <c r="O115" s="3480">
        <v>264</v>
      </c>
      <c r="P115" s="3480">
        <v>54</v>
      </c>
      <c r="Q115" s="3480" t="s">
        <v>3618</v>
      </c>
      <c r="R115" s="3480">
        <v>264</v>
      </c>
      <c r="S115" s="3480">
        <v>18132</v>
      </c>
      <c r="T115" s="3480">
        <v>0</v>
      </c>
    </row>
    <row r="116" spans="1:20" ht="14.25">
      <c r="A116" s="3480" t="s">
        <v>3675</v>
      </c>
      <c r="B116" s="3480" t="s">
        <v>3454</v>
      </c>
      <c r="C116" s="3480" t="s">
        <v>3676</v>
      </c>
      <c r="D116" s="3480" t="s">
        <v>3464</v>
      </c>
      <c r="E116" s="3480">
        <v>252</v>
      </c>
      <c r="F116" s="3480">
        <v>189</v>
      </c>
      <c r="G116" s="3480" t="s">
        <v>3677</v>
      </c>
      <c r="H116" s="3480" t="s">
        <v>3457</v>
      </c>
      <c r="I116" s="3480" t="s">
        <v>3408</v>
      </c>
      <c r="J116" s="3480" t="s">
        <v>3427</v>
      </c>
      <c r="K116" s="3480" t="s">
        <v>3616</v>
      </c>
      <c r="L116" s="3480" t="s">
        <v>3616</v>
      </c>
      <c r="M116" s="3480" t="s">
        <v>3460</v>
      </c>
      <c r="N116" s="3480" t="s">
        <v>3622</v>
      </c>
      <c r="O116" s="3480">
        <v>340</v>
      </c>
      <c r="P116" s="3480">
        <v>69</v>
      </c>
      <c r="Q116" s="3480" t="s">
        <v>3618</v>
      </c>
      <c r="R116" s="3480">
        <v>340</v>
      </c>
      <c r="S116" s="3480">
        <v>17989</v>
      </c>
      <c r="T116" s="3480">
        <v>0</v>
      </c>
    </row>
    <row r="117" spans="1:20" ht="14.25">
      <c r="A117" s="3480" t="s">
        <v>3678</v>
      </c>
      <c r="B117" s="3480" t="s">
        <v>3454</v>
      </c>
      <c r="C117" s="3480" t="s">
        <v>3679</v>
      </c>
      <c r="D117" s="3480" t="s">
        <v>3455</v>
      </c>
      <c r="E117" s="3480">
        <v>3173</v>
      </c>
      <c r="F117" s="3480">
        <v>2538.4</v>
      </c>
      <c r="G117" s="3480" t="s">
        <v>3625</v>
      </c>
      <c r="H117" s="3480" t="s">
        <v>3457</v>
      </c>
      <c r="I117" s="3480" t="s">
        <v>3458</v>
      </c>
      <c r="J117" s="3480" t="s">
        <v>3427</v>
      </c>
      <c r="K117" s="3480" t="s">
        <v>3616</v>
      </c>
      <c r="L117" s="3480" t="s">
        <v>3616</v>
      </c>
      <c r="M117" s="3480" t="s">
        <v>3460</v>
      </c>
      <c r="N117" s="3480" t="s">
        <v>3626</v>
      </c>
      <c r="O117" s="3480">
        <v>2450</v>
      </c>
      <c r="P117" s="3480">
        <v>490</v>
      </c>
      <c r="Q117" s="3480" t="s">
        <v>3618</v>
      </c>
      <c r="R117" s="3480">
        <v>2450</v>
      </c>
      <c r="S117" s="3480">
        <v>9652</v>
      </c>
      <c r="T117" s="3480">
        <v>0</v>
      </c>
    </row>
    <row r="118" spans="1:20" ht="14.25">
      <c r="A118" s="3480" t="s">
        <v>3680</v>
      </c>
      <c r="B118" s="3480" t="s">
        <v>3454</v>
      </c>
      <c r="C118" s="3480" t="s">
        <v>3681</v>
      </c>
      <c r="D118" s="3480" t="s">
        <v>3464</v>
      </c>
      <c r="E118" s="3480">
        <v>13232</v>
      </c>
      <c r="F118" s="3480">
        <v>14555.2</v>
      </c>
      <c r="G118" s="3480" t="s">
        <v>3682</v>
      </c>
      <c r="H118" s="3480" t="s">
        <v>3457</v>
      </c>
      <c r="I118" s="3480" t="s">
        <v>3408</v>
      </c>
      <c r="J118" s="3480" t="s">
        <v>3427</v>
      </c>
      <c r="K118" s="3480" t="s">
        <v>3616</v>
      </c>
      <c r="L118" s="3480" t="s">
        <v>3616</v>
      </c>
      <c r="M118" s="3480" t="s">
        <v>3460</v>
      </c>
      <c r="N118" s="3480" t="s">
        <v>3617</v>
      </c>
      <c r="O118" s="3480">
        <v>5384</v>
      </c>
      <c r="P118" s="3480">
        <v>1100</v>
      </c>
      <c r="Q118" s="3480" t="s">
        <v>3618</v>
      </c>
      <c r="R118" s="3480">
        <v>5384</v>
      </c>
      <c r="S118" s="3480">
        <v>3699</v>
      </c>
      <c r="T118" s="3480">
        <v>0</v>
      </c>
    </row>
    <row r="119" spans="1:20" ht="14.25">
      <c r="A119" s="3480" t="s">
        <v>3683</v>
      </c>
      <c r="B119" s="3480" t="s">
        <v>3454</v>
      </c>
      <c r="C119" s="3480" t="s">
        <v>3684</v>
      </c>
      <c r="D119" s="3480" t="s">
        <v>3455</v>
      </c>
      <c r="E119" s="3480">
        <v>79332</v>
      </c>
      <c r="F119" s="3480">
        <v>118998</v>
      </c>
      <c r="G119" s="3480" t="s">
        <v>3505</v>
      </c>
      <c r="H119" s="3480" t="s">
        <v>3457</v>
      </c>
      <c r="I119" s="3480" t="s">
        <v>2445</v>
      </c>
      <c r="J119" s="3480" t="s">
        <v>3427</v>
      </c>
      <c r="K119" s="3480" t="s">
        <v>3616</v>
      </c>
      <c r="L119" s="3480" t="s">
        <v>3616</v>
      </c>
      <c r="M119" s="3480" t="s">
        <v>3460</v>
      </c>
      <c r="N119" s="3480" t="s">
        <v>3685</v>
      </c>
      <c r="O119" s="3480">
        <v>32796</v>
      </c>
      <c r="P119" s="3480">
        <v>6560</v>
      </c>
      <c r="Q119" s="3480" t="s">
        <v>3618</v>
      </c>
      <c r="R119" s="3480">
        <v>32796</v>
      </c>
      <c r="S119" s="3480">
        <v>2756</v>
      </c>
      <c r="T119" s="3480">
        <v>0</v>
      </c>
    </row>
    <row r="120" spans="1:20" ht="14.25">
      <c r="A120" s="3480" t="s">
        <v>3686</v>
      </c>
      <c r="B120" s="3480" t="s">
        <v>3454</v>
      </c>
      <c r="C120" s="3480" t="s">
        <v>3687</v>
      </c>
      <c r="D120" s="3480" t="s">
        <v>3455</v>
      </c>
      <c r="E120" s="3480">
        <v>19981.41</v>
      </c>
      <c r="F120" s="3480">
        <v>29972.11</v>
      </c>
      <c r="G120" s="3480" t="s">
        <v>3505</v>
      </c>
      <c r="H120" s="3480" t="s">
        <v>3457</v>
      </c>
      <c r="I120" s="3480" t="s">
        <v>3407</v>
      </c>
      <c r="J120" s="3480" t="s">
        <v>3427</v>
      </c>
      <c r="K120" s="3480" t="s">
        <v>3688</v>
      </c>
      <c r="L120" s="3480" t="s">
        <v>3688</v>
      </c>
      <c r="M120" s="3480" t="s">
        <v>3460</v>
      </c>
      <c r="N120" s="3480" t="s">
        <v>3689</v>
      </c>
      <c r="O120" s="3480">
        <v>3729</v>
      </c>
      <c r="P120" s="3480">
        <v>1865</v>
      </c>
      <c r="Q120" s="3480" t="s">
        <v>3690</v>
      </c>
      <c r="R120" s="3480">
        <v>3729</v>
      </c>
      <c r="S120" s="3480">
        <v>1244</v>
      </c>
      <c r="T120" s="3480">
        <v>0</v>
      </c>
    </row>
    <row r="121" spans="1:20" ht="14.25">
      <c r="A121" s="3480" t="s">
        <v>3691</v>
      </c>
      <c r="B121" s="3480" t="s">
        <v>3454</v>
      </c>
      <c r="C121" s="3480" t="s">
        <v>3692</v>
      </c>
      <c r="D121" s="3480" t="s">
        <v>3464</v>
      </c>
      <c r="E121" s="3480">
        <v>51632</v>
      </c>
      <c r="F121" s="3480">
        <v>67121.600000000006</v>
      </c>
      <c r="G121" s="3480" t="s">
        <v>3693</v>
      </c>
      <c r="H121" s="3480" t="s">
        <v>3457</v>
      </c>
      <c r="I121" s="3480" t="s">
        <v>3408</v>
      </c>
      <c r="J121" s="3480" t="s">
        <v>3427</v>
      </c>
      <c r="K121" s="3480" t="s">
        <v>3694</v>
      </c>
      <c r="L121" s="3480" t="s">
        <v>3694</v>
      </c>
      <c r="M121" s="3480" t="s">
        <v>3460</v>
      </c>
      <c r="N121" s="3480" t="s">
        <v>3695</v>
      </c>
      <c r="O121" s="3480">
        <v>77310</v>
      </c>
      <c r="P121" s="3480">
        <v>15470</v>
      </c>
      <c r="Q121" s="3480" t="s">
        <v>3696</v>
      </c>
      <c r="R121" s="3480">
        <v>78710</v>
      </c>
      <c r="S121" s="3480">
        <v>11726</v>
      </c>
      <c r="T121" s="3480">
        <v>1.81</v>
      </c>
    </row>
    <row r="122" spans="1:20" ht="14.25">
      <c r="A122" s="3480" t="s">
        <v>3697</v>
      </c>
      <c r="B122" s="3480" t="s">
        <v>3454</v>
      </c>
      <c r="C122" s="3480" t="s">
        <v>3698</v>
      </c>
      <c r="D122" s="3480" t="s">
        <v>3464</v>
      </c>
      <c r="E122" s="3480">
        <v>74576</v>
      </c>
      <c r="F122" s="3480">
        <v>96948.800000000003</v>
      </c>
      <c r="G122" s="3480" t="s">
        <v>3693</v>
      </c>
      <c r="H122" s="3480" t="s">
        <v>3457</v>
      </c>
      <c r="I122" s="3480" t="s">
        <v>3408</v>
      </c>
      <c r="J122" s="3480" t="s">
        <v>3427</v>
      </c>
      <c r="K122" s="3480" t="s">
        <v>3694</v>
      </c>
      <c r="L122" s="3480" t="s">
        <v>3694</v>
      </c>
      <c r="M122" s="3480" t="s">
        <v>3460</v>
      </c>
      <c r="N122" s="3480" t="s">
        <v>3695</v>
      </c>
      <c r="O122" s="3480">
        <v>111522</v>
      </c>
      <c r="P122" s="3480">
        <v>22310</v>
      </c>
      <c r="Q122" s="3480" t="s">
        <v>3696</v>
      </c>
      <c r="R122" s="3480">
        <v>111522</v>
      </c>
      <c r="S122" s="3480">
        <v>11503</v>
      </c>
      <c r="T122" s="3480">
        <v>0</v>
      </c>
    </row>
    <row r="123" spans="1:20" ht="14.25">
      <c r="A123" s="3480" t="s">
        <v>3699</v>
      </c>
      <c r="B123" s="3480" t="s">
        <v>3454</v>
      </c>
      <c r="C123" s="3480" t="s">
        <v>3700</v>
      </c>
      <c r="D123" s="3480" t="s">
        <v>3464</v>
      </c>
      <c r="E123" s="3480">
        <v>3543</v>
      </c>
      <c r="F123" s="3480">
        <v>8503.2000000000007</v>
      </c>
      <c r="G123" s="3480" t="s">
        <v>3701</v>
      </c>
      <c r="H123" s="3480" t="s">
        <v>3457</v>
      </c>
      <c r="I123" s="3480" t="s">
        <v>3408</v>
      </c>
      <c r="J123" s="3480" t="s">
        <v>3427</v>
      </c>
      <c r="K123" s="3480" t="s">
        <v>3694</v>
      </c>
      <c r="L123" s="3480" t="s">
        <v>3694</v>
      </c>
      <c r="M123" s="3480" t="s">
        <v>3460</v>
      </c>
      <c r="N123" s="3480" t="s">
        <v>3528</v>
      </c>
      <c r="O123" s="3480">
        <v>5874</v>
      </c>
      <c r="P123" s="3480">
        <v>1175</v>
      </c>
      <c r="Q123" s="3480" t="s">
        <v>3696</v>
      </c>
      <c r="R123" s="3480">
        <v>5874</v>
      </c>
      <c r="S123" s="3480">
        <v>6908</v>
      </c>
      <c r="T123" s="3480">
        <v>0</v>
      </c>
    </row>
    <row r="124" spans="1:20" ht="14.25">
      <c r="A124" s="3480" t="s">
        <v>3702</v>
      </c>
      <c r="B124" s="3480" t="s">
        <v>3454</v>
      </c>
      <c r="C124" s="3480" t="s">
        <v>3703</v>
      </c>
      <c r="D124" s="3480" t="s">
        <v>3464</v>
      </c>
      <c r="E124" s="3480">
        <v>17055</v>
      </c>
      <c r="F124" s="3480">
        <v>28993.5</v>
      </c>
      <c r="G124" s="3480" t="s">
        <v>3704</v>
      </c>
      <c r="H124" s="3480" t="s">
        <v>3457</v>
      </c>
      <c r="I124" s="3480" t="s">
        <v>3408</v>
      </c>
      <c r="J124" s="3480" t="s">
        <v>3427</v>
      </c>
      <c r="K124" s="3480" t="s">
        <v>3705</v>
      </c>
      <c r="L124" s="3480" t="s">
        <v>3705</v>
      </c>
      <c r="M124" s="3480" t="s">
        <v>3460</v>
      </c>
      <c r="N124" s="3480" t="s">
        <v>3535</v>
      </c>
      <c r="O124" s="3480">
        <v>18076</v>
      </c>
      <c r="P124" s="3480">
        <v>9309</v>
      </c>
      <c r="Q124" s="3480" t="s">
        <v>3706</v>
      </c>
      <c r="R124" s="3480">
        <v>18076</v>
      </c>
      <c r="S124" s="3480">
        <v>6235</v>
      </c>
      <c r="T124" s="3480">
        <v>0</v>
      </c>
    </row>
    <row r="125" spans="1:20" ht="14.25">
      <c r="A125" s="3480" t="s">
        <v>3707</v>
      </c>
      <c r="B125" s="3480" t="s">
        <v>3454</v>
      </c>
      <c r="C125" s="3480" t="s">
        <v>3708</v>
      </c>
      <c r="D125" s="3480" t="s">
        <v>3464</v>
      </c>
      <c r="E125" s="3480">
        <v>8891</v>
      </c>
      <c r="F125" s="3480">
        <v>16892.900000000001</v>
      </c>
      <c r="G125" s="3480" t="s">
        <v>3709</v>
      </c>
      <c r="H125" s="3480" t="s">
        <v>3457</v>
      </c>
      <c r="I125" s="3480" t="s">
        <v>3408</v>
      </c>
      <c r="J125" s="3480" t="s">
        <v>3427</v>
      </c>
      <c r="K125" s="3480" t="s">
        <v>3705</v>
      </c>
      <c r="L125" s="3480" t="s">
        <v>3705</v>
      </c>
      <c r="M125" s="3480" t="s">
        <v>3460</v>
      </c>
      <c r="N125" s="3480" t="s">
        <v>3710</v>
      </c>
      <c r="O125" s="3480">
        <v>22501</v>
      </c>
      <c r="P125" s="3480">
        <v>11250</v>
      </c>
      <c r="Q125" s="3480" t="s">
        <v>3706</v>
      </c>
      <c r="R125" s="3480">
        <v>22501</v>
      </c>
      <c r="S125" s="3480">
        <v>13320</v>
      </c>
      <c r="T125" s="3480">
        <v>0</v>
      </c>
    </row>
    <row r="126" spans="1:20" ht="14.25">
      <c r="A126" s="3480" t="s">
        <v>3711</v>
      </c>
      <c r="B126" s="3480" t="s">
        <v>3454</v>
      </c>
      <c r="C126" s="3480" t="s">
        <v>3712</v>
      </c>
      <c r="D126" s="3480" t="s">
        <v>3464</v>
      </c>
      <c r="E126" s="3480">
        <v>25873</v>
      </c>
      <c r="F126" s="3480">
        <v>46571.4</v>
      </c>
      <c r="G126" s="3480" t="s">
        <v>3713</v>
      </c>
      <c r="H126" s="3480" t="s">
        <v>3457</v>
      </c>
      <c r="I126" s="3480" t="s">
        <v>3408</v>
      </c>
      <c r="J126" s="3480" t="s">
        <v>3427</v>
      </c>
      <c r="K126" s="3480" t="s">
        <v>3705</v>
      </c>
      <c r="L126" s="3480" t="s">
        <v>3705</v>
      </c>
      <c r="M126" s="3480" t="s">
        <v>3460</v>
      </c>
      <c r="N126" s="3480" t="s">
        <v>3535</v>
      </c>
      <c r="O126" s="3480">
        <v>28464</v>
      </c>
      <c r="P126" s="3480">
        <v>9309</v>
      </c>
      <c r="Q126" s="3480" t="s">
        <v>3706</v>
      </c>
      <c r="R126" s="3480">
        <v>28464</v>
      </c>
      <c r="S126" s="3480">
        <v>6112</v>
      </c>
      <c r="T126" s="3480">
        <v>0</v>
      </c>
    </row>
    <row r="127" spans="1:20" ht="14.25">
      <c r="A127" s="3480" t="s">
        <v>3714</v>
      </c>
      <c r="B127" s="3480" t="s">
        <v>3454</v>
      </c>
      <c r="C127" s="3480" t="s">
        <v>3715</v>
      </c>
      <c r="D127" s="3480" t="s">
        <v>3464</v>
      </c>
      <c r="E127" s="3480">
        <v>24766</v>
      </c>
      <c r="F127" s="3480">
        <v>54485.2</v>
      </c>
      <c r="G127" s="3480" t="s">
        <v>3531</v>
      </c>
      <c r="H127" s="3480" t="s">
        <v>3457</v>
      </c>
      <c r="I127" s="3480" t="s">
        <v>3408</v>
      </c>
      <c r="J127" s="3480" t="s">
        <v>3427</v>
      </c>
      <c r="K127" s="3480" t="s">
        <v>3705</v>
      </c>
      <c r="L127" s="3480" t="s">
        <v>3705</v>
      </c>
      <c r="M127" s="3480" t="s">
        <v>3460</v>
      </c>
      <c r="N127" s="3480" t="s">
        <v>3716</v>
      </c>
      <c r="O127" s="3480">
        <v>24789</v>
      </c>
      <c r="P127" s="3480">
        <v>10518</v>
      </c>
      <c r="Q127" s="3480" t="s">
        <v>3706</v>
      </c>
      <c r="R127" s="3480">
        <v>24789</v>
      </c>
      <c r="S127" s="3480">
        <v>4550</v>
      </c>
      <c r="T127" s="3480">
        <v>0</v>
      </c>
    </row>
    <row r="128" spans="1:20" ht="14.25">
      <c r="A128" s="3480" t="s">
        <v>3717</v>
      </c>
      <c r="B128" s="3480" t="s">
        <v>3454</v>
      </c>
      <c r="C128" s="3480" t="s">
        <v>3718</v>
      </c>
      <c r="D128" s="3480" t="s">
        <v>3455</v>
      </c>
      <c r="E128" s="3480">
        <v>24170</v>
      </c>
      <c r="F128" s="3480">
        <v>31421</v>
      </c>
      <c r="G128" s="3480" t="s">
        <v>3719</v>
      </c>
      <c r="H128" s="3480" t="s">
        <v>3457</v>
      </c>
      <c r="I128" s="3480" t="s">
        <v>3407</v>
      </c>
      <c r="J128" s="3480" t="s">
        <v>3427</v>
      </c>
      <c r="K128" s="3480" t="s">
        <v>3705</v>
      </c>
      <c r="L128" s="3480" t="s">
        <v>3705</v>
      </c>
      <c r="M128" s="3480" t="s">
        <v>3460</v>
      </c>
      <c r="N128" s="3480" t="s">
        <v>3720</v>
      </c>
      <c r="O128" s="3480">
        <v>3210</v>
      </c>
      <c r="P128" s="3480">
        <v>642</v>
      </c>
      <c r="Q128" s="3480" t="s">
        <v>3706</v>
      </c>
      <c r="R128" s="3480">
        <v>3210</v>
      </c>
      <c r="S128" s="3480">
        <v>1022</v>
      </c>
      <c r="T128" s="3480">
        <v>0</v>
      </c>
    </row>
    <row r="129" spans="1:20" ht="14.25">
      <c r="A129" s="3480" t="s">
        <v>3721</v>
      </c>
      <c r="B129" s="3480" t="s">
        <v>3454</v>
      </c>
      <c r="C129" s="3480" t="s">
        <v>3722</v>
      </c>
      <c r="D129" s="3480" t="s">
        <v>3464</v>
      </c>
      <c r="E129" s="3480">
        <v>27773</v>
      </c>
      <c r="F129" s="3480">
        <v>61100.6</v>
      </c>
      <c r="G129" s="3480" t="s">
        <v>3531</v>
      </c>
      <c r="H129" s="3480" t="s">
        <v>3457</v>
      </c>
      <c r="I129" s="3480" t="s">
        <v>3408</v>
      </c>
      <c r="J129" s="3480" t="s">
        <v>3427</v>
      </c>
      <c r="K129" s="3480" t="s">
        <v>3705</v>
      </c>
      <c r="L129" s="3480" t="s">
        <v>3705</v>
      </c>
      <c r="M129" s="3480" t="s">
        <v>3460</v>
      </c>
      <c r="N129" s="3480" t="s">
        <v>3716</v>
      </c>
      <c r="O129" s="3480">
        <v>27799</v>
      </c>
      <c r="P129" s="3480">
        <v>10518</v>
      </c>
      <c r="Q129" s="3480" t="s">
        <v>3706</v>
      </c>
      <c r="R129" s="3480">
        <v>27799</v>
      </c>
      <c r="S129" s="3480">
        <v>4550</v>
      </c>
      <c r="T129" s="3480">
        <v>0</v>
      </c>
    </row>
    <row r="130" spans="1:20" ht="14.25">
      <c r="A130" s="3480" t="s">
        <v>3723</v>
      </c>
      <c r="B130" s="3480" t="s">
        <v>3454</v>
      </c>
      <c r="C130" s="3480" t="s">
        <v>3723</v>
      </c>
      <c r="D130" s="3480" t="s">
        <v>3455</v>
      </c>
      <c r="E130" s="3480">
        <v>32959</v>
      </c>
      <c r="F130" s="3480">
        <v>42846.7</v>
      </c>
      <c r="G130" s="3480" t="s">
        <v>3719</v>
      </c>
      <c r="H130" s="3480" t="s">
        <v>3457</v>
      </c>
      <c r="I130" s="3480" t="s">
        <v>3407</v>
      </c>
      <c r="J130" s="3480" t="s">
        <v>3427</v>
      </c>
      <c r="K130" s="3480" t="s">
        <v>3724</v>
      </c>
      <c r="L130" s="3480" t="s">
        <v>3724</v>
      </c>
      <c r="M130" s="3480" t="s">
        <v>3460</v>
      </c>
      <c r="N130" s="3480" t="s">
        <v>3725</v>
      </c>
      <c r="O130" s="3480">
        <v>7416</v>
      </c>
      <c r="P130" s="3480">
        <v>7416</v>
      </c>
      <c r="Q130" s="3480" t="s">
        <v>3706</v>
      </c>
      <c r="R130" s="3480">
        <v>7416</v>
      </c>
      <c r="S130" s="3480">
        <v>1731</v>
      </c>
      <c r="T130" s="3480">
        <v>0</v>
      </c>
    </row>
    <row r="131" spans="1:20" ht="14.25">
      <c r="A131" s="3480" t="s">
        <v>3726</v>
      </c>
      <c r="B131" s="3480" t="s">
        <v>3454</v>
      </c>
      <c r="C131" s="3480" t="s">
        <v>3727</v>
      </c>
      <c r="D131" s="3480" t="s">
        <v>3464</v>
      </c>
      <c r="E131" s="3480">
        <v>20031</v>
      </c>
      <c r="F131" s="3480">
        <v>40062</v>
      </c>
      <c r="G131" s="3480" t="s">
        <v>3728</v>
      </c>
      <c r="H131" s="3480" t="s">
        <v>3457</v>
      </c>
      <c r="I131" s="3480" t="s">
        <v>3408</v>
      </c>
      <c r="J131" s="3480" t="s">
        <v>3427</v>
      </c>
      <c r="K131" s="3480" t="s">
        <v>3729</v>
      </c>
      <c r="L131" s="3480" t="s">
        <v>3729</v>
      </c>
      <c r="M131" s="3480" t="s">
        <v>3460</v>
      </c>
      <c r="N131" s="3480" t="s">
        <v>3730</v>
      </c>
      <c r="O131" s="3480">
        <v>6298</v>
      </c>
      <c r="P131" s="3480">
        <v>3149</v>
      </c>
      <c r="Q131" s="3480" t="s">
        <v>3731</v>
      </c>
      <c r="R131" s="3480">
        <v>6298</v>
      </c>
      <c r="S131" s="3480">
        <v>1572</v>
      </c>
      <c r="T131" s="3480">
        <v>0</v>
      </c>
    </row>
    <row r="132" spans="1:20" ht="14.25">
      <c r="A132" s="3480" t="s">
        <v>3732</v>
      </c>
      <c r="B132" s="3480" t="s">
        <v>3454</v>
      </c>
      <c r="C132" s="3480" t="s">
        <v>3733</v>
      </c>
      <c r="D132" s="3480" t="s">
        <v>3464</v>
      </c>
      <c r="E132" s="3480">
        <v>35603</v>
      </c>
      <c r="F132" s="3480">
        <v>53404.5</v>
      </c>
      <c r="G132" s="3480" t="s">
        <v>3505</v>
      </c>
      <c r="H132" s="3480" t="s">
        <v>3457</v>
      </c>
      <c r="I132" s="3480" t="s">
        <v>3408</v>
      </c>
      <c r="J132" s="3480" t="s">
        <v>3427</v>
      </c>
      <c r="K132" s="3480" t="s">
        <v>3724</v>
      </c>
      <c r="L132" s="3480" t="s">
        <v>3724</v>
      </c>
      <c r="M132" s="3480" t="s">
        <v>3460</v>
      </c>
      <c r="N132" s="3480" t="s">
        <v>3734</v>
      </c>
      <c r="O132" s="3480">
        <v>10681</v>
      </c>
      <c r="P132" s="3480">
        <v>10681</v>
      </c>
      <c r="Q132" s="3480" t="s">
        <v>3731</v>
      </c>
      <c r="R132" s="3480">
        <v>10681</v>
      </c>
      <c r="S132" s="3480">
        <v>2000</v>
      </c>
      <c r="T132" s="3480">
        <v>0</v>
      </c>
    </row>
    <row r="133" spans="1:20" ht="14.25">
      <c r="A133" s="3480" t="s">
        <v>3735</v>
      </c>
      <c r="B133" s="3480" t="s">
        <v>3454</v>
      </c>
      <c r="C133" s="3480" t="s">
        <v>3736</v>
      </c>
      <c r="D133" s="3480" t="s">
        <v>3629</v>
      </c>
      <c r="E133" s="3480">
        <v>11455</v>
      </c>
      <c r="F133" s="3480">
        <v>26346.5</v>
      </c>
      <c r="G133" s="3480" t="s">
        <v>3471</v>
      </c>
      <c r="H133" s="3480" t="s">
        <v>3457</v>
      </c>
      <c r="I133" s="3480" t="s">
        <v>3631</v>
      </c>
      <c r="J133" s="3480" t="s">
        <v>3427</v>
      </c>
      <c r="K133" s="3480" t="s">
        <v>3729</v>
      </c>
      <c r="L133" s="3480" t="s">
        <v>3729</v>
      </c>
      <c r="M133" s="3480" t="s">
        <v>3460</v>
      </c>
      <c r="N133" s="3480" t="s">
        <v>3473</v>
      </c>
      <c r="O133" s="3480">
        <v>24000</v>
      </c>
      <c r="P133" s="3480">
        <v>15600</v>
      </c>
      <c r="Q133" s="3480" t="s">
        <v>3731</v>
      </c>
      <c r="R133" s="3480">
        <v>24000</v>
      </c>
      <c r="S133" s="3480">
        <v>9109</v>
      </c>
      <c r="T133" s="3480">
        <v>0</v>
      </c>
    </row>
    <row r="134" spans="1:20" ht="14.25">
      <c r="A134" s="3480" t="s">
        <v>3737</v>
      </c>
      <c r="B134" s="3480" t="s">
        <v>3454</v>
      </c>
      <c r="C134" s="3480" t="s">
        <v>3738</v>
      </c>
      <c r="D134" s="3480" t="s">
        <v>3464</v>
      </c>
      <c r="E134" s="3480">
        <v>22042</v>
      </c>
      <c r="F134" s="3480">
        <v>44084</v>
      </c>
      <c r="G134" s="3480" t="s">
        <v>3728</v>
      </c>
      <c r="H134" s="3480" t="s">
        <v>3457</v>
      </c>
      <c r="I134" s="3480" t="s">
        <v>3408</v>
      </c>
      <c r="J134" s="3480" t="s">
        <v>3427</v>
      </c>
      <c r="K134" s="3480" t="s">
        <v>3724</v>
      </c>
      <c r="L134" s="3480" t="s">
        <v>3724</v>
      </c>
      <c r="M134" s="3480" t="s">
        <v>3460</v>
      </c>
      <c r="N134" s="3480" t="s">
        <v>3739</v>
      </c>
      <c r="O134" s="3480">
        <v>6944</v>
      </c>
      <c r="P134" s="3480">
        <v>6944</v>
      </c>
      <c r="Q134" s="3480" t="s">
        <v>3706</v>
      </c>
      <c r="R134" s="3480">
        <v>6944</v>
      </c>
      <c r="S134" s="3480">
        <v>1575</v>
      </c>
      <c r="T134" s="3480">
        <v>0</v>
      </c>
    </row>
    <row r="135" spans="1:20" ht="14.25">
      <c r="A135" s="3480" t="s">
        <v>3740</v>
      </c>
      <c r="B135" s="3480" t="s">
        <v>3454</v>
      </c>
      <c r="C135" s="3480" t="s">
        <v>3741</v>
      </c>
      <c r="D135" s="3480" t="s">
        <v>3464</v>
      </c>
      <c r="E135" s="3480">
        <v>46507</v>
      </c>
      <c r="F135" s="3480">
        <v>69760.5</v>
      </c>
      <c r="G135" s="3480" t="s">
        <v>3505</v>
      </c>
      <c r="H135" s="3480" t="s">
        <v>3457</v>
      </c>
      <c r="I135" s="3480" t="s">
        <v>3408</v>
      </c>
      <c r="J135" s="3480" t="s">
        <v>3427</v>
      </c>
      <c r="K135" s="3480" t="s">
        <v>3729</v>
      </c>
      <c r="L135" s="3480" t="s">
        <v>3729</v>
      </c>
      <c r="M135" s="3480" t="s">
        <v>3460</v>
      </c>
      <c r="N135" s="3480" t="s">
        <v>3742</v>
      </c>
      <c r="O135" s="3480">
        <v>10632</v>
      </c>
      <c r="P135" s="3480">
        <v>10632</v>
      </c>
      <c r="Q135" s="3480" t="s">
        <v>3731</v>
      </c>
      <c r="R135" s="3480">
        <v>10632</v>
      </c>
      <c r="S135" s="3480">
        <v>1524</v>
      </c>
      <c r="T135" s="3480">
        <v>0</v>
      </c>
    </row>
    <row r="136" spans="1:20" ht="14.25">
      <c r="A136" s="3480" t="s">
        <v>3743</v>
      </c>
      <c r="B136" s="3480" t="s">
        <v>3454</v>
      </c>
      <c r="C136" s="3480" t="s">
        <v>3744</v>
      </c>
      <c r="D136" s="3480" t="s">
        <v>3464</v>
      </c>
      <c r="E136" s="3480">
        <v>63921</v>
      </c>
      <c r="F136" s="3480">
        <v>147018.29999999999</v>
      </c>
      <c r="G136" s="3480" t="s">
        <v>3471</v>
      </c>
      <c r="H136" s="3480" t="s">
        <v>3457</v>
      </c>
      <c r="I136" s="3480" t="s">
        <v>3408</v>
      </c>
      <c r="J136" s="3480" t="s">
        <v>3427</v>
      </c>
      <c r="K136" s="3480" t="s">
        <v>3745</v>
      </c>
      <c r="L136" s="3480" t="s">
        <v>3745</v>
      </c>
      <c r="M136" s="3480" t="s">
        <v>3460</v>
      </c>
      <c r="N136" s="3480" t="s">
        <v>3746</v>
      </c>
      <c r="O136" s="3480">
        <v>101720</v>
      </c>
      <c r="P136" s="3480">
        <v>54300</v>
      </c>
      <c r="Q136" s="3480" t="s">
        <v>3747</v>
      </c>
      <c r="R136" s="3480">
        <v>148146</v>
      </c>
      <c r="S136" s="3480">
        <v>10077</v>
      </c>
      <c r="T136" s="3480">
        <v>45.64</v>
      </c>
    </row>
    <row r="137" spans="1:20" ht="14.25">
      <c r="A137" s="3480" t="s">
        <v>3748</v>
      </c>
      <c r="B137" s="3480" t="s">
        <v>3454</v>
      </c>
      <c r="C137" s="3480" t="s">
        <v>3749</v>
      </c>
      <c r="D137" s="3480" t="s">
        <v>3629</v>
      </c>
      <c r="E137" s="3480">
        <v>5001</v>
      </c>
      <c r="F137" s="3480">
        <v>7501.5</v>
      </c>
      <c r="G137" s="3480" t="s">
        <v>3750</v>
      </c>
      <c r="H137" s="3480" t="s">
        <v>3457</v>
      </c>
      <c r="I137" s="3480" t="s">
        <v>3751</v>
      </c>
      <c r="J137" s="3480" t="s">
        <v>3427</v>
      </c>
      <c r="K137" s="3480" t="s">
        <v>3745</v>
      </c>
      <c r="L137" s="3480" t="s">
        <v>3745</v>
      </c>
      <c r="M137" s="3480" t="s">
        <v>3460</v>
      </c>
      <c r="N137" s="3480" t="s">
        <v>3746</v>
      </c>
      <c r="O137" s="3480">
        <v>5660</v>
      </c>
      <c r="P137" s="3480">
        <v>2300</v>
      </c>
      <c r="Q137" s="3480" t="s">
        <v>3747</v>
      </c>
      <c r="R137" s="3480">
        <v>5660</v>
      </c>
      <c r="S137" s="3480">
        <v>7545</v>
      </c>
      <c r="T137" s="3480">
        <v>0</v>
      </c>
    </row>
    <row r="138" spans="1:20" ht="14.25">
      <c r="A138" s="3480" t="s">
        <v>3752</v>
      </c>
      <c r="B138" s="3480" t="s">
        <v>3454</v>
      </c>
      <c r="C138" s="3480" t="s">
        <v>3752</v>
      </c>
      <c r="D138" s="3480" t="s">
        <v>3455</v>
      </c>
      <c r="E138" s="3480">
        <v>26164</v>
      </c>
      <c r="F138" s="3480">
        <v>52328</v>
      </c>
      <c r="G138" s="3480" t="s">
        <v>3456</v>
      </c>
      <c r="H138" s="3480" t="s">
        <v>3457</v>
      </c>
      <c r="I138" s="3480" t="s">
        <v>3407</v>
      </c>
      <c r="J138" s="3480" t="s">
        <v>3427</v>
      </c>
      <c r="K138" s="3480" t="s">
        <v>3753</v>
      </c>
      <c r="L138" s="3480" t="s">
        <v>3753</v>
      </c>
      <c r="M138" s="3480" t="s">
        <v>3460</v>
      </c>
      <c r="N138" s="3480" t="s">
        <v>3725</v>
      </c>
      <c r="O138" s="3480">
        <v>5887</v>
      </c>
      <c r="P138" s="3480">
        <v>5887</v>
      </c>
      <c r="Q138" s="3480" t="s">
        <v>3754</v>
      </c>
      <c r="R138" s="3480">
        <v>5887</v>
      </c>
      <c r="S138" s="3480">
        <v>1125</v>
      </c>
      <c r="T138" s="3480">
        <v>0</v>
      </c>
    </row>
    <row r="139" spans="1:20" ht="14.25">
      <c r="A139" s="3480" t="s">
        <v>3755</v>
      </c>
      <c r="B139" s="3480" t="s">
        <v>3454</v>
      </c>
      <c r="C139" s="3480" t="s">
        <v>3755</v>
      </c>
      <c r="D139" s="3480" t="s">
        <v>3455</v>
      </c>
      <c r="E139" s="3480">
        <v>5417</v>
      </c>
      <c r="F139" s="3480">
        <v>8125.5</v>
      </c>
      <c r="G139" s="3480" t="s">
        <v>3505</v>
      </c>
      <c r="H139" s="3480" t="s">
        <v>3457</v>
      </c>
      <c r="I139" s="3480" t="s">
        <v>3458</v>
      </c>
      <c r="J139" s="3480" t="s">
        <v>3427</v>
      </c>
      <c r="K139" s="3480" t="s">
        <v>3753</v>
      </c>
      <c r="L139" s="3480" t="s">
        <v>3753</v>
      </c>
      <c r="M139" s="3480" t="s">
        <v>3460</v>
      </c>
      <c r="N139" s="3480" t="s">
        <v>3725</v>
      </c>
      <c r="O139" s="3480">
        <v>1219</v>
      </c>
      <c r="P139" s="3480">
        <v>1219</v>
      </c>
      <c r="Q139" s="3480" t="s">
        <v>3754</v>
      </c>
      <c r="R139" s="3480">
        <v>1219</v>
      </c>
      <c r="S139" s="3480">
        <v>1500</v>
      </c>
      <c r="T139" s="3480">
        <v>0</v>
      </c>
    </row>
    <row r="140" spans="1:20" ht="14.25">
      <c r="A140" s="3480" t="s">
        <v>3756</v>
      </c>
      <c r="B140" s="3480" t="s">
        <v>3454</v>
      </c>
      <c r="C140" s="3480" t="s">
        <v>3756</v>
      </c>
      <c r="D140" s="3480" t="s">
        <v>3455</v>
      </c>
      <c r="E140" s="3480">
        <v>6369</v>
      </c>
      <c r="F140" s="3480">
        <v>11464.2</v>
      </c>
      <c r="G140" s="3480" t="s">
        <v>3496</v>
      </c>
      <c r="H140" s="3480" t="s">
        <v>3457</v>
      </c>
      <c r="I140" s="3480" t="s">
        <v>3458</v>
      </c>
      <c r="J140" s="3480" t="s">
        <v>3427</v>
      </c>
      <c r="K140" s="3480" t="s">
        <v>3753</v>
      </c>
      <c r="L140" s="3480" t="s">
        <v>3753</v>
      </c>
      <c r="M140" s="3480" t="s">
        <v>3460</v>
      </c>
      <c r="N140" s="3480" t="s">
        <v>3725</v>
      </c>
      <c r="O140" s="3480">
        <v>1434</v>
      </c>
      <c r="P140" s="3480">
        <v>1434</v>
      </c>
      <c r="Q140" s="3480" t="s">
        <v>3754</v>
      </c>
      <c r="R140" s="3480">
        <v>1434</v>
      </c>
      <c r="S140" s="3480">
        <v>1251</v>
      </c>
      <c r="T140" s="3480">
        <v>0</v>
      </c>
    </row>
    <row r="141" spans="1:20" ht="14.25">
      <c r="A141" s="3480" t="s">
        <v>3757</v>
      </c>
      <c r="B141" s="3480" t="s">
        <v>3454</v>
      </c>
      <c r="C141" s="3480" t="s">
        <v>3758</v>
      </c>
      <c r="D141" s="3480" t="s">
        <v>3455</v>
      </c>
      <c r="E141" s="3480">
        <v>20853</v>
      </c>
      <c r="F141" s="3480">
        <v>52132.5</v>
      </c>
      <c r="G141" s="3480" t="s">
        <v>3759</v>
      </c>
      <c r="H141" s="3480" t="s">
        <v>3457</v>
      </c>
      <c r="I141" s="3480" t="s">
        <v>3407</v>
      </c>
      <c r="J141" s="3480" t="s">
        <v>3427</v>
      </c>
      <c r="K141" s="3480" t="s">
        <v>3760</v>
      </c>
      <c r="L141" s="3480" t="s">
        <v>3760</v>
      </c>
      <c r="M141" s="3480" t="s">
        <v>3460</v>
      </c>
      <c r="N141" s="3480" t="s">
        <v>3761</v>
      </c>
      <c r="O141" s="3480">
        <v>9080</v>
      </c>
      <c r="P141" s="3480">
        <v>1820</v>
      </c>
      <c r="Q141" s="3480" t="s">
        <v>3762</v>
      </c>
      <c r="R141" s="3480">
        <v>9080</v>
      </c>
      <c r="S141" s="3480">
        <v>1742</v>
      </c>
      <c r="T141" s="3480">
        <v>0</v>
      </c>
    </row>
    <row r="142" spans="1:20" ht="14.25">
      <c r="A142" s="3480" t="s">
        <v>3763</v>
      </c>
      <c r="B142" s="3480" t="s">
        <v>3454</v>
      </c>
      <c r="C142" s="3480" t="s">
        <v>3764</v>
      </c>
      <c r="D142" s="3480" t="s">
        <v>3455</v>
      </c>
      <c r="E142" s="3480">
        <v>19581</v>
      </c>
      <c r="F142" s="3480">
        <v>78324</v>
      </c>
      <c r="G142" s="3480" t="s">
        <v>3765</v>
      </c>
      <c r="H142" s="3480" t="s">
        <v>3457</v>
      </c>
      <c r="I142" s="3480" t="s">
        <v>3407</v>
      </c>
      <c r="J142" s="3480" t="s">
        <v>3427</v>
      </c>
      <c r="K142" s="3480" t="s">
        <v>3760</v>
      </c>
      <c r="L142" s="3480" t="s">
        <v>3760</v>
      </c>
      <c r="M142" s="3480" t="s">
        <v>3460</v>
      </c>
      <c r="N142" s="3480" t="s">
        <v>3761</v>
      </c>
      <c r="O142" s="3480">
        <v>10870</v>
      </c>
      <c r="P142" s="3480">
        <v>2180</v>
      </c>
      <c r="Q142" s="3480" t="s">
        <v>3762</v>
      </c>
      <c r="R142" s="3480">
        <v>10870</v>
      </c>
      <c r="S142" s="3480">
        <v>1388</v>
      </c>
      <c r="T142" s="3480">
        <v>0</v>
      </c>
    </row>
    <row r="143" spans="1:20" ht="14.25">
      <c r="A143" s="3480" t="s">
        <v>3766</v>
      </c>
      <c r="B143" s="3480" t="s">
        <v>3454</v>
      </c>
      <c r="C143" s="3480" t="s">
        <v>3767</v>
      </c>
      <c r="D143" s="3480" t="s">
        <v>3464</v>
      </c>
      <c r="E143" s="3480">
        <v>20839</v>
      </c>
      <c r="F143" s="3480">
        <v>45845.8</v>
      </c>
      <c r="G143" s="3480" t="s">
        <v>3531</v>
      </c>
      <c r="H143" s="3480" t="s">
        <v>3457</v>
      </c>
      <c r="I143" s="3480" t="s">
        <v>3408</v>
      </c>
      <c r="J143" s="3480" t="s">
        <v>3427</v>
      </c>
      <c r="K143" s="3480" t="s">
        <v>3760</v>
      </c>
      <c r="L143" s="3480" t="s">
        <v>3760</v>
      </c>
      <c r="M143" s="3480" t="s">
        <v>3460</v>
      </c>
      <c r="N143" s="3480" t="s">
        <v>3761</v>
      </c>
      <c r="O143" s="3480">
        <v>13760</v>
      </c>
      <c r="P143" s="3480">
        <v>2760</v>
      </c>
      <c r="Q143" s="3480" t="s">
        <v>3762</v>
      </c>
      <c r="R143" s="3480">
        <v>13760</v>
      </c>
      <c r="S143" s="3480">
        <v>3001</v>
      </c>
      <c r="T143" s="3480">
        <v>0</v>
      </c>
    </row>
    <row r="144" spans="1:20" ht="14.25">
      <c r="A144" s="3480" t="s">
        <v>3768</v>
      </c>
      <c r="B144" s="3480" t="s">
        <v>3454</v>
      </c>
      <c r="C144" s="3480" t="s">
        <v>3769</v>
      </c>
      <c r="D144" s="3480" t="s">
        <v>3464</v>
      </c>
      <c r="E144" s="3480">
        <v>46228</v>
      </c>
      <c r="F144" s="3480">
        <v>115570</v>
      </c>
      <c r="G144" s="3480" t="s">
        <v>3511</v>
      </c>
      <c r="H144" s="3480" t="s">
        <v>3457</v>
      </c>
      <c r="I144" s="3480" t="s">
        <v>3408</v>
      </c>
      <c r="J144" s="3480" t="s">
        <v>3427</v>
      </c>
      <c r="K144" s="3480" t="s">
        <v>3760</v>
      </c>
      <c r="L144" s="3480" t="s">
        <v>3760</v>
      </c>
      <c r="M144" s="3480" t="s">
        <v>3460</v>
      </c>
      <c r="N144" s="3480" t="s">
        <v>3770</v>
      </c>
      <c r="O144" s="3480">
        <v>40539</v>
      </c>
      <c r="P144" s="3480">
        <v>8108</v>
      </c>
      <c r="Q144" s="3480" t="s">
        <v>3762</v>
      </c>
      <c r="R144" s="3480">
        <v>40539</v>
      </c>
      <c r="S144" s="3480">
        <v>3508</v>
      </c>
      <c r="T144" s="3480">
        <v>0</v>
      </c>
    </row>
    <row r="145" spans="1:20" ht="14.25">
      <c r="A145" s="3480" t="s">
        <v>3771</v>
      </c>
      <c r="B145" s="3480" t="s">
        <v>3454</v>
      </c>
      <c r="C145" s="3480" t="s">
        <v>3772</v>
      </c>
      <c r="D145" s="3480" t="s">
        <v>3464</v>
      </c>
      <c r="E145" s="3480">
        <v>39140</v>
      </c>
      <c r="F145" s="3480">
        <v>46968</v>
      </c>
      <c r="G145" s="3480" t="s">
        <v>3773</v>
      </c>
      <c r="H145" s="3480" t="s">
        <v>3457</v>
      </c>
      <c r="I145" s="3480" t="s">
        <v>3408</v>
      </c>
      <c r="J145" s="3480" t="s">
        <v>3427</v>
      </c>
      <c r="K145" s="3480" t="s">
        <v>3760</v>
      </c>
      <c r="L145" s="3480" t="s">
        <v>3760</v>
      </c>
      <c r="M145" s="3480" t="s">
        <v>3460</v>
      </c>
      <c r="N145" s="3480" t="s">
        <v>3774</v>
      </c>
      <c r="O145" s="3480">
        <v>36953</v>
      </c>
      <c r="P145" s="3480">
        <v>13130</v>
      </c>
      <c r="Q145" s="3480" t="s">
        <v>3762</v>
      </c>
      <c r="R145" s="3480">
        <v>36953</v>
      </c>
      <c r="S145" s="3480">
        <v>7868</v>
      </c>
      <c r="T145" s="3480">
        <v>0</v>
      </c>
    </row>
    <row r="146" spans="1:20" ht="14.25">
      <c r="A146" s="3480" t="s">
        <v>3775</v>
      </c>
      <c r="B146" s="3480" t="s">
        <v>3454</v>
      </c>
      <c r="C146" s="3480" t="s">
        <v>3776</v>
      </c>
      <c r="D146" s="3480" t="s">
        <v>3455</v>
      </c>
      <c r="E146" s="3480">
        <v>25009</v>
      </c>
      <c r="F146" s="3480">
        <v>42515.3</v>
      </c>
      <c r="G146" s="3480" t="s">
        <v>3777</v>
      </c>
      <c r="H146" s="3480" t="s">
        <v>3457</v>
      </c>
      <c r="I146" s="3480" t="s">
        <v>3458</v>
      </c>
      <c r="J146" s="3480" t="s">
        <v>3427</v>
      </c>
      <c r="K146" s="3480" t="s">
        <v>3760</v>
      </c>
      <c r="L146" s="3480" t="s">
        <v>3760</v>
      </c>
      <c r="M146" s="3480" t="s">
        <v>3460</v>
      </c>
      <c r="N146" s="3480" t="s">
        <v>3778</v>
      </c>
      <c r="O146" s="3480">
        <v>2168</v>
      </c>
      <c r="P146" s="3480">
        <v>434</v>
      </c>
      <c r="Q146" s="3480" t="s">
        <v>3762</v>
      </c>
      <c r="R146" s="3480">
        <v>2168</v>
      </c>
      <c r="S146" s="3480">
        <v>510</v>
      </c>
      <c r="T146" s="3480">
        <v>0</v>
      </c>
    </row>
    <row r="147" spans="1:20" ht="14.25">
      <c r="A147" s="3480" t="s">
        <v>3779</v>
      </c>
      <c r="B147" s="3480" t="s">
        <v>3454</v>
      </c>
      <c r="C147" s="3480" t="s">
        <v>3780</v>
      </c>
      <c r="D147" s="3480" t="s">
        <v>3464</v>
      </c>
      <c r="E147" s="3480">
        <v>24858</v>
      </c>
      <c r="F147" s="3480">
        <v>49716</v>
      </c>
      <c r="G147" s="3480" t="s">
        <v>3523</v>
      </c>
      <c r="H147" s="3480" t="s">
        <v>3457</v>
      </c>
      <c r="I147" s="3480" t="s">
        <v>3408</v>
      </c>
      <c r="J147" s="3480" t="s">
        <v>3427</v>
      </c>
      <c r="K147" s="3480" t="s">
        <v>3760</v>
      </c>
      <c r="L147" s="3480" t="s">
        <v>3760</v>
      </c>
      <c r="M147" s="3480" t="s">
        <v>3460</v>
      </c>
      <c r="N147" s="3480" t="s">
        <v>3774</v>
      </c>
      <c r="O147" s="3480">
        <v>28692</v>
      </c>
      <c r="P147" s="3480">
        <v>13130</v>
      </c>
      <c r="Q147" s="3480" t="s">
        <v>3762</v>
      </c>
      <c r="R147" s="3480">
        <v>28692</v>
      </c>
      <c r="S147" s="3480">
        <v>5771</v>
      </c>
      <c r="T147" s="3480">
        <v>0</v>
      </c>
    </row>
    <row r="148" spans="1:20" ht="14.25">
      <c r="A148" s="3480" t="s">
        <v>3781</v>
      </c>
      <c r="B148" s="3480" t="s">
        <v>3454</v>
      </c>
      <c r="C148" s="3480" t="s">
        <v>3781</v>
      </c>
      <c r="D148" s="3480" t="s">
        <v>3464</v>
      </c>
      <c r="E148" s="3480">
        <v>38671</v>
      </c>
      <c r="F148" s="3480">
        <v>65740.7</v>
      </c>
      <c r="G148" s="3480" t="s">
        <v>3782</v>
      </c>
      <c r="H148" s="3480" t="s">
        <v>3457</v>
      </c>
      <c r="I148" s="3480" t="s">
        <v>3408</v>
      </c>
      <c r="J148" s="3480" t="s">
        <v>3427</v>
      </c>
      <c r="K148" s="3480" t="s">
        <v>3783</v>
      </c>
      <c r="L148" s="3480" t="s">
        <v>3783</v>
      </c>
      <c r="M148" s="3480" t="s">
        <v>3460</v>
      </c>
      <c r="N148" s="3480" t="s">
        <v>3784</v>
      </c>
      <c r="O148" s="3480">
        <v>15082</v>
      </c>
      <c r="P148" s="3480">
        <v>7541</v>
      </c>
      <c r="Q148" s="3480" t="s">
        <v>3785</v>
      </c>
      <c r="R148" s="3480">
        <v>15082</v>
      </c>
      <c r="S148" s="3480">
        <v>2294</v>
      </c>
      <c r="T148" s="3480">
        <v>0</v>
      </c>
    </row>
    <row r="149" spans="1:20" ht="14.25">
      <c r="A149" s="3480" t="s">
        <v>3786</v>
      </c>
      <c r="B149" s="3480" t="s">
        <v>3454</v>
      </c>
      <c r="C149" s="3480" t="s">
        <v>3787</v>
      </c>
      <c r="D149" s="3480" t="s">
        <v>3464</v>
      </c>
      <c r="E149" s="3480">
        <v>55788</v>
      </c>
      <c r="F149" s="3480">
        <v>61366.8</v>
      </c>
      <c r="G149" s="3480" t="s">
        <v>3682</v>
      </c>
      <c r="H149" s="3480" t="s">
        <v>3457</v>
      </c>
      <c r="I149" s="3480" t="s">
        <v>3408</v>
      </c>
      <c r="J149" s="3480" t="s">
        <v>3427</v>
      </c>
      <c r="K149" s="3480" t="s">
        <v>3788</v>
      </c>
      <c r="L149" s="3480" t="s">
        <v>3788</v>
      </c>
      <c r="M149" s="3480" t="s">
        <v>3460</v>
      </c>
      <c r="N149" s="3480" t="s">
        <v>3789</v>
      </c>
      <c r="O149" s="3480">
        <v>42922</v>
      </c>
      <c r="P149" s="3480">
        <v>8590</v>
      </c>
      <c r="Q149" s="3480" t="s">
        <v>3790</v>
      </c>
      <c r="R149" s="3480">
        <v>42922</v>
      </c>
      <c r="S149" s="3480">
        <v>6994</v>
      </c>
      <c r="T149" s="3480">
        <v>0</v>
      </c>
    </row>
    <row r="150" spans="1:20" ht="14.25">
      <c r="A150" s="3480" t="s">
        <v>3791</v>
      </c>
      <c r="B150" s="3480" t="s">
        <v>3454</v>
      </c>
      <c r="C150" s="3480" t="s">
        <v>3792</v>
      </c>
      <c r="D150" s="3480" t="s">
        <v>3464</v>
      </c>
      <c r="E150" s="3480">
        <v>14930</v>
      </c>
      <c r="F150" s="3480">
        <v>17916</v>
      </c>
      <c r="G150" s="3480" t="s">
        <v>3773</v>
      </c>
      <c r="H150" s="3480" t="s">
        <v>3457</v>
      </c>
      <c r="I150" s="3480" t="s">
        <v>3408</v>
      </c>
      <c r="J150" s="3480" t="s">
        <v>3427</v>
      </c>
      <c r="K150" s="3480" t="s">
        <v>3788</v>
      </c>
      <c r="L150" s="3480" t="s">
        <v>3788</v>
      </c>
      <c r="M150" s="3480" t="s">
        <v>3460</v>
      </c>
      <c r="N150" s="3480" t="s">
        <v>3789</v>
      </c>
      <c r="O150" s="3480">
        <v>11461</v>
      </c>
      <c r="P150" s="3480">
        <v>2300</v>
      </c>
      <c r="Q150" s="3480" t="s">
        <v>3790</v>
      </c>
      <c r="R150" s="3480">
        <v>11461</v>
      </c>
      <c r="S150" s="3480">
        <v>6397</v>
      </c>
      <c r="T150" s="3480">
        <v>0</v>
      </c>
    </row>
    <row r="151" spans="1:20" ht="14.25">
      <c r="A151" s="3480" t="s">
        <v>3793</v>
      </c>
      <c r="B151" s="3480" t="s">
        <v>3454</v>
      </c>
      <c r="C151" s="3480" t="s">
        <v>3794</v>
      </c>
      <c r="D151" s="3480" t="s">
        <v>3464</v>
      </c>
      <c r="E151" s="3480">
        <v>18393</v>
      </c>
      <c r="F151" s="3480">
        <v>20232.3</v>
      </c>
      <c r="G151" s="3480" t="s">
        <v>3682</v>
      </c>
      <c r="H151" s="3480" t="s">
        <v>3457</v>
      </c>
      <c r="I151" s="3480" t="s">
        <v>3408</v>
      </c>
      <c r="J151" s="3480" t="s">
        <v>3427</v>
      </c>
      <c r="K151" s="3480" t="s">
        <v>3788</v>
      </c>
      <c r="L151" s="3480" t="s">
        <v>3788</v>
      </c>
      <c r="M151" s="3480" t="s">
        <v>3460</v>
      </c>
      <c r="N151" s="3480" t="s">
        <v>3789</v>
      </c>
      <c r="O151" s="3480">
        <v>14161</v>
      </c>
      <c r="P151" s="3480">
        <v>2840</v>
      </c>
      <c r="Q151" s="3480" t="s">
        <v>3790</v>
      </c>
      <c r="R151" s="3480">
        <v>14161</v>
      </c>
      <c r="S151" s="3480">
        <v>6999</v>
      </c>
      <c r="T151" s="3480">
        <v>0</v>
      </c>
    </row>
    <row r="152" spans="1:20" ht="14.25">
      <c r="A152" s="3480" t="s">
        <v>3795</v>
      </c>
      <c r="B152" s="3480" t="s">
        <v>3454</v>
      </c>
      <c r="C152" s="3480" t="s">
        <v>3796</v>
      </c>
      <c r="D152" s="3480" t="s">
        <v>3464</v>
      </c>
      <c r="E152" s="3480">
        <v>54622</v>
      </c>
      <c r="F152" s="3480">
        <v>60084.2</v>
      </c>
      <c r="G152" s="3480" t="s">
        <v>3682</v>
      </c>
      <c r="H152" s="3480" t="s">
        <v>3457</v>
      </c>
      <c r="I152" s="3480" t="s">
        <v>3408</v>
      </c>
      <c r="J152" s="3480" t="s">
        <v>3427</v>
      </c>
      <c r="K152" s="3480" t="s">
        <v>3788</v>
      </c>
      <c r="L152" s="3480" t="s">
        <v>3788</v>
      </c>
      <c r="M152" s="3480" t="s">
        <v>3460</v>
      </c>
      <c r="N152" s="3480" t="s">
        <v>3789</v>
      </c>
      <c r="O152" s="3480">
        <v>42008</v>
      </c>
      <c r="P152" s="3480">
        <v>9070</v>
      </c>
      <c r="Q152" s="3480" t="s">
        <v>3790</v>
      </c>
      <c r="R152" s="3480">
        <v>42008</v>
      </c>
      <c r="S152" s="3480">
        <v>6992</v>
      </c>
      <c r="T152" s="3480">
        <v>0</v>
      </c>
    </row>
    <row r="153" spans="1:20" ht="14.25">
      <c r="A153" s="3480" t="s">
        <v>3797</v>
      </c>
      <c r="B153" s="3480" t="s">
        <v>3454</v>
      </c>
      <c r="C153" s="3480" t="s">
        <v>3798</v>
      </c>
      <c r="D153" s="3480" t="s">
        <v>3464</v>
      </c>
      <c r="E153" s="3480">
        <v>14755</v>
      </c>
      <c r="F153" s="3480">
        <v>17706</v>
      </c>
      <c r="G153" s="3480" t="s">
        <v>3773</v>
      </c>
      <c r="H153" s="3480" t="s">
        <v>3457</v>
      </c>
      <c r="I153" s="3480" t="s">
        <v>3408</v>
      </c>
      <c r="J153" s="3480" t="s">
        <v>3427</v>
      </c>
      <c r="K153" s="3480" t="s">
        <v>3788</v>
      </c>
      <c r="L153" s="3480" t="s">
        <v>3788</v>
      </c>
      <c r="M153" s="3480" t="s">
        <v>3460</v>
      </c>
      <c r="N153" s="3480" t="s">
        <v>3789</v>
      </c>
      <c r="O153" s="3480">
        <v>11325</v>
      </c>
      <c r="P153" s="3480">
        <v>2270</v>
      </c>
      <c r="Q153" s="3480" t="s">
        <v>3790</v>
      </c>
      <c r="R153" s="3480">
        <v>11325</v>
      </c>
      <c r="S153" s="3480">
        <v>6396</v>
      </c>
      <c r="T153" s="3480">
        <v>0</v>
      </c>
    </row>
    <row r="154" spans="1:20" ht="14.25">
      <c r="A154" s="3480" t="s">
        <v>3799</v>
      </c>
      <c r="B154" s="3480" t="s">
        <v>3454</v>
      </c>
      <c r="C154" s="3480" t="s">
        <v>3800</v>
      </c>
      <c r="D154" s="3480" t="s">
        <v>3464</v>
      </c>
      <c r="E154" s="3480">
        <v>5978</v>
      </c>
      <c r="F154" s="3480">
        <v>8967</v>
      </c>
      <c r="G154" s="3480" t="s">
        <v>3750</v>
      </c>
      <c r="H154" s="3480" t="s">
        <v>3457</v>
      </c>
      <c r="I154" s="3480" t="s">
        <v>3751</v>
      </c>
      <c r="J154" s="3480" t="s">
        <v>3427</v>
      </c>
      <c r="K154" s="3480" t="s">
        <v>3788</v>
      </c>
      <c r="L154" s="3480" t="s">
        <v>3788</v>
      </c>
      <c r="M154" s="3480" t="s">
        <v>3460</v>
      </c>
      <c r="N154" s="3480" t="s">
        <v>3789</v>
      </c>
      <c r="O154" s="3480">
        <v>2718</v>
      </c>
      <c r="P154" s="3480">
        <v>550</v>
      </c>
      <c r="Q154" s="3480" t="s">
        <v>3790</v>
      </c>
      <c r="R154" s="3480">
        <v>2718</v>
      </c>
      <c r="S154" s="3480">
        <v>3031</v>
      </c>
      <c r="T154" s="3480">
        <v>0</v>
      </c>
    </row>
    <row r="155" spans="1:20" ht="14.25">
      <c r="A155" s="3480" t="s">
        <v>3801</v>
      </c>
      <c r="B155" s="3480" t="s">
        <v>3454</v>
      </c>
      <c r="C155" s="3480" t="s">
        <v>3802</v>
      </c>
      <c r="D155" s="3480" t="s">
        <v>3464</v>
      </c>
      <c r="E155" s="3480">
        <v>62665</v>
      </c>
      <c r="F155" s="3480">
        <v>68931.5</v>
      </c>
      <c r="G155" s="3480" t="s">
        <v>3682</v>
      </c>
      <c r="H155" s="3480" t="s">
        <v>3457</v>
      </c>
      <c r="I155" s="3480" t="s">
        <v>3408</v>
      </c>
      <c r="J155" s="3480" t="s">
        <v>3427</v>
      </c>
      <c r="K155" s="3480" t="s">
        <v>3788</v>
      </c>
      <c r="L155" s="3480" t="s">
        <v>3788</v>
      </c>
      <c r="M155" s="3480" t="s">
        <v>3460</v>
      </c>
      <c r="N155" s="3480" t="s">
        <v>3803</v>
      </c>
      <c r="O155" s="3480">
        <v>47000</v>
      </c>
      <c r="P155" s="3480">
        <v>9400</v>
      </c>
      <c r="Q155" s="3480" t="s">
        <v>3790</v>
      </c>
      <c r="R155" s="3480">
        <v>47000</v>
      </c>
      <c r="S155" s="3480">
        <v>6818</v>
      </c>
      <c r="T155" s="3480">
        <v>0</v>
      </c>
    </row>
    <row r="156" spans="1:20" ht="14.25">
      <c r="A156" s="3480" t="s">
        <v>3804</v>
      </c>
      <c r="B156" s="3480" t="s">
        <v>3454</v>
      </c>
      <c r="C156" s="3480" t="s">
        <v>3805</v>
      </c>
      <c r="D156" s="3480" t="s">
        <v>3464</v>
      </c>
      <c r="E156" s="3480">
        <v>15780</v>
      </c>
      <c r="F156" s="3480">
        <v>17358</v>
      </c>
      <c r="G156" s="3480" t="s">
        <v>3682</v>
      </c>
      <c r="H156" s="3480" t="s">
        <v>3457</v>
      </c>
      <c r="I156" s="3480" t="s">
        <v>3408</v>
      </c>
      <c r="J156" s="3480" t="s">
        <v>3427</v>
      </c>
      <c r="K156" s="3480" t="s">
        <v>3788</v>
      </c>
      <c r="L156" s="3480" t="s">
        <v>3788</v>
      </c>
      <c r="M156" s="3480" t="s">
        <v>3460</v>
      </c>
      <c r="N156" s="3480" t="s">
        <v>3789</v>
      </c>
      <c r="O156" s="3480">
        <v>12146</v>
      </c>
      <c r="P156" s="3480">
        <v>2440</v>
      </c>
      <c r="Q156" s="3480" t="s">
        <v>3790</v>
      </c>
      <c r="R156" s="3480">
        <v>12146</v>
      </c>
      <c r="S156" s="3480">
        <v>6997</v>
      </c>
      <c r="T156" s="3480">
        <v>0</v>
      </c>
    </row>
    <row r="157" spans="1:20" ht="14.25">
      <c r="A157" s="3480" t="s">
        <v>3806</v>
      </c>
      <c r="B157" s="3480" t="s">
        <v>3454</v>
      </c>
      <c r="C157" s="3480" t="s">
        <v>3807</v>
      </c>
      <c r="D157" s="3480" t="s">
        <v>3464</v>
      </c>
      <c r="E157" s="3480">
        <v>51400</v>
      </c>
      <c r="F157" s="3480">
        <v>56540</v>
      </c>
      <c r="G157" s="3480" t="s">
        <v>3682</v>
      </c>
      <c r="H157" s="3480" t="s">
        <v>3457</v>
      </c>
      <c r="I157" s="3480" t="s">
        <v>3408</v>
      </c>
      <c r="J157" s="3480" t="s">
        <v>3427</v>
      </c>
      <c r="K157" s="3480" t="s">
        <v>3788</v>
      </c>
      <c r="L157" s="3480" t="s">
        <v>3788</v>
      </c>
      <c r="M157" s="3480" t="s">
        <v>3460</v>
      </c>
      <c r="N157" s="3480" t="s">
        <v>3789</v>
      </c>
      <c r="O157" s="3480">
        <v>39550</v>
      </c>
      <c r="P157" s="3480">
        <v>8400</v>
      </c>
      <c r="Q157" s="3480" t="s">
        <v>3790</v>
      </c>
      <c r="R157" s="3480">
        <v>39550</v>
      </c>
      <c r="S157" s="3480">
        <v>6995</v>
      </c>
      <c r="T157" s="3480">
        <v>0</v>
      </c>
    </row>
    <row r="158" spans="1:20" ht="14.25">
      <c r="A158" s="3480" t="s">
        <v>3808</v>
      </c>
      <c r="B158" s="3480" t="s">
        <v>3454</v>
      </c>
      <c r="C158" s="3480" t="s">
        <v>3809</v>
      </c>
      <c r="D158" s="3480" t="s">
        <v>3464</v>
      </c>
      <c r="E158" s="3480">
        <v>29618</v>
      </c>
      <c r="F158" s="3480">
        <v>32579.8</v>
      </c>
      <c r="G158" s="3480" t="s">
        <v>3682</v>
      </c>
      <c r="H158" s="3480" t="s">
        <v>3457</v>
      </c>
      <c r="I158" s="3480" t="s">
        <v>3408</v>
      </c>
      <c r="J158" s="3480" t="s">
        <v>3427</v>
      </c>
      <c r="K158" s="3480" t="s">
        <v>3788</v>
      </c>
      <c r="L158" s="3480" t="s">
        <v>3788</v>
      </c>
      <c r="M158" s="3480" t="s">
        <v>3460</v>
      </c>
      <c r="N158" s="3480" t="s">
        <v>3803</v>
      </c>
      <c r="O158" s="3480">
        <v>22220</v>
      </c>
      <c r="P158" s="3480">
        <v>4450</v>
      </c>
      <c r="Q158" s="3480" t="s">
        <v>3790</v>
      </c>
      <c r="R158" s="3480">
        <v>25720</v>
      </c>
      <c r="S158" s="3480">
        <v>7894</v>
      </c>
      <c r="T158" s="3480">
        <v>15.75</v>
      </c>
    </row>
    <row r="159" spans="1:20" ht="14.25">
      <c r="A159" s="3480" t="s">
        <v>3810</v>
      </c>
      <c r="B159" s="3480" t="s">
        <v>3454</v>
      </c>
      <c r="C159" s="3480" t="s">
        <v>3811</v>
      </c>
      <c r="D159" s="3480" t="s">
        <v>3455</v>
      </c>
      <c r="E159" s="3480">
        <v>2035</v>
      </c>
      <c r="F159" s="3480">
        <v>5291</v>
      </c>
      <c r="G159" s="3480" t="s">
        <v>3546</v>
      </c>
      <c r="H159" s="3480" t="s">
        <v>3457</v>
      </c>
      <c r="I159" s="3480" t="s">
        <v>3407</v>
      </c>
      <c r="J159" s="3480" t="s">
        <v>3427</v>
      </c>
      <c r="K159" s="3480" t="s">
        <v>3788</v>
      </c>
      <c r="L159" s="3480" t="s">
        <v>3788</v>
      </c>
      <c r="M159" s="3480" t="s">
        <v>3460</v>
      </c>
      <c r="N159" s="3480" t="s">
        <v>3812</v>
      </c>
      <c r="O159" s="3480">
        <v>1772</v>
      </c>
      <c r="P159" s="3480">
        <v>355</v>
      </c>
      <c r="Q159" s="3480" t="s">
        <v>3790</v>
      </c>
      <c r="R159" s="3480">
        <v>1772</v>
      </c>
      <c r="S159" s="3480">
        <v>3349</v>
      </c>
      <c r="T159" s="3480">
        <v>0</v>
      </c>
    </row>
    <row r="160" spans="1:20" ht="14.25">
      <c r="A160" s="3480" t="s">
        <v>3813</v>
      </c>
      <c r="B160" s="3480" t="s">
        <v>3454</v>
      </c>
      <c r="C160" s="3480" t="s">
        <v>3814</v>
      </c>
      <c r="D160" s="3480" t="s">
        <v>3464</v>
      </c>
      <c r="E160" s="3480">
        <v>37590</v>
      </c>
      <c r="F160" s="3480">
        <v>41349</v>
      </c>
      <c r="G160" s="3480" t="s">
        <v>3682</v>
      </c>
      <c r="H160" s="3480" t="s">
        <v>3457</v>
      </c>
      <c r="I160" s="3480" t="s">
        <v>3408</v>
      </c>
      <c r="J160" s="3480" t="s">
        <v>3427</v>
      </c>
      <c r="K160" s="3480" t="s">
        <v>3788</v>
      </c>
      <c r="L160" s="3480" t="s">
        <v>3788</v>
      </c>
      <c r="M160" s="3480" t="s">
        <v>3460</v>
      </c>
      <c r="N160" s="3480" t="s">
        <v>3803</v>
      </c>
      <c r="O160" s="3480">
        <v>28200</v>
      </c>
      <c r="P160" s="3480">
        <v>5640</v>
      </c>
      <c r="Q160" s="3480" t="s">
        <v>3790</v>
      </c>
      <c r="R160" s="3480">
        <v>30700</v>
      </c>
      <c r="S160" s="3480">
        <v>7425</v>
      </c>
      <c r="T160" s="3480">
        <v>8.8699999999999992</v>
      </c>
    </row>
    <row r="161" spans="1:20" ht="14.25">
      <c r="A161" s="3480" t="s">
        <v>3815</v>
      </c>
      <c r="B161" s="3480" t="s">
        <v>3454</v>
      </c>
      <c r="C161" s="3480" t="s">
        <v>3816</v>
      </c>
      <c r="D161" s="3480" t="s">
        <v>3464</v>
      </c>
      <c r="E161" s="3480">
        <v>43237</v>
      </c>
      <c r="F161" s="3480">
        <v>47560.7</v>
      </c>
      <c r="G161" s="3480" t="s">
        <v>3682</v>
      </c>
      <c r="H161" s="3480" t="s">
        <v>3457</v>
      </c>
      <c r="I161" s="3480" t="s">
        <v>3408</v>
      </c>
      <c r="J161" s="3480" t="s">
        <v>3427</v>
      </c>
      <c r="K161" s="3480" t="s">
        <v>3788</v>
      </c>
      <c r="L161" s="3480" t="s">
        <v>3788</v>
      </c>
      <c r="M161" s="3480" t="s">
        <v>3460</v>
      </c>
      <c r="N161" s="3480" t="s">
        <v>3789</v>
      </c>
      <c r="O161" s="3480">
        <v>33274</v>
      </c>
      <c r="P161" s="3480">
        <v>6660</v>
      </c>
      <c r="Q161" s="3480" t="s">
        <v>3790</v>
      </c>
      <c r="R161" s="3480">
        <v>33274</v>
      </c>
      <c r="S161" s="3480">
        <v>6996</v>
      </c>
      <c r="T161" s="3480">
        <v>0</v>
      </c>
    </row>
    <row r="162" spans="1:20" ht="14.25">
      <c r="A162" s="3480" t="s">
        <v>3817</v>
      </c>
      <c r="B162" s="3480" t="s">
        <v>3454</v>
      </c>
      <c r="C162" s="3480" t="s">
        <v>3818</v>
      </c>
      <c r="D162" s="3480" t="s">
        <v>3464</v>
      </c>
      <c r="E162" s="3480">
        <v>18776</v>
      </c>
      <c r="F162" s="3480">
        <v>20653.599999999999</v>
      </c>
      <c r="G162" s="3480" t="s">
        <v>3682</v>
      </c>
      <c r="H162" s="3480" t="s">
        <v>3457</v>
      </c>
      <c r="I162" s="3480" t="s">
        <v>3408</v>
      </c>
      <c r="J162" s="3480" t="s">
        <v>3427</v>
      </c>
      <c r="K162" s="3480" t="s">
        <v>3788</v>
      </c>
      <c r="L162" s="3480" t="s">
        <v>3788</v>
      </c>
      <c r="M162" s="3480" t="s">
        <v>3460</v>
      </c>
      <c r="N162" s="3480" t="s">
        <v>3789</v>
      </c>
      <c r="O162" s="3480">
        <v>14450</v>
      </c>
      <c r="P162" s="3480">
        <v>2900</v>
      </c>
      <c r="Q162" s="3480" t="s">
        <v>3790</v>
      </c>
      <c r="R162" s="3480">
        <v>14450</v>
      </c>
      <c r="S162" s="3480">
        <v>6996</v>
      </c>
      <c r="T162" s="3480">
        <v>0</v>
      </c>
    </row>
    <row r="163" spans="1:20" ht="14.25">
      <c r="A163" s="3480" t="s">
        <v>3819</v>
      </c>
      <c r="B163" s="3480" t="s">
        <v>3454</v>
      </c>
      <c r="C163" s="3480" t="s">
        <v>3820</v>
      </c>
      <c r="D163" s="3480" t="s">
        <v>3464</v>
      </c>
      <c r="E163" s="3480">
        <v>45864</v>
      </c>
      <c r="F163" s="3480">
        <v>55036.800000000003</v>
      </c>
      <c r="G163" s="3480" t="s">
        <v>3773</v>
      </c>
      <c r="H163" s="3480" t="s">
        <v>3457</v>
      </c>
      <c r="I163" s="3480" t="s">
        <v>3408</v>
      </c>
      <c r="J163" s="3480" t="s">
        <v>3427</v>
      </c>
      <c r="K163" s="3480" t="s">
        <v>3788</v>
      </c>
      <c r="L163" s="3480" t="s">
        <v>3788</v>
      </c>
      <c r="M163" s="3480" t="s">
        <v>3460</v>
      </c>
      <c r="N163" s="3480" t="s">
        <v>3789</v>
      </c>
      <c r="O163" s="3480">
        <v>35209</v>
      </c>
      <c r="P163" s="3480">
        <v>7600</v>
      </c>
      <c r="Q163" s="3480" t="s">
        <v>3790</v>
      </c>
      <c r="R163" s="3480">
        <v>35209</v>
      </c>
      <c r="S163" s="3480">
        <v>6397</v>
      </c>
      <c r="T163" s="3480">
        <v>0</v>
      </c>
    </row>
    <row r="164" spans="1:20" ht="14.25">
      <c r="A164" s="3480" t="s">
        <v>3821</v>
      </c>
      <c r="B164" s="3480" t="s">
        <v>3454</v>
      </c>
      <c r="C164" s="3480" t="s">
        <v>3822</v>
      </c>
      <c r="D164" s="3480" t="s">
        <v>3464</v>
      </c>
      <c r="E164" s="3480">
        <v>52385</v>
      </c>
      <c r="F164" s="3480">
        <v>57623.5</v>
      </c>
      <c r="G164" s="3480" t="s">
        <v>3682</v>
      </c>
      <c r="H164" s="3480" t="s">
        <v>3457</v>
      </c>
      <c r="I164" s="3480" t="s">
        <v>3408</v>
      </c>
      <c r="J164" s="3480" t="s">
        <v>3427</v>
      </c>
      <c r="K164" s="3480" t="s">
        <v>3788</v>
      </c>
      <c r="L164" s="3480" t="s">
        <v>3788</v>
      </c>
      <c r="M164" s="3480" t="s">
        <v>3460</v>
      </c>
      <c r="N164" s="3480" t="s">
        <v>3789</v>
      </c>
      <c r="O164" s="3480">
        <v>40319</v>
      </c>
      <c r="P164" s="3480">
        <v>8070</v>
      </c>
      <c r="Q164" s="3480" t="s">
        <v>3790</v>
      </c>
      <c r="R164" s="3480">
        <v>40319</v>
      </c>
      <c r="S164" s="3480">
        <v>6997</v>
      </c>
      <c r="T164" s="3480">
        <v>0</v>
      </c>
    </row>
    <row r="165" spans="1:20" ht="14.25">
      <c r="A165" s="3480" t="s">
        <v>3823</v>
      </c>
      <c r="B165" s="3480" t="s">
        <v>3454</v>
      </c>
      <c r="C165" s="3480" t="s">
        <v>3824</v>
      </c>
      <c r="D165" s="3480" t="s">
        <v>3464</v>
      </c>
      <c r="E165" s="3480">
        <v>21512</v>
      </c>
      <c r="F165" s="3480">
        <v>25814.400000000001</v>
      </c>
      <c r="G165" s="3480" t="s">
        <v>3773</v>
      </c>
      <c r="H165" s="3480" t="s">
        <v>3457</v>
      </c>
      <c r="I165" s="3480" t="s">
        <v>3408</v>
      </c>
      <c r="J165" s="3480" t="s">
        <v>3427</v>
      </c>
      <c r="K165" s="3480" t="s">
        <v>3788</v>
      </c>
      <c r="L165" s="3480" t="s">
        <v>3788</v>
      </c>
      <c r="M165" s="3480" t="s">
        <v>3460</v>
      </c>
      <c r="N165" s="3480" t="s">
        <v>3789</v>
      </c>
      <c r="O165" s="3480">
        <v>16506</v>
      </c>
      <c r="P165" s="3480">
        <v>3310</v>
      </c>
      <c r="Q165" s="3480" t="s">
        <v>3790</v>
      </c>
      <c r="R165" s="3480">
        <v>16506</v>
      </c>
      <c r="S165" s="3480">
        <v>6394</v>
      </c>
      <c r="T165" s="3480">
        <v>0</v>
      </c>
    </row>
    <row r="166" spans="1:20" ht="14.25">
      <c r="A166" s="3480" t="s">
        <v>3825</v>
      </c>
      <c r="B166" s="3480" t="s">
        <v>3454</v>
      </c>
      <c r="C166" s="3480" t="s">
        <v>3826</v>
      </c>
      <c r="D166" s="3480" t="s">
        <v>3455</v>
      </c>
      <c r="E166" s="3480">
        <v>6923</v>
      </c>
      <c r="F166" s="3480">
        <v>27692</v>
      </c>
      <c r="G166" s="3480" t="s">
        <v>3827</v>
      </c>
      <c r="H166" s="3480" t="s">
        <v>3457</v>
      </c>
      <c r="I166" s="3480" t="s">
        <v>3407</v>
      </c>
      <c r="J166" s="3480" t="s">
        <v>3427</v>
      </c>
      <c r="K166" s="3480" t="s">
        <v>3828</v>
      </c>
      <c r="L166" s="3480" t="s">
        <v>3828</v>
      </c>
      <c r="M166" s="3480" t="s">
        <v>3460</v>
      </c>
      <c r="N166" s="3480" t="s">
        <v>3829</v>
      </c>
      <c r="O166" s="3480">
        <v>11215</v>
      </c>
      <c r="P166" s="3480">
        <v>2300</v>
      </c>
      <c r="Q166" s="3480" t="s">
        <v>3830</v>
      </c>
      <c r="R166" s="3480">
        <v>11215</v>
      </c>
      <c r="S166" s="3480">
        <v>4050</v>
      </c>
      <c r="T166" s="3480">
        <v>0</v>
      </c>
    </row>
    <row r="167" spans="1:20" ht="14.25">
      <c r="A167" s="3480" t="s">
        <v>3831</v>
      </c>
      <c r="B167" s="3480" t="s">
        <v>3454</v>
      </c>
      <c r="C167" s="3480" t="s">
        <v>3832</v>
      </c>
      <c r="D167" s="3480" t="s">
        <v>3455</v>
      </c>
      <c r="E167" s="3480">
        <v>30609</v>
      </c>
      <c r="F167" s="3480">
        <v>30609</v>
      </c>
      <c r="G167" s="3480" t="s">
        <v>3833</v>
      </c>
      <c r="H167" s="3480" t="s">
        <v>3457</v>
      </c>
      <c r="I167" s="3480" t="s">
        <v>3458</v>
      </c>
      <c r="J167" s="3480" t="s">
        <v>3427</v>
      </c>
      <c r="K167" s="3480" t="s">
        <v>3834</v>
      </c>
      <c r="L167" s="3480" t="s">
        <v>3834</v>
      </c>
      <c r="M167" s="3480" t="s">
        <v>3460</v>
      </c>
      <c r="N167" s="3480" t="s">
        <v>3835</v>
      </c>
      <c r="O167" s="3480">
        <v>21733</v>
      </c>
      <c r="P167" s="3480">
        <v>4350</v>
      </c>
      <c r="Q167" s="3480" t="s">
        <v>3836</v>
      </c>
      <c r="R167" s="3480">
        <v>21733</v>
      </c>
      <c r="S167" s="3480">
        <v>7100</v>
      </c>
      <c r="T167" s="3480">
        <v>0</v>
      </c>
    </row>
    <row r="168" spans="1:20" ht="14.25">
      <c r="A168" s="3480" t="s">
        <v>3837</v>
      </c>
      <c r="B168" s="3480" t="s">
        <v>3454</v>
      </c>
      <c r="C168" s="3480" t="s">
        <v>3838</v>
      </c>
      <c r="D168" s="3480" t="s">
        <v>3464</v>
      </c>
      <c r="E168" s="3480">
        <v>42325</v>
      </c>
      <c r="F168" s="3480">
        <v>76185</v>
      </c>
      <c r="G168" s="3480" t="s">
        <v>3496</v>
      </c>
      <c r="H168" s="3480" t="s">
        <v>3457</v>
      </c>
      <c r="I168" s="3480" t="s">
        <v>3408</v>
      </c>
      <c r="J168" s="3480" t="s">
        <v>3427</v>
      </c>
      <c r="K168" s="3480" t="s">
        <v>3839</v>
      </c>
      <c r="L168" s="3480" t="s">
        <v>3839</v>
      </c>
      <c r="M168" s="3480" t="s">
        <v>3460</v>
      </c>
      <c r="N168" s="3480" t="s">
        <v>3840</v>
      </c>
      <c r="O168" s="3480">
        <v>13976</v>
      </c>
      <c r="P168" s="3480">
        <v>13976</v>
      </c>
      <c r="Q168" s="3480" t="s">
        <v>3841</v>
      </c>
      <c r="R168" s="3480">
        <v>13976</v>
      </c>
      <c r="S168" s="3480">
        <v>1834</v>
      </c>
      <c r="T168" s="3480">
        <v>0</v>
      </c>
    </row>
    <row r="169" spans="1:20" ht="14.25">
      <c r="A169" s="3480" t="s">
        <v>3842</v>
      </c>
      <c r="B169" s="3480" t="s">
        <v>3454</v>
      </c>
      <c r="C169" s="3480" t="s">
        <v>3843</v>
      </c>
      <c r="D169" s="3480" t="s">
        <v>3455</v>
      </c>
      <c r="E169" s="3480">
        <v>9772</v>
      </c>
      <c r="F169" s="3480">
        <v>14658</v>
      </c>
      <c r="G169" s="3480" t="s">
        <v>3505</v>
      </c>
      <c r="H169" s="3480" t="s">
        <v>3457</v>
      </c>
      <c r="I169" s="3480" t="s">
        <v>3458</v>
      </c>
      <c r="J169" s="3480" t="s">
        <v>3427</v>
      </c>
      <c r="K169" s="3480" t="s">
        <v>3839</v>
      </c>
      <c r="L169" s="3480" t="s">
        <v>3839</v>
      </c>
      <c r="M169" s="3480" t="s">
        <v>3460</v>
      </c>
      <c r="N169" s="3480" t="s">
        <v>3844</v>
      </c>
      <c r="O169" s="3480">
        <v>1979</v>
      </c>
      <c r="P169" s="3480">
        <v>1979</v>
      </c>
      <c r="Q169" s="3480" t="s">
        <v>3841</v>
      </c>
      <c r="R169" s="3480">
        <v>1999</v>
      </c>
      <c r="S169" s="3480">
        <v>1364</v>
      </c>
      <c r="T169" s="3480">
        <v>1.01</v>
      </c>
    </row>
    <row r="170" spans="1:20" ht="14.25">
      <c r="A170" s="3480" t="s">
        <v>3845</v>
      </c>
      <c r="B170" s="3480" t="s">
        <v>3454</v>
      </c>
      <c r="C170" s="3480" t="s">
        <v>3845</v>
      </c>
      <c r="D170" s="3480" t="s">
        <v>3464</v>
      </c>
      <c r="E170" s="3480">
        <v>103684</v>
      </c>
      <c r="F170" s="3480">
        <v>165894.39999999999</v>
      </c>
      <c r="G170" s="3480" t="s">
        <v>3846</v>
      </c>
      <c r="H170" s="3480" t="s">
        <v>3457</v>
      </c>
      <c r="I170" s="3480" t="s">
        <v>3408</v>
      </c>
      <c r="J170" s="3480" t="s">
        <v>3427</v>
      </c>
      <c r="K170" s="3480" t="s">
        <v>3839</v>
      </c>
      <c r="L170" s="3480" t="s">
        <v>3839</v>
      </c>
      <c r="M170" s="3480" t="s">
        <v>3460</v>
      </c>
      <c r="N170" s="3480" t="s">
        <v>3847</v>
      </c>
      <c r="O170" s="3480">
        <v>23330</v>
      </c>
      <c r="P170" s="3480">
        <v>11665</v>
      </c>
      <c r="Q170" s="3480" t="s">
        <v>3848</v>
      </c>
      <c r="R170" s="3480">
        <v>23330</v>
      </c>
      <c r="S170" s="3480">
        <v>1406</v>
      </c>
      <c r="T170" s="3480">
        <v>0</v>
      </c>
    </row>
    <row r="171" spans="1:20" ht="14.25">
      <c r="A171" s="3480" t="s">
        <v>3849</v>
      </c>
      <c r="B171" s="3480" t="s">
        <v>3454</v>
      </c>
      <c r="C171" s="3480" t="s">
        <v>3849</v>
      </c>
      <c r="D171" s="3480" t="s">
        <v>3455</v>
      </c>
      <c r="E171" s="3480">
        <v>9759</v>
      </c>
      <c r="F171" s="3480">
        <v>19518</v>
      </c>
      <c r="G171" s="3480" t="s">
        <v>3850</v>
      </c>
      <c r="H171" s="3480" t="s">
        <v>3457</v>
      </c>
      <c r="I171" s="3480" t="s">
        <v>3407</v>
      </c>
      <c r="J171" s="3480" t="s">
        <v>3427</v>
      </c>
      <c r="K171" s="3480" t="s">
        <v>3839</v>
      </c>
      <c r="L171" s="3480" t="s">
        <v>3839</v>
      </c>
      <c r="M171" s="3480" t="s">
        <v>3460</v>
      </c>
      <c r="N171" s="3480" t="s">
        <v>3851</v>
      </c>
      <c r="O171" s="3480">
        <v>1947</v>
      </c>
      <c r="P171" s="3480">
        <v>1947</v>
      </c>
      <c r="Q171" s="3480" t="s">
        <v>3848</v>
      </c>
      <c r="R171" s="3480">
        <v>1947</v>
      </c>
      <c r="S171" s="3480">
        <v>998</v>
      </c>
      <c r="T171" s="3480">
        <v>0</v>
      </c>
    </row>
    <row r="172" spans="1:20" ht="14.25">
      <c r="A172" s="3480" t="s">
        <v>3852</v>
      </c>
      <c r="B172" s="3480" t="s">
        <v>3454</v>
      </c>
      <c r="C172" s="3480" t="s">
        <v>3853</v>
      </c>
      <c r="D172" s="3480" t="s">
        <v>3464</v>
      </c>
      <c r="E172" s="3480">
        <v>50083</v>
      </c>
      <c r="F172" s="3480">
        <v>80132.800000000003</v>
      </c>
      <c r="G172" s="3480" t="s">
        <v>3854</v>
      </c>
      <c r="H172" s="3480" t="s">
        <v>3457</v>
      </c>
      <c r="I172" s="3480" t="s">
        <v>3408</v>
      </c>
      <c r="J172" s="3480" t="s">
        <v>3427</v>
      </c>
      <c r="K172" s="3480" t="s">
        <v>3839</v>
      </c>
      <c r="L172" s="3480" t="s">
        <v>3839</v>
      </c>
      <c r="M172" s="3480" t="s">
        <v>3460</v>
      </c>
      <c r="N172" s="3480" t="s">
        <v>3855</v>
      </c>
      <c r="O172" s="3480">
        <v>17054</v>
      </c>
      <c r="P172" s="3480">
        <v>17054</v>
      </c>
      <c r="Q172" s="3480" t="s">
        <v>3841</v>
      </c>
      <c r="R172" s="3480">
        <v>17054</v>
      </c>
      <c r="S172" s="3480">
        <v>2128</v>
      </c>
      <c r="T172" s="3480">
        <v>0</v>
      </c>
    </row>
    <row r="173" spans="1:20" ht="14.25">
      <c r="A173" s="3480" t="s">
        <v>3856</v>
      </c>
      <c r="B173" s="3480" t="s">
        <v>3454</v>
      </c>
      <c r="C173" s="3480" t="s">
        <v>3857</v>
      </c>
      <c r="D173" s="3480" t="s">
        <v>3464</v>
      </c>
      <c r="E173" s="3480">
        <v>40986</v>
      </c>
      <c r="F173" s="3480">
        <v>73774.8</v>
      </c>
      <c r="G173" s="3480" t="s">
        <v>3496</v>
      </c>
      <c r="H173" s="3480" t="s">
        <v>3457</v>
      </c>
      <c r="I173" s="3480" t="s">
        <v>3408</v>
      </c>
      <c r="J173" s="3480" t="s">
        <v>3427</v>
      </c>
      <c r="K173" s="3480" t="s">
        <v>3839</v>
      </c>
      <c r="L173" s="3480" t="s">
        <v>3839</v>
      </c>
      <c r="M173" s="3480" t="s">
        <v>3460</v>
      </c>
      <c r="N173" s="3480" t="s">
        <v>3858</v>
      </c>
      <c r="O173" s="3480">
        <v>13534</v>
      </c>
      <c r="P173" s="3480">
        <v>13534</v>
      </c>
      <c r="Q173" s="3480" t="s">
        <v>3841</v>
      </c>
      <c r="R173" s="3480">
        <v>13534</v>
      </c>
      <c r="S173" s="3480">
        <v>1835</v>
      </c>
      <c r="T173" s="3480">
        <v>0</v>
      </c>
    </row>
    <row r="174" spans="1:20" ht="14.25">
      <c r="A174" s="3480" t="s">
        <v>3859</v>
      </c>
      <c r="B174" s="3480" t="s">
        <v>3454</v>
      </c>
      <c r="C174" s="3480" t="s">
        <v>3860</v>
      </c>
      <c r="D174" s="3480" t="s">
        <v>3455</v>
      </c>
      <c r="E174" s="3480">
        <v>8004</v>
      </c>
      <c r="F174" s="3480">
        <v>16008</v>
      </c>
      <c r="G174" s="3480" t="s">
        <v>3456</v>
      </c>
      <c r="H174" s="3480" t="s">
        <v>3457</v>
      </c>
      <c r="I174" s="3480" t="s">
        <v>3458</v>
      </c>
      <c r="J174" s="3480" t="s">
        <v>3427</v>
      </c>
      <c r="K174" s="3480" t="s">
        <v>3839</v>
      </c>
      <c r="L174" s="3480" t="s">
        <v>3839</v>
      </c>
      <c r="M174" s="3480" t="s">
        <v>3460</v>
      </c>
      <c r="N174" s="3480" t="s">
        <v>3861</v>
      </c>
      <c r="O174" s="3480">
        <v>1363</v>
      </c>
      <c r="P174" s="3480">
        <v>1363</v>
      </c>
      <c r="Q174" s="3480" t="s">
        <v>3841</v>
      </c>
      <c r="R174" s="3480">
        <v>1363</v>
      </c>
      <c r="S174" s="3480">
        <v>851</v>
      </c>
      <c r="T174" s="3480">
        <v>0</v>
      </c>
    </row>
    <row r="175" spans="1:20" ht="14.25">
      <c r="A175" s="3480" t="s">
        <v>3862</v>
      </c>
      <c r="B175" s="3480" t="s">
        <v>3454</v>
      </c>
      <c r="C175" s="3480" t="s">
        <v>3863</v>
      </c>
      <c r="D175" s="3480" t="s">
        <v>3455</v>
      </c>
      <c r="E175" s="3480">
        <v>2605.8000000000002</v>
      </c>
      <c r="F175" s="3480">
        <v>3908.7</v>
      </c>
      <c r="G175" s="3480" t="s">
        <v>3505</v>
      </c>
      <c r="H175" s="3480" t="s">
        <v>3457</v>
      </c>
      <c r="I175" s="3480" t="s">
        <v>3407</v>
      </c>
      <c r="J175" s="3480" t="s">
        <v>3427</v>
      </c>
      <c r="K175" s="3480" t="s">
        <v>3864</v>
      </c>
      <c r="L175" s="3480" t="s">
        <v>3864</v>
      </c>
      <c r="M175" s="3480" t="s">
        <v>3460</v>
      </c>
      <c r="N175" s="3480" t="s">
        <v>3865</v>
      </c>
      <c r="O175" s="3480">
        <v>509</v>
      </c>
      <c r="P175" s="3480">
        <v>509</v>
      </c>
      <c r="Q175" s="3480" t="s">
        <v>3866</v>
      </c>
      <c r="R175" s="3480">
        <v>509</v>
      </c>
      <c r="S175" s="3480">
        <v>1302</v>
      </c>
      <c r="T175" s="3480">
        <v>0</v>
      </c>
    </row>
    <row r="176" spans="1:20" ht="14.25">
      <c r="A176" s="3480" t="s">
        <v>3867</v>
      </c>
      <c r="B176" s="3480" t="s">
        <v>3454</v>
      </c>
      <c r="C176" s="3480" t="s">
        <v>3868</v>
      </c>
      <c r="D176" s="3480" t="s">
        <v>3464</v>
      </c>
      <c r="E176" s="3480">
        <v>3824</v>
      </c>
      <c r="F176" s="3480">
        <v>7648</v>
      </c>
      <c r="G176" s="3480" t="s">
        <v>3728</v>
      </c>
      <c r="H176" s="3480" t="s">
        <v>3457</v>
      </c>
      <c r="I176" s="3480" t="s">
        <v>3408</v>
      </c>
      <c r="J176" s="3480" t="s">
        <v>3427</v>
      </c>
      <c r="K176" s="3480" t="s">
        <v>3864</v>
      </c>
      <c r="L176" s="3480" t="s">
        <v>3864</v>
      </c>
      <c r="M176" s="3480" t="s">
        <v>3460</v>
      </c>
      <c r="N176" s="3480" t="s">
        <v>3869</v>
      </c>
      <c r="O176" s="3480">
        <v>1276</v>
      </c>
      <c r="P176" s="3480">
        <v>1276</v>
      </c>
      <c r="Q176" s="3480" t="s">
        <v>3866</v>
      </c>
      <c r="R176" s="3480">
        <v>1276</v>
      </c>
      <c r="S176" s="3480">
        <v>1668</v>
      </c>
      <c r="T176" s="3480">
        <v>0</v>
      </c>
    </row>
    <row r="177" spans="1:20" ht="14.25">
      <c r="A177" s="3480" t="s">
        <v>3870</v>
      </c>
      <c r="B177" s="3480" t="s">
        <v>3454</v>
      </c>
      <c r="C177" s="3480" t="s">
        <v>3871</v>
      </c>
      <c r="D177" s="3480" t="s">
        <v>3464</v>
      </c>
      <c r="E177" s="3480">
        <v>25867</v>
      </c>
      <c r="F177" s="3480">
        <v>72427.600000000006</v>
      </c>
      <c r="G177" s="3480" t="s">
        <v>3872</v>
      </c>
      <c r="H177" s="3480" t="s">
        <v>3457</v>
      </c>
      <c r="I177" s="3480" t="s">
        <v>3408</v>
      </c>
      <c r="J177" s="3480" t="s">
        <v>3427</v>
      </c>
      <c r="K177" s="3480" t="s">
        <v>3873</v>
      </c>
      <c r="L177" s="3480" t="s">
        <v>3873</v>
      </c>
      <c r="M177" s="3480" t="s">
        <v>3460</v>
      </c>
      <c r="N177" s="3480" t="s">
        <v>3874</v>
      </c>
      <c r="O177" s="3480">
        <v>39738</v>
      </c>
      <c r="P177" s="3480">
        <v>7948</v>
      </c>
      <c r="Q177" s="3480" t="s">
        <v>3875</v>
      </c>
      <c r="R177" s="3480">
        <v>39738</v>
      </c>
      <c r="S177" s="3480">
        <v>5487</v>
      </c>
      <c r="T177" s="3480">
        <v>0</v>
      </c>
    </row>
    <row r="178" spans="1:20" ht="14.25">
      <c r="A178" s="3480" t="s">
        <v>3876</v>
      </c>
      <c r="B178" s="3480" t="s">
        <v>3454</v>
      </c>
      <c r="C178" s="3480" t="s">
        <v>3877</v>
      </c>
      <c r="D178" s="3480" t="s">
        <v>3455</v>
      </c>
      <c r="E178" s="3480">
        <v>14603</v>
      </c>
      <c r="F178" s="3480">
        <v>11682.4</v>
      </c>
      <c r="G178" s="3480" t="s">
        <v>3878</v>
      </c>
      <c r="H178" s="3480" t="s">
        <v>3457</v>
      </c>
      <c r="I178" s="3480" t="s">
        <v>3458</v>
      </c>
      <c r="J178" s="3480" t="s">
        <v>3427</v>
      </c>
      <c r="K178" s="3480" t="s">
        <v>3873</v>
      </c>
      <c r="L178" s="3480" t="s">
        <v>3873</v>
      </c>
      <c r="M178" s="3480" t="s">
        <v>3460</v>
      </c>
      <c r="N178" s="3480" t="s">
        <v>3879</v>
      </c>
      <c r="O178" s="3480">
        <v>3950</v>
      </c>
      <c r="P178" s="3480">
        <v>790</v>
      </c>
      <c r="Q178" s="3480" t="s">
        <v>3875</v>
      </c>
      <c r="R178" s="3480">
        <v>3950</v>
      </c>
      <c r="S178" s="3480">
        <v>3381</v>
      </c>
      <c r="T178" s="3480">
        <v>0</v>
      </c>
    </row>
    <row r="179" spans="1:20" ht="14.25">
      <c r="A179" s="3480" t="s">
        <v>3880</v>
      </c>
      <c r="B179" s="3480" t="s">
        <v>3454</v>
      </c>
      <c r="C179" s="3480" t="s">
        <v>3880</v>
      </c>
      <c r="D179" s="3480" t="s">
        <v>3455</v>
      </c>
      <c r="E179" s="3480">
        <v>35148</v>
      </c>
      <c r="F179" s="3480">
        <v>70296</v>
      </c>
      <c r="G179" s="3480" t="s">
        <v>3456</v>
      </c>
      <c r="H179" s="3480" t="s">
        <v>3457</v>
      </c>
      <c r="I179" s="3480" t="s">
        <v>3458</v>
      </c>
      <c r="J179" s="3480" t="s">
        <v>3427</v>
      </c>
      <c r="K179" s="3480" t="s">
        <v>3873</v>
      </c>
      <c r="L179" s="3480" t="s">
        <v>3873</v>
      </c>
      <c r="M179" s="3480" t="s">
        <v>3460</v>
      </c>
      <c r="N179" s="3480" t="s">
        <v>3591</v>
      </c>
      <c r="O179" s="3480">
        <v>10545</v>
      </c>
      <c r="P179" s="3480">
        <v>3200</v>
      </c>
      <c r="Q179" s="3480" t="s">
        <v>3875</v>
      </c>
      <c r="R179" s="3480">
        <v>10545</v>
      </c>
      <c r="S179" s="3480">
        <v>1500</v>
      </c>
      <c r="T179" s="3480">
        <v>0</v>
      </c>
    </row>
    <row r="180" spans="1:20" ht="14.25">
      <c r="A180" s="3480" t="s">
        <v>3881</v>
      </c>
      <c r="B180" s="3480" t="s">
        <v>3454</v>
      </c>
      <c r="C180" s="3480" t="s">
        <v>3882</v>
      </c>
      <c r="D180" s="3480" t="s">
        <v>3455</v>
      </c>
      <c r="E180" s="3480">
        <v>29047</v>
      </c>
      <c r="F180" s="3480">
        <v>23237.599999999999</v>
      </c>
      <c r="G180" s="3480" t="s">
        <v>3878</v>
      </c>
      <c r="H180" s="3480" t="s">
        <v>3457</v>
      </c>
      <c r="I180" s="3480" t="s">
        <v>3458</v>
      </c>
      <c r="J180" s="3480" t="s">
        <v>3427</v>
      </c>
      <c r="K180" s="3480" t="s">
        <v>3873</v>
      </c>
      <c r="L180" s="3480" t="s">
        <v>3873</v>
      </c>
      <c r="M180" s="3480" t="s">
        <v>3460</v>
      </c>
      <c r="N180" s="3480" t="s">
        <v>3879</v>
      </c>
      <c r="O180" s="3480">
        <v>7850</v>
      </c>
      <c r="P180" s="3480">
        <v>1570</v>
      </c>
      <c r="Q180" s="3480" t="s">
        <v>3875</v>
      </c>
      <c r="R180" s="3480">
        <v>7850</v>
      </c>
      <c r="S180" s="3480">
        <v>3378</v>
      </c>
      <c r="T180" s="3480">
        <v>0</v>
      </c>
    </row>
    <row r="181" spans="1:20" ht="14.25">
      <c r="A181" s="3480" t="s">
        <v>3883</v>
      </c>
      <c r="B181" s="3480" t="s">
        <v>3454</v>
      </c>
      <c r="C181" s="3480" t="s">
        <v>3884</v>
      </c>
      <c r="D181" s="3480" t="s">
        <v>3464</v>
      </c>
      <c r="E181" s="3480">
        <v>26420</v>
      </c>
      <c r="F181" s="3480">
        <v>73976</v>
      </c>
      <c r="G181" s="3480" t="s">
        <v>3872</v>
      </c>
      <c r="H181" s="3480" t="s">
        <v>3457</v>
      </c>
      <c r="I181" s="3480" t="s">
        <v>3408</v>
      </c>
      <c r="J181" s="3480" t="s">
        <v>3427</v>
      </c>
      <c r="K181" s="3480" t="s">
        <v>3873</v>
      </c>
      <c r="L181" s="3480" t="s">
        <v>3873</v>
      </c>
      <c r="M181" s="3480" t="s">
        <v>3460</v>
      </c>
      <c r="N181" s="3480" t="s">
        <v>3885</v>
      </c>
      <c r="O181" s="3480">
        <v>40587</v>
      </c>
      <c r="P181" s="3480">
        <v>8118</v>
      </c>
      <c r="Q181" s="3480" t="s">
        <v>3875</v>
      </c>
      <c r="R181" s="3480">
        <v>40587</v>
      </c>
      <c r="S181" s="3480">
        <v>5487</v>
      </c>
      <c r="T181" s="3480">
        <v>0</v>
      </c>
    </row>
    <row r="182" spans="1:20" ht="14.25">
      <c r="A182" s="3480" t="s">
        <v>3886</v>
      </c>
      <c r="B182" s="3480" t="s">
        <v>3454</v>
      </c>
      <c r="C182" s="3480" t="s">
        <v>3886</v>
      </c>
      <c r="D182" s="3480" t="s">
        <v>3455</v>
      </c>
      <c r="E182" s="3480">
        <v>35148</v>
      </c>
      <c r="F182" s="3480">
        <v>70296</v>
      </c>
      <c r="G182" s="3480" t="s">
        <v>3456</v>
      </c>
      <c r="H182" s="3480" t="s">
        <v>3457</v>
      </c>
      <c r="I182" s="3480" t="s">
        <v>3458</v>
      </c>
      <c r="J182" s="3480" t="s">
        <v>3427</v>
      </c>
      <c r="K182" s="3480" t="s">
        <v>3873</v>
      </c>
      <c r="L182" s="3480" t="s">
        <v>3873</v>
      </c>
      <c r="M182" s="3480" t="s">
        <v>3460</v>
      </c>
      <c r="N182" s="3480" t="s">
        <v>3591</v>
      </c>
      <c r="O182" s="3480">
        <v>10545</v>
      </c>
      <c r="P182" s="3480">
        <v>3200</v>
      </c>
      <c r="Q182" s="3480" t="s">
        <v>3875</v>
      </c>
      <c r="R182" s="3480">
        <v>10545</v>
      </c>
      <c r="S182" s="3480">
        <v>1500</v>
      </c>
      <c r="T182" s="3480">
        <v>0</v>
      </c>
    </row>
    <row r="183" spans="1:20" ht="14.25">
      <c r="A183" s="3480" t="s">
        <v>3887</v>
      </c>
      <c r="B183" s="3480" t="s">
        <v>3454</v>
      </c>
      <c r="C183" s="3480" t="s">
        <v>3888</v>
      </c>
      <c r="D183" s="3480" t="s">
        <v>3455</v>
      </c>
      <c r="E183" s="3480">
        <v>6079</v>
      </c>
      <c r="F183" s="3480">
        <v>3647.4</v>
      </c>
      <c r="G183" s="3480" t="s">
        <v>3889</v>
      </c>
      <c r="H183" s="3480" t="s">
        <v>3457</v>
      </c>
      <c r="I183" s="3480" t="s">
        <v>3458</v>
      </c>
      <c r="J183" s="3480" t="s">
        <v>3427</v>
      </c>
      <c r="K183" s="3480" t="s">
        <v>3873</v>
      </c>
      <c r="L183" s="3480" t="s">
        <v>3873</v>
      </c>
      <c r="M183" s="3480" t="s">
        <v>3460</v>
      </c>
      <c r="N183" s="3480" t="s">
        <v>3879</v>
      </c>
      <c r="O183" s="3480">
        <v>1140</v>
      </c>
      <c r="P183" s="3480">
        <v>230</v>
      </c>
      <c r="Q183" s="3480" t="s">
        <v>3875</v>
      </c>
      <c r="R183" s="3480">
        <v>1140</v>
      </c>
      <c r="S183" s="3480">
        <v>3126</v>
      </c>
      <c r="T183" s="3480">
        <v>0</v>
      </c>
    </row>
    <row r="184" spans="1:20" ht="14.25">
      <c r="A184" s="3480" t="s">
        <v>3890</v>
      </c>
      <c r="B184" s="3480" t="s">
        <v>3454</v>
      </c>
      <c r="C184" s="3480" t="s">
        <v>3891</v>
      </c>
      <c r="D184" s="3480" t="s">
        <v>3455</v>
      </c>
      <c r="E184" s="3480">
        <v>13260</v>
      </c>
      <c r="F184" s="3480">
        <v>10608</v>
      </c>
      <c r="G184" s="3480" t="s">
        <v>3878</v>
      </c>
      <c r="H184" s="3480" t="s">
        <v>3457</v>
      </c>
      <c r="I184" s="3480" t="s">
        <v>3458</v>
      </c>
      <c r="J184" s="3480" t="s">
        <v>3427</v>
      </c>
      <c r="K184" s="3480" t="s">
        <v>3873</v>
      </c>
      <c r="L184" s="3480" t="s">
        <v>3873</v>
      </c>
      <c r="M184" s="3480" t="s">
        <v>3460</v>
      </c>
      <c r="N184" s="3480" t="s">
        <v>3879</v>
      </c>
      <c r="O184" s="3480">
        <v>3590</v>
      </c>
      <c r="P184" s="3480">
        <v>720</v>
      </c>
      <c r="Q184" s="3480" t="s">
        <v>3875</v>
      </c>
      <c r="R184" s="3480">
        <v>3590</v>
      </c>
      <c r="S184" s="3480">
        <v>3384</v>
      </c>
      <c r="T184" s="3480">
        <v>0</v>
      </c>
    </row>
    <row r="185" spans="1:20" ht="14.25">
      <c r="A185" s="3480" t="s">
        <v>3892</v>
      </c>
      <c r="B185" s="3480" t="s">
        <v>3454</v>
      </c>
      <c r="C185" s="3480" t="s">
        <v>3893</v>
      </c>
      <c r="D185" s="3480" t="s">
        <v>3464</v>
      </c>
      <c r="E185" s="3480">
        <v>5247</v>
      </c>
      <c r="F185" s="3480">
        <v>14166.9</v>
      </c>
      <c r="G185" s="3480" t="s">
        <v>3894</v>
      </c>
      <c r="H185" s="3480" t="s">
        <v>3457</v>
      </c>
      <c r="I185" s="3480" t="s">
        <v>3408</v>
      </c>
      <c r="J185" s="3480" t="s">
        <v>3427</v>
      </c>
      <c r="K185" s="3480" t="s">
        <v>3873</v>
      </c>
      <c r="L185" s="3480" t="s">
        <v>3873</v>
      </c>
      <c r="M185" s="3480" t="s">
        <v>3460</v>
      </c>
      <c r="N185" s="3480" t="s">
        <v>3550</v>
      </c>
      <c r="O185" s="3480">
        <v>21251</v>
      </c>
      <c r="P185" s="3480">
        <v>4251</v>
      </c>
      <c r="Q185" s="3480" t="s">
        <v>3875</v>
      </c>
      <c r="R185" s="3480">
        <v>21251</v>
      </c>
      <c r="S185" s="3480">
        <v>15000</v>
      </c>
      <c r="T185" s="3480">
        <v>0</v>
      </c>
    </row>
    <row r="186" spans="1:20" ht="14.25">
      <c r="A186" s="3480" t="s">
        <v>3895</v>
      </c>
      <c r="B186" s="3480" t="s">
        <v>3454</v>
      </c>
      <c r="C186" s="3480" t="s">
        <v>3896</v>
      </c>
      <c r="D186" s="3480" t="s">
        <v>3464</v>
      </c>
      <c r="E186" s="3480">
        <v>29203</v>
      </c>
      <c r="F186" s="3480">
        <v>81768.399999999994</v>
      </c>
      <c r="G186" s="3480" t="s">
        <v>3872</v>
      </c>
      <c r="H186" s="3480" t="s">
        <v>3457</v>
      </c>
      <c r="I186" s="3480" t="s">
        <v>3408</v>
      </c>
      <c r="J186" s="3480" t="s">
        <v>3427</v>
      </c>
      <c r="K186" s="3480" t="s">
        <v>3873</v>
      </c>
      <c r="L186" s="3480" t="s">
        <v>3873</v>
      </c>
      <c r="M186" s="3480" t="s">
        <v>3460</v>
      </c>
      <c r="N186" s="3480" t="s">
        <v>3874</v>
      </c>
      <c r="O186" s="3480">
        <v>44991</v>
      </c>
      <c r="P186" s="3480">
        <v>8999</v>
      </c>
      <c r="Q186" s="3480" t="s">
        <v>3875</v>
      </c>
      <c r="R186" s="3480">
        <v>44991</v>
      </c>
      <c r="S186" s="3480">
        <v>5502</v>
      </c>
      <c r="T186" s="3480">
        <v>0</v>
      </c>
    </row>
    <row r="187" spans="1:20" ht="14.25">
      <c r="A187" s="3480" t="s">
        <v>3897</v>
      </c>
      <c r="B187" s="3480" t="s">
        <v>3454</v>
      </c>
      <c r="C187" s="3480" t="s">
        <v>3898</v>
      </c>
      <c r="D187" s="3480" t="s">
        <v>3455</v>
      </c>
      <c r="E187" s="3480">
        <v>56031</v>
      </c>
      <c r="F187" s="3480">
        <v>212917.8</v>
      </c>
      <c r="G187" s="3480" t="s">
        <v>3899</v>
      </c>
      <c r="H187" s="3480" t="s">
        <v>3457</v>
      </c>
      <c r="I187" s="3480" t="s">
        <v>3458</v>
      </c>
      <c r="J187" s="3480" t="s">
        <v>3427</v>
      </c>
      <c r="K187" s="3480" t="s">
        <v>3900</v>
      </c>
      <c r="L187" s="3480" t="s">
        <v>3900</v>
      </c>
      <c r="M187" s="3480" t="s">
        <v>3460</v>
      </c>
      <c r="N187" s="3480" t="s">
        <v>3901</v>
      </c>
      <c r="O187" s="3480">
        <v>31940</v>
      </c>
      <c r="P187" s="3480">
        <v>6390</v>
      </c>
      <c r="Q187" s="3480" t="s">
        <v>3902</v>
      </c>
      <c r="R187" s="3480">
        <v>31940</v>
      </c>
      <c r="S187" s="3480">
        <v>1500</v>
      </c>
      <c r="T187" s="3480">
        <v>0</v>
      </c>
    </row>
    <row r="188" spans="1:20" ht="14.25">
      <c r="A188" s="3480" t="s">
        <v>3903</v>
      </c>
      <c r="B188" s="3480" t="s">
        <v>3454</v>
      </c>
      <c r="C188" s="3480" t="s">
        <v>3904</v>
      </c>
      <c r="D188" s="3480" t="s">
        <v>3629</v>
      </c>
      <c r="E188" s="3480">
        <v>884</v>
      </c>
      <c r="F188" s="3480">
        <v>839.8</v>
      </c>
      <c r="G188" s="3480" t="s">
        <v>3654</v>
      </c>
      <c r="H188" s="3480" t="s">
        <v>3457</v>
      </c>
      <c r="I188" s="3480" t="s">
        <v>3905</v>
      </c>
      <c r="J188" s="3480" t="s">
        <v>3427</v>
      </c>
      <c r="K188" s="3480" t="s">
        <v>3873</v>
      </c>
      <c r="L188" s="3480" t="s">
        <v>3873</v>
      </c>
      <c r="M188" s="3480" t="s">
        <v>3460</v>
      </c>
      <c r="N188" s="3480" t="s">
        <v>3622</v>
      </c>
      <c r="O188" s="3480">
        <v>951</v>
      </c>
      <c r="P188" s="3480">
        <v>191</v>
      </c>
      <c r="Q188" s="3480" t="s">
        <v>3875</v>
      </c>
      <c r="R188" s="3480">
        <v>951</v>
      </c>
      <c r="S188" s="3480">
        <v>11324</v>
      </c>
      <c r="T188" s="3480">
        <v>0</v>
      </c>
    </row>
    <row r="189" spans="1:20" ht="14.25">
      <c r="A189" s="3480" t="s">
        <v>3906</v>
      </c>
      <c r="B189" s="3480" t="s">
        <v>3454</v>
      </c>
      <c r="C189" s="3480" t="s">
        <v>3907</v>
      </c>
      <c r="D189" s="3480" t="s">
        <v>3464</v>
      </c>
      <c r="E189" s="3480">
        <v>23093</v>
      </c>
      <c r="F189" s="3480">
        <v>64660.4</v>
      </c>
      <c r="G189" s="3480" t="s">
        <v>3872</v>
      </c>
      <c r="H189" s="3480" t="s">
        <v>3457</v>
      </c>
      <c r="I189" s="3480" t="s">
        <v>3408</v>
      </c>
      <c r="J189" s="3480" t="s">
        <v>3427</v>
      </c>
      <c r="K189" s="3480" t="s">
        <v>3873</v>
      </c>
      <c r="L189" s="3480" t="s">
        <v>3873</v>
      </c>
      <c r="M189" s="3480" t="s">
        <v>3460</v>
      </c>
      <c r="N189" s="3480" t="s">
        <v>3874</v>
      </c>
      <c r="O189" s="3480">
        <v>35578</v>
      </c>
      <c r="P189" s="3480">
        <v>7116</v>
      </c>
      <c r="Q189" s="3480" t="s">
        <v>3875</v>
      </c>
      <c r="R189" s="3480">
        <v>35578</v>
      </c>
      <c r="S189" s="3480">
        <v>5502</v>
      </c>
      <c r="T189" s="3480">
        <v>0</v>
      </c>
    </row>
    <row r="190" spans="1:20" ht="14.25">
      <c r="A190" s="3480" t="s">
        <v>3908</v>
      </c>
      <c r="B190" s="3480" t="s">
        <v>3454</v>
      </c>
      <c r="C190" s="3480" t="s">
        <v>3908</v>
      </c>
      <c r="D190" s="3480" t="s">
        <v>3464</v>
      </c>
      <c r="E190" s="3480">
        <v>3605</v>
      </c>
      <c r="F190" s="3480">
        <v>7065.8</v>
      </c>
      <c r="G190" s="3480" t="s">
        <v>3909</v>
      </c>
      <c r="H190" s="3480" t="s">
        <v>3457</v>
      </c>
      <c r="I190" s="3480" t="s">
        <v>3408</v>
      </c>
      <c r="J190" s="3480" t="s">
        <v>3427</v>
      </c>
      <c r="K190" s="3480" t="s">
        <v>3910</v>
      </c>
      <c r="L190" s="3480" t="s">
        <v>3910</v>
      </c>
      <c r="M190" s="3480" t="s">
        <v>3460</v>
      </c>
      <c r="N190" s="3480" t="s">
        <v>3911</v>
      </c>
      <c r="O190" s="3480">
        <v>1060</v>
      </c>
      <c r="P190" s="3480">
        <v>220</v>
      </c>
      <c r="Q190" s="3480" t="s">
        <v>3912</v>
      </c>
      <c r="R190" s="3480">
        <v>1060</v>
      </c>
      <c r="S190" s="3480">
        <v>1500</v>
      </c>
      <c r="T190" s="3480">
        <v>0</v>
      </c>
    </row>
    <row r="191" spans="1:20" ht="14.25">
      <c r="A191" s="3480" t="s">
        <v>3913</v>
      </c>
      <c r="B191" s="3480" t="s">
        <v>3454</v>
      </c>
      <c r="C191" s="3480" t="s">
        <v>3913</v>
      </c>
      <c r="D191" s="3480" t="s">
        <v>3464</v>
      </c>
      <c r="E191" s="3480">
        <v>8006</v>
      </c>
      <c r="F191" s="3480">
        <v>15691.76</v>
      </c>
      <c r="G191" s="3480" t="s">
        <v>3914</v>
      </c>
      <c r="H191" s="3480" t="s">
        <v>3457</v>
      </c>
      <c r="I191" s="3480" t="s">
        <v>3408</v>
      </c>
      <c r="J191" s="3480" t="s">
        <v>3427</v>
      </c>
      <c r="K191" s="3480" t="s">
        <v>3910</v>
      </c>
      <c r="L191" s="3480" t="s">
        <v>3910</v>
      </c>
      <c r="M191" s="3480" t="s">
        <v>3460</v>
      </c>
      <c r="N191" s="3480" t="s">
        <v>3911</v>
      </c>
      <c r="O191" s="3480">
        <v>2350</v>
      </c>
      <c r="P191" s="3480">
        <v>470</v>
      </c>
      <c r="Q191" s="3480" t="s">
        <v>3912</v>
      </c>
      <c r="R191" s="3480">
        <v>2350</v>
      </c>
      <c r="S191" s="3480">
        <v>1498</v>
      </c>
      <c r="T191" s="3480">
        <v>0</v>
      </c>
    </row>
    <row r="192" spans="1:20" ht="14.25">
      <c r="A192" s="3480" t="s">
        <v>3915</v>
      </c>
      <c r="B192" s="3480" t="s">
        <v>3454</v>
      </c>
      <c r="C192" s="3480" t="s">
        <v>3916</v>
      </c>
      <c r="D192" s="3480" t="s">
        <v>3455</v>
      </c>
      <c r="E192" s="3480">
        <v>21476</v>
      </c>
      <c r="F192" s="3480">
        <v>51542.400000000001</v>
      </c>
      <c r="G192" s="3480" t="s">
        <v>3701</v>
      </c>
      <c r="H192" s="3480" t="s">
        <v>3457</v>
      </c>
      <c r="I192" s="3480" t="s">
        <v>3458</v>
      </c>
      <c r="J192" s="3480" t="s">
        <v>3427</v>
      </c>
      <c r="K192" s="3480" t="s">
        <v>3917</v>
      </c>
      <c r="L192" s="3480" t="s">
        <v>3917</v>
      </c>
      <c r="M192" s="3480" t="s">
        <v>3460</v>
      </c>
      <c r="N192" s="3480" t="s">
        <v>3918</v>
      </c>
      <c r="O192" s="3480">
        <v>6622</v>
      </c>
      <c r="P192" s="3480">
        <v>1325</v>
      </c>
      <c r="Q192" s="3480" t="s">
        <v>3919</v>
      </c>
      <c r="R192" s="3480">
        <v>6622</v>
      </c>
      <c r="S192" s="3480">
        <v>1285</v>
      </c>
      <c r="T192" s="3480">
        <v>0</v>
      </c>
    </row>
    <row r="193" spans="1:20" ht="14.25">
      <c r="A193" s="3480" t="s">
        <v>3920</v>
      </c>
      <c r="B193" s="3480" t="s">
        <v>3454</v>
      </c>
      <c r="C193" s="3480" t="s">
        <v>3921</v>
      </c>
      <c r="D193" s="3480" t="s">
        <v>3464</v>
      </c>
      <c r="E193" s="3480">
        <v>83404</v>
      </c>
      <c r="F193" s="3480">
        <v>100084.8</v>
      </c>
      <c r="G193" s="3480" t="s">
        <v>3773</v>
      </c>
      <c r="H193" s="3480" t="s">
        <v>3457</v>
      </c>
      <c r="I193" s="3480" t="s">
        <v>3408</v>
      </c>
      <c r="J193" s="3480" t="s">
        <v>3427</v>
      </c>
      <c r="K193" s="3480" t="s">
        <v>3917</v>
      </c>
      <c r="L193" s="3480" t="s">
        <v>3917</v>
      </c>
      <c r="M193" s="3480" t="s">
        <v>3460</v>
      </c>
      <c r="N193" s="3480" t="s">
        <v>3922</v>
      </c>
      <c r="O193" s="3480">
        <v>62553</v>
      </c>
      <c r="P193" s="3480">
        <v>13132</v>
      </c>
      <c r="Q193" s="3480" t="s">
        <v>3919</v>
      </c>
      <c r="R193" s="3480">
        <v>62553</v>
      </c>
      <c r="S193" s="3480">
        <v>6250</v>
      </c>
      <c r="T193" s="3480">
        <v>0</v>
      </c>
    </row>
    <row r="194" spans="1:20" ht="14.25">
      <c r="A194" s="3480" t="s">
        <v>3923</v>
      </c>
      <c r="B194" s="3480" t="s">
        <v>3454</v>
      </c>
      <c r="C194" s="3480" t="s">
        <v>3924</v>
      </c>
      <c r="D194" s="3480" t="s">
        <v>3455</v>
      </c>
      <c r="E194" s="3480">
        <v>22071</v>
      </c>
      <c r="F194" s="3480">
        <v>77248.5</v>
      </c>
      <c r="G194" s="3480" t="s">
        <v>3925</v>
      </c>
      <c r="H194" s="3480" t="s">
        <v>3457</v>
      </c>
      <c r="I194" s="3480" t="s">
        <v>3458</v>
      </c>
      <c r="J194" s="3480" t="s">
        <v>3427</v>
      </c>
      <c r="K194" s="3480" t="s">
        <v>3926</v>
      </c>
      <c r="L194" s="3480" t="s">
        <v>3926</v>
      </c>
      <c r="M194" s="3480" t="s">
        <v>3460</v>
      </c>
      <c r="N194" s="3480" t="s">
        <v>3927</v>
      </c>
      <c r="O194" s="3480">
        <v>32445</v>
      </c>
      <c r="P194" s="3480">
        <v>6489</v>
      </c>
      <c r="Q194" s="3480" t="s">
        <v>3928</v>
      </c>
      <c r="R194" s="3480">
        <v>32445</v>
      </c>
      <c r="S194" s="3480">
        <v>4200</v>
      </c>
      <c r="T194" s="3480">
        <v>0</v>
      </c>
    </row>
    <row r="195" spans="1:20" ht="14.25">
      <c r="A195" s="3480" t="s">
        <v>3929</v>
      </c>
      <c r="B195" s="3480" t="s">
        <v>3454</v>
      </c>
      <c r="C195" s="3480" t="s">
        <v>3930</v>
      </c>
      <c r="D195" s="3480" t="s">
        <v>3455</v>
      </c>
      <c r="E195" s="3480">
        <v>2477</v>
      </c>
      <c r="F195" s="3480">
        <v>2229.3000000000002</v>
      </c>
      <c r="G195" s="3480" t="s">
        <v>3662</v>
      </c>
      <c r="H195" s="3480" t="s">
        <v>3457</v>
      </c>
      <c r="I195" s="3480" t="s">
        <v>3458</v>
      </c>
      <c r="J195" s="3480" t="s">
        <v>3427</v>
      </c>
      <c r="K195" s="3480" t="s">
        <v>3926</v>
      </c>
      <c r="L195" s="3480" t="s">
        <v>3926</v>
      </c>
      <c r="M195" s="3480" t="s">
        <v>3460</v>
      </c>
      <c r="N195" s="3480" t="s">
        <v>3626</v>
      </c>
      <c r="O195" s="3480">
        <v>1989</v>
      </c>
      <c r="P195" s="3480">
        <v>400</v>
      </c>
      <c r="Q195" s="3480" t="s">
        <v>3928</v>
      </c>
      <c r="R195" s="3480">
        <v>1989</v>
      </c>
      <c r="S195" s="3480">
        <v>8922</v>
      </c>
      <c r="T195" s="3480">
        <v>0</v>
      </c>
    </row>
    <row r="196" spans="1:20" ht="14.25">
      <c r="A196" s="3480" t="s">
        <v>3931</v>
      </c>
      <c r="B196" s="3480" t="s">
        <v>3454</v>
      </c>
      <c r="C196" s="3480" t="s">
        <v>3932</v>
      </c>
      <c r="D196" s="3480" t="s">
        <v>3455</v>
      </c>
      <c r="E196" s="3480">
        <v>37864</v>
      </c>
      <c r="F196" s="3480">
        <v>151456</v>
      </c>
      <c r="G196" s="3480" t="s">
        <v>3933</v>
      </c>
      <c r="H196" s="3480" t="s">
        <v>3457</v>
      </c>
      <c r="I196" s="3480" t="s">
        <v>3458</v>
      </c>
      <c r="J196" s="3480" t="s">
        <v>3427</v>
      </c>
      <c r="K196" s="3480" t="s">
        <v>3926</v>
      </c>
      <c r="L196" s="3480" t="s">
        <v>3926</v>
      </c>
      <c r="M196" s="3480" t="s">
        <v>3460</v>
      </c>
      <c r="N196" s="3480" t="s">
        <v>3934</v>
      </c>
      <c r="O196" s="3480">
        <v>37971</v>
      </c>
      <c r="P196" s="3480">
        <v>7600</v>
      </c>
      <c r="Q196" s="3480" t="s">
        <v>3928</v>
      </c>
      <c r="R196" s="3480">
        <v>37971</v>
      </c>
      <c r="S196" s="3480">
        <v>2507</v>
      </c>
      <c r="T196" s="3480">
        <v>0</v>
      </c>
    </row>
    <row r="197" spans="1:20" ht="14.25">
      <c r="A197" s="3480" t="s">
        <v>3935</v>
      </c>
      <c r="B197" s="3480" t="s">
        <v>3454</v>
      </c>
      <c r="C197" s="3480" t="s">
        <v>3935</v>
      </c>
      <c r="D197" s="3480" t="s">
        <v>3455</v>
      </c>
      <c r="E197" s="3480">
        <v>5986</v>
      </c>
      <c r="F197" s="3480">
        <v>10774.8</v>
      </c>
      <c r="G197" s="3480" t="s">
        <v>3496</v>
      </c>
      <c r="H197" s="3480" t="s">
        <v>3457</v>
      </c>
      <c r="I197" s="3480" t="s">
        <v>3458</v>
      </c>
      <c r="J197" s="3480" t="s">
        <v>3427</v>
      </c>
      <c r="K197" s="3480" t="s">
        <v>3936</v>
      </c>
      <c r="L197" s="3480" t="s">
        <v>3936</v>
      </c>
      <c r="M197" s="3480" t="s">
        <v>3460</v>
      </c>
      <c r="N197" s="3480" t="s">
        <v>3937</v>
      </c>
      <c r="O197" s="3480">
        <v>1211</v>
      </c>
      <c r="P197" s="3480">
        <v>610</v>
      </c>
      <c r="Q197" s="3480" t="s">
        <v>3938</v>
      </c>
      <c r="R197" s="3480">
        <v>1211</v>
      </c>
      <c r="S197" s="3480">
        <v>1124</v>
      </c>
      <c r="T197" s="3480">
        <v>0</v>
      </c>
    </row>
    <row r="198" spans="1:20" ht="14.25">
      <c r="A198" s="3480" t="s">
        <v>3939</v>
      </c>
      <c r="B198" s="3480" t="s">
        <v>3454</v>
      </c>
      <c r="C198" s="3480" t="s">
        <v>3939</v>
      </c>
      <c r="D198" s="3480" t="s">
        <v>3455</v>
      </c>
      <c r="E198" s="3480">
        <v>3790</v>
      </c>
      <c r="F198" s="3480">
        <v>5685</v>
      </c>
      <c r="G198" s="3480" t="s">
        <v>3579</v>
      </c>
      <c r="H198" s="3480" t="s">
        <v>3457</v>
      </c>
      <c r="I198" s="3480" t="s">
        <v>3458</v>
      </c>
      <c r="J198" s="3480" t="s">
        <v>3427</v>
      </c>
      <c r="K198" s="3480" t="s">
        <v>3936</v>
      </c>
      <c r="L198" s="3480" t="s">
        <v>3936</v>
      </c>
      <c r="M198" s="3480" t="s">
        <v>3460</v>
      </c>
      <c r="N198" s="3480" t="s">
        <v>3940</v>
      </c>
      <c r="O198" s="3480">
        <v>413</v>
      </c>
      <c r="P198" s="3480">
        <v>210</v>
      </c>
      <c r="Q198" s="3480" t="s">
        <v>3938</v>
      </c>
      <c r="R198" s="3480">
        <v>413</v>
      </c>
      <c r="S198" s="3480">
        <v>726</v>
      </c>
      <c r="T198" s="3480">
        <v>0</v>
      </c>
    </row>
    <row r="199" spans="1:20" ht="14.25">
      <c r="A199" s="3480" t="s">
        <v>3941</v>
      </c>
      <c r="B199" s="3480" t="s">
        <v>3454</v>
      </c>
      <c r="C199" s="3480" t="s">
        <v>3942</v>
      </c>
      <c r="D199" s="3480" t="s">
        <v>3455</v>
      </c>
      <c r="E199" s="3480">
        <v>16077</v>
      </c>
      <c r="F199" s="3480">
        <v>80385</v>
      </c>
      <c r="G199" s="3480" t="s">
        <v>3527</v>
      </c>
      <c r="H199" s="3480" t="s">
        <v>3457</v>
      </c>
      <c r="I199" s="3480" t="s">
        <v>3458</v>
      </c>
      <c r="J199" s="3480" t="s">
        <v>3427</v>
      </c>
      <c r="K199" s="3480" t="s">
        <v>3943</v>
      </c>
      <c r="L199" s="3480" t="s">
        <v>3943</v>
      </c>
      <c r="M199" s="3480" t="s">
        <v>3460</v>
      </c>
      <c r="N199" s="3480" t="s">
        <v>3528</v>
      </c>
      <c r="O199" s="3480">
        <v>9342</v>
      </c>
      <c r="P199" s="3480">
        <v>1869</v>
      </c>
      <c r="Q199" s="3480" t="s">
        <v>3944</v>
      </c>
      <c r="R199" s="3480">
        <v>9342</v>
      </c>
      <c r="S199" s="3480">
        <v>1162</v>
      </c>
      <c r="T199" s="3480">
        <v>0</v>
      </c>
    </row>
    <row r="200" spans="1:20" ht="14.25">
      <c r="A200" s="3480" t="s">
        <v>3945</v>
      </c>
      <c r="B200" s="3480" t="s">
        <v>3454</v>
      </c>
      <c r="C200" s="3480" t="s">
        <v>3946</v>
      </c>
      <c r="D200" s="3480" t="s">
        <v>3455</v>
      </c>
      <c r="E200" s="3480">
        <v>10941</v>
      </c>
      <c r="F200" s="3480">
        <v>49234.5</v>
      </c>
      <c r="G200" s="3480" t="s">
        <v>3947</v>
      </c>
      <c r="H200" s="3480" t="s">
        <v>3457</v>
      </c>
      <c r="I200" s="3480" t="s">
        <v>3407</v>
      </c>
      <c r="J200" s="3480" t="s">
        <v>3427</v>
      </c>
      <c r="K200" s="3480" t="s">
        <v>3943</v>
      </c>
      <c r="L200" s="3480" t="s">
        <v>3943</v>
      </c>
      <c r="M200" s="3480" t="s">
        <v>3460</v>
      </c>
      <c r="N200" s="3480" t="s">
        <v>3948</v>
      </c>
      <c r="O200" s="3480">
        <v>19836</v>
      </c>
      <c r="P200" s="3480">
        <v>3968</v>
      </c>
      <c r="Q200" s="3480" t="s">
        <v>3944</v>
      </c>
      <c r="R200" s="3480">
        <v>19836</v>
      </c>
      <c r="S200" s="3480">
        <v>4029</v>
      </c>
      <c r="T200" s="3480">
        <v>0</v>
      </c>
    </row>
    <row r="201" spans="1:20" ht="14.25">
      <c r="A201" s="3480" t="s">
        <v>3949</v>
      </c>
      <c r="B201" s="3480" t="s">
        <v>3454</v>
      </c>
      <c r="C201" s="3480" t="s">
        <v>3950</v>
      </c>
      <c r="D201" s="3480" t="s">
        <v>3455</v>
      </c>
      <c r="E201" s="3480">
        <v>5176</v>
      </c>
      <c r="F201" s="3480">
        <v>9316.7999999999993</v>
      </c>
      <c r="G201" s="3480" t="s">
        <v>3496</v>
      </c>
      <c r="H201" s="3480" t="s">
        <v>3457</v>
      </c>
      <c r="I201" s="3480" t="s">
        <v>3407</v>
      </c>
      <c r="J201" s="3480" t="s">
        <v>3427</v>
      </c>
      <c r="K201" s="3480" t="s">
        <v>3943</v>
      </c>
      <c r="L201" s="3480" t="s">
        <v>3943</v>
      </c>
      <c r="M201" s="3480" t="s">
        <v>3460</v>
      </c>
      <c r="N201" s="3480" t="s">
        <v>3951</v>
      </c>
      <c r="O201" s="3480">
        <v>1431</v>
      </c>
      <c r="P201" s="3480">
        <v>290</v>
      </c>
      <c r="Q201" s="3480" t="s">
        <v>3944</v>
      </c>
      <c r="R201" s="3480">
        <v>1431</v>
      </c>
      <c r="S201" s="3480">
        <v>1536</v>
      </c>
      <c r="T201" s="3480">
        <v>0</v>
      </c>
    </row>
    <row r="202" spans="1:20" ht="14.25">
      <c r="A202" s="3480" t="s">
        <v>3952</v>
      </c>
      <c r="B202" s="3480" t="s">
        <v>3454</v>
      </c>
      <c r="C202" s="3480" t="s">
        <v>3953</v>
      </c>
      <c r="D202" s="3480" t="s">
        <v>3455</v>
      </c>
      <c r="E202" s="3480">
        <v>7173</v>
      </c>
      <c r="F202" s="3480">
        <v>32278.5</v>
      </c>
      <c r="G202" s="3480" t="s">
        <v>3954</v>
      </c>
      <c r="H202" s="3480" t="s">
        <v>3457</v>
      </c>
      <c r="I202" s="3480" t="s">
        <v>3458</v>
      </c>
      <c r="J202" s="3480" t="s">
        <v>3427</v>
      </c>
      <c r="K202" s="3480" t="s">
        <v>3943</v>
      </c>
      <c r="L202" s="3480" t="s">
        <v>3943</v>
      </c>
      <c r="M202" s="3480" t="s">
        <v>3460</v>
      </c>
      <c r="N202" s="3480" t="s">
        <v>3528</v>
      </c>
      <c r="O202" s="3480">
        <v>5268</v>
      </c>
      <c r="P202" s="3480">
        <v>1054</v>
      </c>
      <c r="Q202" s="3480" t="s">
        <v>3944</v>
      </c>
      <c r="R202" s="3480">
        <v>5268</v>
      </c>
      <c r="S202" s="3480">
        <v>1632</v>
      </c>
      <c r="T202" s="3480">
        <v>0</v>
      </c>
    </row>
    <row r="203" spans="1:20" ht="14.25">
      <c r="A203" s="3480" t="s">
        <v>3955</v>
      </c>
      <c r="B203" s="3480" t="s">
        <v>3454</v>
      </c>
      <c r="C203" s="3480" t="s">
        <v>3956</v>
      </c>
      <c r="D203" s="3480" t="s">
        <v>3455</v>
      </c>
      <c r="E203" s="3480">
        <v>82771</v>
      </c>
      <c r="F203" s="3480" t="s">
        <v>3427</v>
      </c>
      <c r="G203" s="3480" t="s">
        <v>3594</v>
      </c>
      <c r="H203" s="3480" t="s">
        <v>3457</v>
      </c>
      <c r="I203" s="3480" t="s">
        <v>3458</v>
      </c>
      <c r="J203" s="3480" t="s">
        <v>3427</v>
      </c>
      <c r="K203" s="3480" t="s">
        <v>3943</v>
      </c>
      <c r="L203" s="3480" t="s">
        <v>3943</v>
      </c>
      <c r="M203" s="3480" t="s">
        <v>3460</v>
      </c>
      <c r="N203" s="3480" t="s">
        <v>3957</v>
      </c>
      <c r="O203" s="3480">
        <v>24956</v>
      </c>
      <c r="P203" s="3480">
        <v>5000</v>
      </c>
      <c r="Q203" s="3480" t="s">
        <v>3944</v>
      </c>
      <c r="R203" s="3480">
        <v>24956</v>
      </c>
      <c r="S203" s="3480" t="s">
        <v>3427</v>
      </c>
      <c r="T203" s="3480">
        <v>0</v>
      </c>
    </row>
    <row r="204" spans="1:20" s="3183" customFormat="1" ht="14.25">
      <c r="A204" s="3481" t="s">
        <v>3958</v>
      </c>
      <c r="B204" s="3481" t="s">
        <v>3454</v>
      </c>
      <c r="C204" s="3481" t="s">
        <v>3959</v>
      </c>
      <c r="D204" s="3481" t="s">
        <v>3464</v>
      </c>
      <c r="E204" s="3481">
        <v>15468</v>
      </c>
      <c r="F204" s="3481">
        <v>34029.599999999999</v>
      </c>
      <c r="G204" s="3481" t="s">
        <v>3531</v>
      </c>
      <c r="H204" s="3481" t="s">
        <v>3457</v>
      </c>
      <c r="I204" s="3481" t="s">
        <v>3408</v>
      </c>
      <c r="J204" s="3481" t="s">
        <v>3427</v>
      </c>
      <c r="K204" s="3481" t="s">
        <v>3960</v>
      </c>
      <c r="L204" s="3481" t="s">
        <v>3960</v>
      </c>
      <c r="M204" s="3481" t="s">
        <v>3460</v>
      </c>
      <c r="N204" s="3481" t="s">
        <v>3961</v>
      </c>
      <c r="O204" s="3481">
        <v>11791</v>
      </c>
      <c r="P204" s="3481">
        <v>2359</v>
      </c>
      <c r="Q204" s="3481" t="s">
        <v>3962</v>
      </c>
      <c r="R204" s="3481">
        <v>11791</v>
      </c>
      <c r="S204" s="3481">
        <v>3465</v>
      </c>
      <c r="T204" s="3481">
        <v>0</v>
      </c>
    </row>
    <row r="205" spans="1:20" ht="14.25">
      <c r="A205" s="3480" t="s">
        <v>3963</v>
      </c>
      <c r="B205" s="3480" t="s">
        <v>3454</v>
      </c>
      <c r="C205" s="3480" t="s">
        <v>3964</v>
      </c>
      <c r="D205" s="3480" t="s">
        <v>3455</v>
      </c>
      <c r="E205" s="3480">
        <v>14184</v>
      </c>
      <c r="F205" s="3480">
        <v>28368</v>
      </c>
      <c r="G205" s="3480" t="s">
        <v>3456</v>
      </c>
      <c r="H205" s="3480" t="s">
        <v>3457</v>
      </c>
      <c r="I205" s="3480" t="s">
        <v>3407</v>
      </c>
      <c r="J205" s="3480" t="s">
        <v>3427</v>
      </c>
      <c r="K205" s="3480" t="s">
        <v>3965</v>
      </c>
      <c r="L205" s="3480" t="s">
        <v>3965</v>
      </c>
      <c r="M205" s="3480" t="s">
        <v>3460</v>
      </c>
      <c r="N205" s="3480" t="s">
        <v>3966</v>
      </c>
      <c r="O205" s="3480">
        <v>5982</v>
      </c>
      <c r="P205" s="3480">
        <v>1200</v>
      </c>
      <c r="Q205" s="3480" t="s">
        <v>3967</v>
      </c>
      <c r="R205" s="3480">
        <v>5982</v>
      </c>
      <c r="S205" s="3480">
        <v>2109</v>
      </c>
      <c r="T205" s="3480">
        <v>0</v>
      </c>
    </row>
    <row r="206" spans="1:20" ht="14.25">
      <c r="A206" s="3480" t="s">
        <v>3968</v>
      </c>
      <c r="B206" s="3480" t="s">
        <v>3454</v>
      </c>
      <c r="C206" s="3480" t="s">
        <v>3969</v>
      </c>
      <c r="D206" s="3480" t="s">
        <v>3464</v>
      </c>
      <c r="E206" s="3480">
        <v>24559</v>
      </c>
      <c r="F206" s="3480">
        <v>61397.5</v>
      </c>
      <c r="G206" s="3480" t="s">
        <v>3511</v>
      </c>
      <c r="H206" s="3480" t="s">
        <v>3457</v>
      </c>
      <c r="I206" s="3480" t="s">
        <v>3408</v>
      </c>
      <c r="J206" s="3480" t="s">
        <v>3427</v>
      </c>
      <c r="K206" s="3480" t="s">
        <v>3965</v>
      </c>
      <c r="L206" s="3480" t="s">
        <v>3965</v>
      </c>
      <c r="M206" s="3480" t="s">
        <v>3460</v>
      </c>
      <c r="N206" s="3480" t="s">
        <v>3966</v>
      </c>
      <c r="O206" s="3480">
        <v>33766</v>
      </c>
      <c r="P206" s="3480">
        <v>7330</v>
      </c>
      <c r="Q206" s="3480" t="s">
        <v>3967</v>
      </c>
      <c r="R206" s="3480">
        <v>33766</v>
      </c>
      <c r="S206" s="3480">
        <v>5500</v>
      </c>
      <c r="T206" s="3480">
        <v>0</v>
      </c>
    </row>
    <row r="207" spans="1:20" ht="14.25">
      <c r="A207" s="3480" t="s">
        <v>3970</v>
      </c>
      <c r="B207" s="3480" t="s">
        <v>3454</v>
      </c>
      <c r="C207" s="3480" t="s">
        <v>3971</v>
      </c>
      <c r="D207" s="3480" t="s">
        <v>3455</v>
      </c>
      <c r="E207" s="3480">
        <v>2922.1</v>
      </c>
      <c r="F207" s="3480">
        <v>438.32</v>
      </c>
      <c r="G207" s="3480" t="s">
        <v>3972</v>
      </c>
      <c r="H207" s="3480" t="s">
        <v>3457</v>
      </c>
      <c r="I207" s="3480" t="s">
        <v>3973</v>
      </c>
      <c r="J207" s="3480" t="s">
        <v>3427</v>
      </c>
      <c r="K207" s="3480" t="s">
        <v>3965</v>
      </c>
      <c r="L207" s="3480" t="s">
        <v>3965</v>
      </c>
      <c r="M207" s="3480" t="s">
        <v>3460</v>
      </c>
      <c r="N207" s="3480" t="s">
        <v>3596</v>
      </c>
      <c r="O207" s="3480">
        <v>13588</v>
      </c>
      <c r="P207" s="3480">
        <v>7000</v>
      </c>
      <c r="Q207" s="3480" t="s">
        <v>3967</v>
      </c>
      <c r="R207" s="3480">
        <v>13588</v>
      </c>
      <c r="S207" s="3480">
        <v>310002</v>
      </c>
      <c r="T207" s="3480">
        <v>0</v>
      </c>
    </row>
    <row r="208" spans="1:20" ht="14.25">
      <c r="A208" s="3480" t="s">
        <v>3974</v>
      </c>
      <c r="B208" s="3480" t="s">
        <v>3454</v>
      </c>
      <c r="C208" s="3480" t="s">
        <v>3975</v>
      </c>
      <c r="D208" s="3480" t="s">
        <v>3455</v>
      </c>
      <c r="E208" s="3480">
        <v>12144</v>
      </c>
      <c r="F208" s="3480">
        <v>48576</v>
      </c>
      <c r="G208" s="3480" t="s">
        <v>3976</v>
      </c>
      <c r="H208" s="3480" t="s">
        <v>3457</v>
      </c>
      <c r="I208" s="3480" t="s">
        <v>3407</v>
      </c>
      <c r="J208" s="3480" t="s">
        <v>3427</v>
      </c>
      <c r="K208" s="3480" t="s">
        <v>3965</v>
      </c>
      <c r="L208" s="3480" t="s">
        <v>3965</v>
      </c>
      <c r="M208" s="3480" t="s">
        <v>3460</v>
      </c>
      <c r="N208" s="3480" t="s">
        <v>3948</v>
      </c>
      <c r="O208" s="3480">
        <v>22089</v>
      </c>
      <c r="P208" s="3480">
        <v>9131</v>
      </c>
      <c r="Q208" s="3480" t="s">
        <v>3967</v>
      </c>
      <c r="R208" s="3480">
        <v>22089</v>
      </c>
      <c r="S208" s="3480">
        <v>4547</v>
      </c>
      <c r="T208" s="3480">
        <v>0</v>
      </c>
    </row>
    <row r="209" spans="1:20" ht="14.25">
      <c r="A209" s="3480" t="s">
        <v>3977</v>
      </c>
      <c r="B209" s="3480" t="s">
        <v>3454</v>
      </c>
      <c r="C209" s="3480" t="s">
        <v>3978</v>
      </c>
      <c r="D209" s="3480" t="s">
        <v>3455</v>
      </c>
      <c r="E209" s="3480">
        <v>20254</v>
      </c>
      <c r="F209" s="3480">
        <v>44558.8</v>
      </c>
      <c r="G209" s="3480" t="s">
        <v>3979</v>
      </c>
      <c r="H209" s="3480" t="s">
        <v>3457</v>
      </c>
      <c r="I209" s="3480" t="s">
        <v>3407</v>
      </c>
      <c r="J209" s="3480" t="s">
        <v>3427</v>
      </c>
      <c r="K209" s="3480" t="s">
        <v>3965</v>
      </c>
      <c r="L209" s="3480" t="s">
        <v>3965</v>
      </c>
      <c r="M209" s="3480" t="s">
        <v>3460</v>
      </c>
      <c r="N209" s="3480" t="s">
        <v>3948</v>
      </c>
      <c r="O209" s="3480">
        <v>23561</v>
      </c>
      <c r="P209" s="3480">
        <v>9131</v>
      </c>
      <c r="Q209" s="3480" t="s">
        <v>3967</v>
      </c>
      <c r="R209" s="3480">
        <v>23561</v>
      </c>
      <c r="S209" s="3480">
        <v>5288</v>
      </c>
      <c r="T209" s="3480">
        <v>0</v>
      </c>
    </row>
    <row r="210" spans="1:20" ht="14.25">
      <c r="A210" s="3480" t="s">
        <v>3980</v>
      </c>
      <c r="B210" s="3480" t="s">
        <v>3454</v>
      </c>
      <c r="C210" s="3480" t="s">
        <v>3981</v>
      </c>
      <c r="D210" s="3480" t="s">
        <v>3455</v>
      </c>
      <c r="E210" s="3480">
        <v>23402</v>
      </c>
      <c r="F210" s="3480">
        <v>117010</v>
      </c>
      <c r="G210" s="3480" t="s">
        <v>3982</v>
      </c>
      <c r="H210" s="3480" t="s">
        <v>3457</v>
      </c>
      <c r="I210" s="3480" t="s">
        <v>3407</v>
      </c>
      <c r="J210" s="3480" t="s">
        <v>3427</v>
      </c>
      <c r="K210" s="3480" t="s">
        <v>3965</v>
      </c>
      <c r="L210" s="3480" t="s">
        <v>3965</v>
      </c>
      <c r="M210" s="3480" t="s">
        <v>3460</v>
      </c>
      <c r="N210" s="3480" t="s">
        <v>3966</v>
      </c>
      <c r="O210" s="3480">
        <v>17691</v>
      </c>
      <c r="P210" s="3480">
        <v>3540</v>
      </c>
      <c r="Q210" s="3480" t="s">
        <v>3967</v>
      </c>
      <c r="R210" s="3480">
        <v>17691</v>
      </c>
      <c r="S210" s="3480">
        <v>1512</v>
      </c>
      <c r="T210" s="3480">
        <v>0</v>
      </c>
    </row>
    <row r="211" spans="1:20" ht="14.25">
      <c r="A211" s="3480" t="s">
        <v>3983</v>
      </c>
      <c r="B211" s="3480" t="s">
        <v>3454</v>
      </c>
      <c r="C211" s="3480" t="s">
        <v>3984</v>
      </c>
      <c r="D211" s="3480" t="s">
        <v>3455</v>
      </c>
      <c r="E211" s="3480">
        <v>26050</v>
      </c>
      <c r="F211" s="3480">
        <v>130250</v>
      </c>
      <c r="G211" s="3480" t="s">
        <v>3982</v>
      </c>
      <c r="H211" s="3480" t="s">
        <v>3457</v>
      </c>
      <c r="I211" s="3480" t="s">
        <v>3407</v>
      </c>
      <c r="J211" s="3480" t="s">
        <v>3427</v>
      </c>
      <c r="K211" s="3480" t="s">
        <v>3965</v>
      </c>
      <c r="L211" s="3480" t="s">
        <v>3965</v>
      </c>
      <c r="M211" s="3480" t="s">
        <v>3460</v>
      </c>
      <c r="N211" s="3480" t="s">
        <v>3966</v>
      </c>
      <c r="O211" s="3480">
        <v>19718</v>
      </c>
      <c r="P211" s="3480">
        <v>3950</v>
      </c>
      <c r="Q211" s="3480" t="s">
        <v>3967</v>
      </c>
      <c r="R211" s="3480">
        <v>19718</v>
      </c>
      <c r="S211" s="3480">
        <v>1514</v>
      </c>
      <c r="T211" s="3480">
        <v>0</v>
      </c>
    </row>
    <row r="212" spans="1:20" ht="14.25">
      <c r="A212" s="3480" t="s">
        <v>3985</v>
      </c>
      <c r="B212" s="3480" t="s">
        <v>3454</v>
      </c>
      <c r="C212" s="3480" t="s">
        <v>3986</v>
      </c>
      <c r="D212" s="3480" t="s">
        <v>3464</v>
      </c>
      <c r="E212" s="3480">
        <v>26083</v>
      </c>
      <c r="F212" s="3480">
        <v>70424.100000000006</v>
      </c>
      <c r="G212" s="3480" t="s">
        <v>3894</v>
      </c>
      <c r="H212" s="3480" t="s">
        <v>3457</v>
      </c>
      <c r="I212" s="3480" t="s">
        <v>3408</v>
      </c>
      <c r="J212" s="3480" t="s">
        <v>3427</v>
      </c>
      <c r="K212" s="3480" t="s">
        <v>3965</v>
      </c>
      <c r="L212" s="3480" t="s">
        <v>3965</v>
      </c>
      <c r="M212" s="3480" t="s">
        <v>3460</v>
      </c>
      <c r="N212" s="3480" t="s">
        <v>3966</v>
      </c>
      <c r="O212" s="3480">
        <v>37030</v>
      </c>
      <c r="P212" s="3480">
        <v>7410</v>
      </c>
      <c r="Q212" s="3480" t="s">
        <v>3967</v>
      </c>
      <c r="R212" s="3480">
        <v>37030</v>
      </c>
      <c r="S212" s="3480">
        <v>5258</v>
      </c>
      <c r="T212" s="3480">
        <v>0</v>
      </c>
    </row>
    <row r="213" spans="1:20" ht="14.25">
      <c r="A213" s="3480" t="s">
        <v>3987</v>
      </c>
      <c r="B213" s="3480" t="s">
        <v>3454</v>
      </c>
      <c r="C213" s="3480" t="s">
        <v>3988</v>
      </c>
      <c r="D213" s="3480" t="s">
        <v>3455</v>
      </c>
      <c r="E213" s="3480">
        <v>19384</v>
      </c>
      <c r="F213" s="3480">
        <v>87228</v>
      </c>
      <c r="G213" s="3480" t="s">
        <v>3954</v>
      </c>
      <c r="H213" s="3480" t="s">
        <v>3457</v>
      </c>
      <c r="I213" s="3480" t="s">
        <v>3407</v>
      </c>
      <c r="J213" s="3480" t="s">
        <v>3427</v>
      </c>
      <c r="K213" s="3480" t="s">
        <v>3965</v>
      </c>
      <c r="L213" s="3480" t="s">
        <v>3965</v>
      </c>
      <c r="M213" s="3480" t="s">
        <v>3460</v>
      </c>
      <c r="N213" s="3480" t="s">
        <v>3966</v>
      </c>
      <c r="O213" s="3480">
        <v>12510</v>
      </c>
      <c r="P213" s="3480">
        <v>2510</v>
      </c>
      <c r="Q213" s="3480" t="s">
        <v>3967</v>
      </c>
      <c r="R213" s="3480">
        <v>12510</v>
      </c>
      <c r="S213" s="3480">
        <v>1434</v>
      </c>
      <c r="T213" s="3480">
        <v>0</v>
      </c>
    </row>
    <row r="214" spans="1:20" ht="14.25">
      <c r="A214" s="3480" t="s">
        <v>3989</v>
      </c>
      <c r="B214" s="3480" t="s">
        <v>3454</v>
      </c>
      <c r="C214" s="3480" t="s">
        <v>3990</v>
      </c>
      <c r="D214" s="3480" t="s">
        <v>3464</v>
      </c>
      <c r="E214" s="3480">
        <v>26967</v>
      </c>
      <c r="F214" s="3480">
        <v>56630.7</v>
      </c>
      <c r="G214" s="3480" t="s">
        <v>3991</v>
      </c>
      <c r="H214" s="3480" t="s">
        <v>3457</v>
      </c>
      <c r="I214" s="3480" t="s">
        <v>3408</v>
      </c>
      <c r="J214" s="3480" t="s">
        <v>3427</v>
      </c>
      <c r="K214" s="3480" t="s">
        <v>3965</v>
      </c>
      <c r="L214" s="3480" t="s">
        <v>3965</v>
      </c>
      <c r="M214" s="3480" t="s">
        <v>3460</v>
      </c>
      <c r="N214" s="3480" t="s">
        <v>3966</v>
      </c>
      <c r="O214" s="3480">
        <v>35406</v>
      </c>
      <c r="P214" s="3480">
        <v>7720</v>
      </c>
      <c r="Q214" s="3480" t="s">
        <v>3967</v>
      </c>
      <c r="R214" s="3480">
        <v>35406</v>
      </c>
      <c r="S214" s="3480">
        <v>6252</v>
      </c>
      <c r="T214" s="3480">
        <v>0</v>
      </c>
    </row>
    <row r="215" spans="1:20" ht="14.25">
      <c r="A215" s="3480" t="s">
        <v>3992</v>
      </c>
      <c r="B215" s="3480" t="s">
        <v>3454</v>
      </c>
      <c r="C215" s="3480" t="s">
        <v>3993</v>
      </c>
      <c r="D215" s="3480" t="s">
        <v>3464</v>
      </c>
      <c r="E215" s="3480">
        <v>23584</v>
      </c>
      <c r="F215" s="3480">
        <v>56601.599999999999</v>
      </c>
      <c r="G215" s="3480" t="s">
        <v>3701</v>
      </c>
      <c r="H215" s="3480" t="s">
        <v>3457</v>
      </c>
      <c r="I215" s="3480" t="s">
        <v>3408</v>
      </c>
      <c r="J215" s="3480" t="s">
        <v>3427</v>
      </c>
      <c r="K215" s="3480" t="s">
        <v>3965</v>
      </c>
      <c r="L215" s="3480" t="s">
        <v>3965</v>
      </c>
      <c r="M215" s="3480" t="s">
        <v>3460</v>
      </c>
      <c r="N215" s="3480" t="s">
        <v>3966</v>
      </c>
      <c r="O215" s="3480">
        <v>32335</v>
      </c>
      <c r="P215" s="3480">
        <v>7060</v>
      </c>
      <c r="Q215" s="3480" t="s">
        <v>3967</v>
      </c>
      <c r="R215" s="3480">
        <v>32335</v>
      </c>
      <c r="S215" s="3480">
        <v>5713</v>
      </c>
      <c r="T215" s="3480">
        <v>0</v>
      </c>
    </row>
    <row r="216" spans="1:20" ht="14.25">
      <c r="A216" s="3480" t="s">
        <v>3994</v>
      </c>
      <c r="B216" s="3480" t="s">
        <v>3454</v>
      </c>
      <c r="C216" s="3480" t="s">
        <v>3995</v>
      </c>
      <c r="D216" s="3480" t="s">
        <v>3455</v>
      </c>
      <c r="E216" s="3480">
        <v>28937</v>
      </c>
      <c r="F216" s="3480">
        <v>107066.9</v>
      </c>
      <c r="G216" s="3480" t="s">
        <v>3996</v>
      </c>
      <c r="H216" s="3480" t="s">
        <v>3457</v>
      </c>
      <c r="I216" s="3480" t="s">
        <v>3407</v>
      </c>
      <c r="J216" s="3480" t="s">
        <v>3427</v>
      </c>
      <c r="K216" s="3480" t="s">
        <v>3965</v>
      </c>
      <c r="L216" s="3480" t="s">
        <v>3965</v>
      </c>
      <c r="M216" s="3480" t="s">
        <v>3460</v>
      </c>
      <c r="N216" s="3480" t="s">
        <v>3966</v>
      </c>
      <c r="O216" s="3480">
        <v>18524</v>
      </c>
      <c r="P216" s="3480">
        <v>3710</v>
      </c>
      <c r="Q216" s="3480" t="s">
        <v>3967</v>
      </c>
      <c r="R216" s="3480">
        <v>18524</v>
      </c>
      <c r="S216" s="3480">
        <v>1730</v>
      </c>
      <c r="T216" s="3480">
        <v>0</v>
      </c>
    </row>
    <row r="217" spans="1:20" ht="14.25">
      <c r="A217" s="3480" t="s">
        <v>3997</v>
      </c>
      <c r="B217" s="3480" t="s">
        <v>3454</v>
      </c>
      <c r="C217" s="3480" t="s">
        <v>3997</v>
      </c>
      <c r="D217" s="3480" t="s">
        <v>3455</v>
      </c>
      <c r="E217" s="3480">
        <v>14176</v>
      </c>
      <c r="F217" s="3480">
        <v>4252.8</v>
      </c>
      <c r="G217" s="3480" t="s">
        <v>3998</v>
      </c>
      <c r="H217" s="3480" t="s">
        <v>3457</v>
      </c>
      <c r="I217" s="3480" t="s">
        <v>3973</v>
      </c>
      <c r="J217" s="3480" t="s">
        <v>3427</v>
      </c>
      <c r="K217" s="3480" t="s">
        <v>3999</v>
      </c>
      <c r="L217" s="3480" t="s">
        <v>3999</v>
      </c>
      <c r="M217" s="3480" t="s">
        <v>3460</v>
      </c>
      <c r="N217" s="3480" t="s">
        <v>4000</v>
      </c>
      <c r="O217" s="3480">
        <v>2129</v>
      </c>
      <c r="P217" s="3480">
        <v>426</v>
      </c>
      <c r="Q217" s="3480" t="s">
        <v>4001</v>
      </c>
      <c r="R217" s="3480">
        <v>2129</v>
      </c>
      <c r="S217" s="3480">
        <v>5006</v>
      </c>
      <c r="T217" s="3480">
        <v>0</v>
      </c>
    </row>
    <row r="218" spans="1:20" ht="14.25">
      <c r="A218" s="3480" t="s">
        <v>4002</v>
      </c>
      <c r="B218" s="3480" t="s">
        <v>3454</v>
      </c>
      <c r="C218" s="3480" t="s">
        <v>4002</v>
      </c>
      <c r="D218" s="3480" t="s">
        <v>3464</v>
      </c>
      <c r="E218" s="3480">
        <v>19482</v>
      </c>
      <c r="F218" s="3480">
        <v>19676.82</v>
      </c>
      <c r="G218" s="3480" t="s">
        <v>4003</v>
      </c>
      <c r="H218" s="3480" t="s">
        <v>3457</v>
      </c>
      <c r="I218" s="3480" t="s">
        <v>3408</v>
      </c>
      <c r="J218" s="3480" t="s">
        <v>3427</v>
      </c>
      <c r="K218" s="3480" t="s">
        <v>3999</v>
      </c>
      <c r="L218" s="3480" t="s">
        <v>3999</v>
      </c>
      <c r="M218" s="3480" t="s">
        <v>3460</v>
      </c>
      <c r="N218" s="3480" t="s">
        <v>4000</v>
      </c>
      <c r="O218" s="3480">
        <v>3565</v>
      </c>
      <c r="P218" s="3480">
        <v>720</v>
      </c>
      <c r="Q218" s="3480" t="s">
        <v>4001</v>
      </c>
      <c r="R218" s="3480">
        <v>3565</v>
      </c>
      <c r="S218" s="3480">
        <v>1812</v>
      </c>
      <c r="T218" s="3480">
        <v>0</v>
      </c>
    </row>
    <row r="219" spans="1:20" ht="14.25">
      <c r="A219" s="3480" t="s">
        <v>4004</v>
      </c>
      <c r="B219" s="3480" t="s">
        <v>3454</v>
      </c>
      <c r="C219" s="3480" t="s">
        <v>4004</v>
      </c>
      <c r="D219" s="3480" t="s">
        <v>3464</v>
      </c>
      <c r="E219" s="3480">
        <v>5004</v>
      </c>
      <c r="F219" s="3480">
        <v>5504.4</v>
      </c>
      <c r="G219" s="3480" t="s">
        <v>4005</v>
      </c>
      <c r="H219" s="3480" t="s">
        <v>3457</v>
      </c>
      <c r="I219" s="3480" t="s">
        <v>3408</v>
      </c>
      <c r="J219" s="3480" t="s">
        <v>3427</v>
      </c>
      <c r="K219" s="3480" t="s">
        <v>3910</v>
      </c>
      <c r="L219" s="3480" t="s">
        <v>3910</v>
      </c>
      <c r="M219" s="3480" t="s">
        <v>3460</v>
      </c>
      <c r="N219" s="3480" t="s">
        <v>3911</v>
      </c>
      <c r="O219" s="3480">
        <v>1170</v>
      </c>
      <c r="P219" s="3480">
        <v>240</v>
      </c>
      <c r="Q219" s="3480" t="s">
        <v>3912</v>
      </c>
      <c r="R219" s="3480">
        <v>1170</v>
      </c>
      <c r="S219" s="3480">
        <v>2126</v>
      </c>
      <c r="T219" s="3480">
        <v>0</v>
      </c>
    </row>
    <row r="220" spans="1:20" ht="14.25">
      <c r="A220" s="3480" t="s">
        <v>4006</v>
      </c>
      <c r="B220" s="3480" t="s">
        <v>3454</v>
      </c>
      <c r="C220" s="3480" t="s">
        <v>4006</v>
      </c>
      <c r="D220" s="3480" t="s">
        <v>3464</v>
      </c>
      <c r="E220" s="3480">
        <v>45621</v>
      </c>
      <c r="F220" s="3480">
        <v>82117.8</v>
      </c>
      <c r="G220" s="3480" t="s">
        <v>3465</v>
      </c>
      <c r="H220" s="3480" t="s">
        <v>3457</v>
      </c>
      <c r="I220" s="3480" t="s">
        <v>3408</v>
      </c>
      <c r="J220" s="3480" t="s">
        <v>3427</v>
      </c>
      <c r="K220" s="3480" t="s">
        <v>4007</v>
      </c>
      <c r="L220" s="3480" t="s">
        <v>4007</v>
      </c>
      <c r="M220" s="3480" t="s">
        <v>3460</v>
      </c>
      <c r="N220" s="3480" t="s">
        <v>4008</v>
      </c>
      <c r="O220" s="3480">
        <v>13002</v>
      </c>
      <c r="P220" s="3480">
        <v>4000</v>
      </c>
      <c r="Q220" s="3480" t="s">
        <v>4009</v>
      </c>
      <c r="R220" s="3480">
        <v>13002</v>
      </c>
      <c r="S220" s="3480">
        <v>1583</v>
      </c>
      <c r="T220" s="3480">
        <v>0</v>
      </c>
    </row>
    <row r="221" spans="1:20" ht="14.25">
      <c r="A221" s="3480" t="s">
        <v>4010</v>
      </c>
      <c r="B221" s="3480" t="s">
        <v>3454</v>
      </c>
      <c r="C221" s="3480" t="s">
        <v>4010</v>
      </c>
      <c r="D221" s="3480" t="s">
        <v>3464</v>
      </c>
      <c r="E221" s="3480">
        <v>45620</v>
      </c>
      <c r="F221" s="3480">
        <v>82116</v>
      </c>
      <c r="G221" s="3480" t="s">
        <v>3465</v>
      </c>
      <c r="H221" s="3480" t="s">
        <v>3457</v>
      </c>
      <c r="I221" s="3480" t="s">
        <v>3408</v>
      </c>
      <c r="J221" s="3480" t="s">
        <v>3427</v>
      </c>
      <c r="K221" s="3480" t="s">
        <v>4007</v>
      </c>
      <c r="L221" s="3480" t="s">
        <v>4007</v>
      </c>
      <c r="M221" s="3480" t="s">
        <v>3460</v>
      </c>
      <c r="N221" s="3480" t="s">
        <v>4011</v>
      </c>
      <c r="O221" s="3480">
        <v>13001</v>
      </c>
      <c r="P221" s="3480">
        <v>4000</v>
      </c>
      <c r="Q221" s="3480" t="s">
        <v>4009</v>
      </c>
      <c r="R221" s="3480">
        <v>13001</v>
      </c>
      <c r="S221" s="3480">
        <v>1583</v>
      </c>
      <c r="T221" s="3480">
        <v>0</v>
      </c>
    </row>
    <row r="222" spans="1:20" ht="14.25">
      <c r="A222" s="3480" t="s">
        <v>4012</v>
      </c>
      <c r="B222" s="3480" t="s">
        <v>3454</v>
      </c>
      <c r="C222" s="3480" t="s">
        <v>4013</v>
      </c>
      <c r="D222" s="3480" t="s">
        <v>3455</v>
      </c>
      <c r="E222" s="3480">
        <v>5707</v>
      </c>
      <c r="F222" s="3480">
        <v>2282.8000000000002</v>
      </c>
      <c r="G222" s="3480" t="s">
        <v>4014</v>
      </c>
      <c r="H222" s="3480" t="s">
        <v>3457</v>
      </c>
      <c r="I222" s="3480" t="s">
        <v>3458</v>
      </c>
      <c r="J222" s="3480" t="s">
        <v>3427</v>
      </c>
      <c r="K222" s="3480" t="s">
        <v>4015</v>
      </c>
      <c r="L222" s="3480" t="s">
        <v>4015</v>
      </c>
      <c r="M222" s="3480" t="s">
        <v>3460</v>
      </c>
      <c r="N222" s="3480" t="s">
        <v>4016</v>
      </c>
      <c r="O222" s="3480">
        <v>12850</v>
      </c>
      <c r="P222" s="3480">
        <v>2570</v>
      </c>
      <c r="Q222" s="3480" t="s">
        <v>4017</v>
      </c>
      <c r="R222" s="3480">
        <v>12850</v>
      </c>
      <c r="S222" s="3480">
        <v>56291</v>
      </c>
      <c r="T222" s="3480">
        <v>0</v>
      </c>
    </row>
    <row r="223" spans="1:20" ht="14.25">
      <c r="A223" s="3480" t="s">
        <v>4018</v>
      </c>
      <c r="B223" s="3480" t="s">
        <v>3454</v>
      </c>
      <c r="C223" s="3480" t="s">
        <v>4019</v>
      </c>
      <c r="D223" s="3480" t="s">
        <v>3455</v>
      </c>
      <c r="E223" s="3480">
        <v>19423</v>
      </c>
      <c r="F223" s="3480">
        <v>33019.1</v>
      </c>
      <c r="G223" s="3480" t="s">
        <v>4020</v>
      </c>
      <c r="H223" s="3480" t="s">
        <v>3457</v>
      </c>
      <c r="I223" s="3480" t="s">
        <v>3458</v>
      </c>
      <c r="J223" s="3480" t="s">
        <v>3427</v>
      </c>
      <c r="K223" s="3480" t="s">
        <v>4015</v>
      </c>
      <c r="L223" s="3480" t="s">
        <v>4015</v>
      </c>
      <c r="M223" s="3480" t="s">
        <v>3460</v>
      </c>
      <c r="N223" s="3480" t="s">
        <v>3879</v>
      </c>
      <c r="O223" s="3480">
        <v>7430</v>
      </c>
      <c r="P223" s="3480">
        <v>1490</v>
      </c>
      <c r="Q223" s="3480" t="s">
        <v>4017</v>
      </c>
      <c r="R223" s="3480">
        <v>7430</v>
      </c>
      <c r="S223" s="3480">
        <v>2250</v>
      </c>
      <c r="T223" s="3480">
        <v>0</v>
      </c>
    </row>
    <row r="224" spans="1:20" ht="14.25">
      <c r="A224" s="3480" t="s">
        <v>4021</v>
      </c>
      <c r="B224" s="3480" t="s">
        <v>3454</v>
      </c>
      <c r="C224" s="3480" t="s">
        <v>4022</v>
      </c>
      <c r="D224" s="3480" t="s">
        <v>3464</v>
      </c>
      <c r="E224" s="3480">
        <v>20017</v>
      </c>
      <c r="F224" s="3480">
        <v>40034</v>
      </c>
      <c r="G224" s="3480" t="s">
        <v>3523</v>
      </c>
      <c r="H224" s="3480" t="s">
        <v>3457</v>
      </c>
      <c r="I224" s="3480" t="s">
        <v>3408</v>
      </c>
      <c r="J224" s="3480" t="s">
        <v>3427</v>
      </c>
      <c r="K224" s="3480" t="s">
        <v>4023</v>
      </c>
      <c r="L224" s="3480" t="s">
        <v>4023</v>
      </c>
      <c r="M224" s="3480" t="s">
        <v>3460</v>
      </c>
      <c r="N224" s="3480" t="s">
        <v>3966</v>
      </c>
      <c r="O224" s="3480">
        <v>21303</v>
      </c>
      <c r="P224" s="3480">
        <v>4300</v>
      </c>
      <c r="Q224" s="3480" t="s">
        <v>4017</v>
      </c>
      <c r="R224" s="3480">
        <v>21303</v>
      </c>
      <c r="S224" s="3480">
        <v>5321</v>
      </c>
      <c r="T224" s="3480">
        <v>0</v>
      </c>
    </row>
    <row r="225" spans="1:20" ht="14.25">
      <c r="A225" s="3480" t="s">
        <v>4024</v>
      </c>
      <c r="B225" s="3480" t="s">
        <v>3454</v>
      </c>
      <c r="C225" s="3480" t="s">
        <v>4025</v>
      </c>
      <c r="D225" s="3480" t="s">
        <v>3455</v>
      </c>
      <c r="E225" s="3480">
        <v>22983</v>
      </c>
      <c r="F225" s="3480">
        <v>91932</v>
      </c>
      <c r="G225" s="3480" t="s">
        <v>3933</v>
      </c>
      <c r="H225" s="3480" t="s">
        <v>3457</v>
      </c>
      <c r="I225" s="3480" t="s">
        <v>3407</v>
      </c>
      <c r="J225" s="3480" t="s">
        <v>3427</v>
      </c>
      <c r="K225" s="3480" t="s">
        <v>4023</v>
      </c>
      <c r="L225" s="3480" t="s">
        <v>4023</v>
      </c>
      <c r="M225" s="3480" t="s">
        <v>3460</v>
      </c>
      <c r="N225" s="3480" t="s">
        <v>3966</v>
      </c>
      <c r="O225" s="3480">
        <v>15995</v>
      </c>
      <c r="P225" s="3480">
        <v>3200</v>
      </c>
      <c r="Q225" s="3480" t="s">
        <v>4026</v>
      </c>
      <c r="R225" s="3480">
        <v>15995</v>
      </c>
      <c r="S225" s="3480">
        <v>1740</v>
      </c>
      <c r="T225" s="3480">
        <v>0</v>
      </c>
    </row>
    <row r="226" spans="1:20" ht="14.25">
      <c r="A226" s="3480" t="s">
        <v>4027</v>
      </c>
      <c r="B226" s="3480" t="s">
        <v>3454</v>
      </c>
      <c r="C226" s="3480" t="s">
        <v>4028</v>
      </c>
      <c r="D226" s="3480" t="s">
        <v>3455</v>
      </c>
      <c r="E226" s="3480">
        <v>19542</v>
      </c>
      <c r="F226" s="3480">
        <v>48855</v>
      </c>
      <c r="G226" s="3480" t="s">
        <v>4029</v>
      </c>
      <c r="H226" s="3480" t="s">
        <v>3457</v>
      </c>
      <c r="I226" s="3480" t="s">
        <v>3407</v>
      </c>
      <c r="J226" s="3480" t="s">
        <v>3427</v>
      </c>
      <c r="K226" s="3480" t="s">
        <v>4023</v>
      </c>
      <c r="L226" s="3480" t="s">
        <v>4023</v>
      </c>
      <c r="M226" s="3480" t="s">
        <v>3460</v>
      </c>
      <c r="N226" s="3480" t="s">
        <v>3966</v>
      </c>
      <c r="O226" s="3480">
        <v>10182</v>
      </c>
      <c r="P226" s="3480">
        <v>2040</v>
      </c>
      <c r="Q226" s="3480" t="s">
        <v>4026</v>
      </c>
      <c r="R226" s="3480">
        <v>10182</v>
      </c>
      <c r="S226" s="3480">
        <v>2084</v>
      </c>
      <c r="T226" s="3480">
        <v>0</v>
      </c>
    </row>
    <row r="227" spans="1:20" ht="14.25">
      <c r="A227" s="3480" t="s">
        <v>4030</v>
      </c>
      <c r="B227" s="3480" t="s">
        <v>3454</v>
      </c>
      <c r="C227" s="3480" t="s">
        <v>4031</v>
      </c>
      <c r="D227" s="3480" t="s">
        <v>3455</v>
      </c>
      <c r="E227" s="3480">
        <v>29878</v>
      </c>
      <c r="F227" s="3480">
        <v>89634</v>
      </c>
      <c r="G227" s="3480" t="s">
        <v>4032</v>
      </c>
      <c r="H227" s="3480" t="s">
        <v>3457</v>
      </c>
      <c r="I227" s="3480" t="s">
        <v>3407</v>
      </c>
      <c r="J227" s="3480" t="s">
        <v>3427</v>
      </c>
      <c r="K227" s="3480" t="s">
        <v>4023</v>
      </c>
      <c r="L227" s="3480" t="s">
        <v>4023</v>
      </c>
      <c r="M227" s="3480" t="s">
        <v>3460</v>
      </c>
      <c r="N227" s="3480" t="s">
        <v>3966</v>
      </c>
      <c r="O227" s="3480">
        <v>17124</v>
      </c>
      <c r="P227" s="3480">
        <v>3430</v>
      </c>
      <c r="Q227" s="3480" t="s">
        <v>4026</v>
      </c>
      <c r="R227" s="3480">
        <v>17124</v>
      </c>
      <c r="S227" s="3480">
        <v>1910</v>
      </c>
      <c r="T227" s="3480">
        <v>0</v>
      </c>
    </row>
    <row r="228" spans="1:20" ht="14.25">
      <c r="A228" s="3480" t="s">
        <v>4033</v>
      </c>
      <c r="B228" s="3480" t="s">
        <v>3454</v>
      </c>
      <c r="C228" s="3480" t="s">
        <v>4034</v>
      </c>
      <c r="D228" s="3480" t="s">
        <v>3464</v>
      </c>
      <c r="E228" s="3480">
        <v>21171</v>
      </c>
      <c r="F228" s="3480">
        <v>48693.3</v>
      </c>
      <c r="G228" s="3480" t="s">
        <v>3471</v>
      </c>
      <c r="H228" s="3480" t="s">
        <v>3457</v>
      </c>
      <c r="I228" s="3480" t="s">
        <v>3408</v>
      </c>
      <c r="J228" s="3480" t="s">
        <v>3427</v>
      </c>
      <c r="K228" s="3480" t="s">
        <v>4015</v>
      </c>
      <c r="L228" s="3480" t="s">
        <v>4015</v>
      </c>
      <c r="M228" s="3480" t="s">
        <v>3460</v>
      </c>
      <c r="N228" s="3480" t="s">
        <v>4035</v>
      </c>
      <c r="O228" s="3480">
        <v>30434</v>
      </c>
      <c r="P228" s="3480">
        <v>6100</v>
      </c>
      <c r="Q228" s="3480" t="s">
        <v>4017</v>
      </c>
      <c r="R228" s="3480">
        <v>31234</v>
      </c>
      <c r="S228" s="3480">
        <v>6414</v>
      </c>
      <c r="T228" s="3480">
        <v>2.63</v>
      </c>
    </row>
    <row r="229" spans="1:20" ht="14.25">
      <c r="A229" s="3480" t="s">
        <v>4036</v>
      </c>
      <c r="B229" s="3480" t="s">
        <v>3454</v>
      </c>
      <c r="C229" s="3480" t="s">
        <v>4037</v>
      </c>
      <c r="D229" s="3480" t="s">
        <v>3464</v>
      </c>
      <c r="E229" s="3480">
        <v>20462</v>
      </c>
      <c r="F229" s="3480">
        <v>40924</v>
      </c>
      <c r="G229" s="3480" t="s">
        <v>3523</v>
      </c>
      <c r="H229" s="3480" t="s">
        <v>3457</v>
      </c>
      <c r="I229" s="3480" t="s">
        <v>3408</v>
      </c>
      <c r="J229" s="3480" t="s">
        <v>3427</v>
      </c>
      <c r="K229" s="3480" t="s">
        <v>4015</v>
      </c>
      <c r="L229" s="3480" t="s">
        <v>4015</v>
      </c>
      <c r="M229" s="3480" t="s">
        <v>3460</v>
      </c>
      <c r="N229" s="3480" t="s">
        <v>4038</v>
      </c>
      <c r="O229" s="3480">
        <v>25802</v>
      </c>
      <c r="P229" s="3480">
        <v>5170</v>
      </c>
      <c r="Q229" s="3480" t="s">
        <v>4017</v>
      </c>
      <c r="R229" s="3480">
        <v>25802</v>
      </c>
      <c r="S229" s="3480">
        <v>6305</v>
      </c>
      <c r="T229" s="3480">
        <v>0</v>
      </c>
    </row>
    <row r="230" spans="1:20" ht="14.25">
      <c r="A230" s="3480" t="s">
        <v>4039</v>
      </c>
      <c r="B230" s="3480" t="s">
        <v>3454</v>
      </c>
      <c r="C230" s="3480" t="s">
        <v>4040</v>
      </c>
      <c r="D230" s="3480" t="s">
        <v>3455</v>
      </c>
      <c r="E230" s="3480">
        <v>8591</v>
      </c>
      <c r="F230" s="3480">
        <v>25773</v>
      </c>
      <c r="G230" s="3480" t="s">
        <v>4041</v>
      </c>
      <c r="H230" s="3480" t="s">
        <v>3457</v>
      </c>
      <c r="I230" s="3480" t="s">
        <v>3407</v>
      </c>
      <c r="J230" s="3480" t="s">
        <v>3427</v>
      </c>
      <c r="K230" s="3480" t="s">
        <v>4023</v>
      </c>
      <c r="L230" s="3480" t="s">
        <v>4023</v>
      </c>
      <c r="M230" s="3480" t="s">
        <v>3460</v>
      </c>
      <c r="N230" s="3480" t="s">
        <v>3966</v>
      </c>
      <c r="O230" s="3480">
        <v>5038</v>
      </c>
      <c r="P230" s="3480">
        <v>1010</v>
      </c>
      <c r="Q230" s="3480" t="s">
        <v>4026</v>
      </c>
      <c r="R230" s="3480">
        <v>5038</v>
      </c>
      <c r="S230" s="3480">
        <v>1955</v>
      </c>
      <c r="T230" s="3480">
        <v>0</v>
      </c>
    </row>
    <row r="231" spans="1:20" ht="14.25">
      <c r="A231" s="3480" t="s">
        <v>4042</v>
      </c>
      <c r="B231" s="3480" t="s">
        <v>3454</v>
      </c>
      <c r="C231" s="3480" t="s">
        <v>4043</v>
      </c>
      <c r="D231" s="3480" t="s">
        <v>3464</v>
      </c>
      <c r="E231" s="3480">
        <v>39780</v>
      </c>
      <c r="F231" s="3480">
        <v>83538</v>
      </c>
      <c r="G231" s="3480" t="s">
        <v>3991</v>
      </c>
      <c r="H231" s="3480" t="s">
        <v>3457</v>
      </c>
      <c r="I231" s="3480" t="s">
        <v>3408</v>
      </c>
      <c r="J231" s="3480" t="s">
        <v>3427</v>
      </c>
      <c r="K231" s="3480" t="s">
        <v>4023</v>
      </c>
      <c r="L231" s="3480" t="s">
        <v>4023</v>
      </c>
      <c r="M231" s="3480" t="s">
        <v>3460</v>
      </c>
      <c r="N231" s="3480" t="s">
        <v>3966</v>
      </c>
      <c r="O231" s="3480">
        <v>53044</v>
      </c>
      <c r="P231" s="3480">
        <v>10610</v>
      </c>
      <c r="Q231" s="3480" t="s">
        <v>4017</v>
      </c>
      <c r="R231" s="3480">
        <v>53044</v>
      </c>
      <c r="S231" s="3480">
        <v>6350</v>
      </c>
      <c r="T231" s="3480">
        <v>0</v>
      </c>
    </row>
    <row r="232" spans="1:20" ht="14.25">
      <c r="A232" s="3480" t="s">
        <v>4044</v>
      </c>
      <c r="B232" s="3480" t="s">
        <v>3454</v>
      </c>
      <c r="C232" s="3480" t="s">
        <v>4045</v>
      </c>
      <c r="D232" s="3480" t="s">
        <v>3464</v>
      </c>
      <c r="E232" s="3480">
        <v>25972</v>
      </c>
      <c r="F232" s="3480">
        <v>51944</v>
      </c>
      <c r="G232" s="3480" t="s">
        <v>3523</v>
      </c>
      <c r="H232" s="3480" t="s">
        <v>3457</v>
      </c>
      <c r="I232" s="3480" t="s">
        <v>3408</v>
      </c>
      <c r="J232" s="3480" t="s">
        <v>3427</v>
      </c>
      <c r="K232" s="3480" t="s">
        <v>4015</v>
      </c>
      <c r="L232" s="3480" t="s">
        <v>4015</v>
      </c>
      <c r="M232" s="3480" t="s">
        <v>3460</v>
      </c>
      <c r="N232" s="3480" t="s">
        <v>4046</v>
      </c>
      <c r="O232" s="3480">
        <v>33097</v>
      </c>
      <c r="P232" s="3480">
        <v>6620</v>
      </c>
      <c r="Q232" s="3480" t="s">
        <v>4017</v>
      </c>
      <c r="R232" s="3480">
        <v>33297</v>
      </c>
      <c r="S232" s="3480">
        <v>6410</v>
      </c>
      <c r="T232" s="3480">
        <v>0.6</v>
      </c>
    </row>
    <row r="233" spans="1:20" ht="14.25">
      <c r="A233" s="3480" t="s">
        <v>4047</v>
      </c>
      <c r="B233" s="3480" t="s">
        <v>3454</v>
      </c>
      <c r="C233" s="3480" t="s">
        <v>4048</v>
      </c>
      <c r="D233" s="3480" t="s">
        <v>3464</v>
      </c>
      <c r="E233" s="3480">
        <v>54371</v>
      </c>
      <c r="F233" s="3480">
        <v>119616.2</v>
      </c>
      <c r="G233" s="3480" t="s">
        <v>3531</v>
      </c>
      <c r="H233" s="3480" t="s">
        <v>3457</v>
      </c>
      <c r="I233" s="3480" t="s">
        <v>3408</v>
      </c>
      <c r="J233" s="3480" t="s">
        <v>3427</v>
      </c>
      <c r="K233" s="3480" t="s">
        <v>4049</v>
      </c>
      <c r="L233" s="3480" t="s">
        <v>4049</v>
      </c>
      <c r="M233" s="3480" t="s">
        <v>3460</v>
      </c>
      <c r="N233" s="3480" t="s">
        <v>4050</v>
      </c>
      <c r="O233" s="3480">
        <v>39115</v>
      </c>
      <c r="P233" s="3480">
        <v>10590</v>
      </c>
      <c r="Q233" s="3480" t="s">
        <v>4051</v>
      </c>
      <c r="R233" s="3480">
        <v>39115</v>
      </c>
      <c r="S233" s="3480">
        <v>3270</v>
      </c>
      <c r="T233" s="3480">
        <v>0</v>
      </c>
    </row>
    <row r="234" spans="1:20" ht="14.25">
      <c r="A234" s="3480" t="s">
        <v>4052</v>
      </c>
      <c r="B234" s="3480" t="s">
        <v>3454</v>
      </c>
      <c r="C234" s="3480" t="s">
        <v>4053</v>
      </c>
      <c r="D234" s="3480" t="s">
        <v>3455</v>
      </c>
      <c r="E234" s="3480">
        <v>27998</v>
      </c>
      <c r="F234" s="3480">
        <v>97993</v>
      </c>
      <c r="G234" s="3480" t="s">
        <v>4054</v>
      </c>
      <c r="H234" s="3480" t="s">
        <v>3457</v>
      </c>
      <c r="I234" s="3480" t="s">
        <v>3407</v>
      </c>
      <c r="J234" s="3480" t="s">
        <v>3427</v>
      </c>
      <c r="K234" s="3480" t="s">
        <v>4049</v>
      </c>
      <c r="L234" s="3480" t="s">
        <v>4049</v>
      </c>
      <c r="M234" s="3480" t="s">
        <v>3460</v>
      </c>
      <c r="N234" s="3480" t="s">
        <v>4050</v>
      </c>
      <c r="O234" s="3480">
        <v>13798</v>
      </c>
      <c r="P234" s="3480">
        <v>10590</v>
      </c>
      <c r="Q234" s="3480" t="s">
        <v>4051</v>
      </c>
      <c r="R234" s="3480">
        <v>13798</v>
      </c>
      <c r="S234" s="3480">
        <v>1408</v>
      </c>
      <c r="T234" s="3480">
        <v>0</v>
      </c>
    </row>
    <row r="235" spans="1:20" ht="14.25">
      <c r="A235" s="3480" t="s">
        <v>4055</v>
      </c>
      <c r="B235" s="3480" t="s">
        <v>3454</v>
      </c>
      <c r="C235" s="3480" t="s">
        <v>4056</v>
      </c>
      <c r="D235" s="3480" t="s">
        <v>3455</v>
      </c>
      <c r="E235" s="3480">
        <v>2279</v>
      </c>
      <c r="F235" s="3480">
        <v>2051.1</v>
      </c>
      <c r="G235" s="3480" t="s">
        <v>3662</v>
      </c>
      <c r="H235" s="3480" t="s">
        <v>3457</v>
      </c>
      <c r="I235" s="3480" t="s">
        <v>3407</v>
      </c>
      <c r="J235" s="3480" t="s">
        <v>3427</v>
      </c>
      <c r="K235" s="3480" t="s">
        <v>4057</v>
      </c>
      <c r="L235" s="3480" t="s">
        <v>4057</v>
      </c>
      <c r="M235" s="3480" t="s">
        <v>3460</v>
      </c>
      <c r="N235" s="3480" t="s">
        <v>3626</v>
      </c>
      <c r="O235" s="3480">
        <v>1837</v>
      </c>
      <c r="P235" s="3480">
        <v>370</v>
      </c>
      <c r="Q235" s="3480" t="s">
        <v>4058</v>
      </c>
      <c r="R235" s="3480">
        <v>1837</v>
      </c>
      <c r="S235" s="3480">
        <v>8956</v>
      </c>
      <c r="T235" s="3480">
        <v>0</v>
      </c>
    </row>
    <row r="236" spans="1:20" ht="14.25">
      <c r="A236" s="3480" t="s">
        <v>4059</v>
      </c>
      <c r="B236" s="3480" t="s">
        <v>3454</v>
      </c>
      <c r="C236" s="3480" t="s">
        <v>4059</v>
      </c>
      <c r="D236" s="3480" t="s">
        <v>3455</v>
      </c>
      <c r="E236" s="3480">
        <v>13984</v>
      </c>
      <c r="F236" s="3480">
        <v>27968</v>
      </c>
      <c r="G236" s="3480" t="s">
        <v>3456</v>
      </c>
      <c r="H236" s="3480" t="s">
        <v>3457</v>
      </c>
      <c r="I236" s="3480" t="s">
        <v>3458</v>
      </c>
      <c r="J236" s="3480" t="s">
        <v>3427</v>
      </c>
      <c r="K236" s="3480" t="s">
        <v>4060</v>
      </c>
      <c r="L236" s="3480" t="s">
        <v>4060</v>
      </c>
      <c r="M236" s="3480" t="s">
        <v>3460</v>
      </c>
      <c r="N236" s="3480" t="s">
        <v>4061</v>
      </c>
      <c r="O236" s="3480">
        <v>4200</v>
      </c>
      <c r="P236" s="3480">
        <v>1300</v>
      </c>
      <c r="Q236" s="3480" t="s">
        <v>4062</v>
      </c>
      <c r="R236" s="3480">
        <v>4200</v>
      </c>
      <c r="S236" s="3480">
        <v>1502</v>
      </c>
      <c r="T236" s="3480">
        <v>0</v>
      </c>
    </row>
    <row r="237" spans="1:20" ht="14.25">
      <c r="A237" s="3480" t="s">
        <v>4063</v>
      </c>
      <c r="B237" s="3480" t="s">
        <v>3454</v>
      </c>
      <c r="C237" s="3480" t="s">
        <v>4063</v>
      </c>
      <c r="D237" s="3480" t="s">
        <v>3464</v>
      </c>
      <c r="E237" s="3480">
        <v>8797</v>
      </c>
      <c r="F237" s="3480">
        <v>15834.6</v>
      </c>
      <c r="G237" s="3480" t="s">
        <v>3465</v>
      </c>
      <c r="H237" s="3480" t="s">
        <v>3457</v>
      </c>
      <c r="I237" s="3480" t="s">
        <v>3408</v>
      </c>
      <c r="J237" s="3480" t="s">
        <v>3427</v>
      </c>
      <c r="K237" s="3480" t="s">
        <v>4060</v>
      </c>
      <c r="L237" s="3480" t="s">
        <v>4060</v>
      </c>
      <c r="M237" s="3480" t="s">
        <v>3460</v>
      </c>
      <c r="N237" s="3480" t="s">
        <v>4011</v>
      </c>
      <c r="O237" s="3480">
        <v>2650</v>
      </c>
      <c r="P237" s="3480">
        <v>800</v>
      </c>
      <c r="Q237" s="3480" t="s">
        <v>4062</v>
      </c>
      <c r="R237" s="3480">
        <v>2650</v>
      </c>
      <c r="S237" s="3480">
        <v>1674</v>
      </c>
      <c r="T237" s="3480">
        <v>0</v>
      </c>
    </row>
    <row r="238" spans="1:20" ht="14.25">
      <c r="A238" s="3480" t="s">
        <v>4064</v>
      </c>
      <c r="B238" s="3480" t="s">
        <v>3454</v>
      </c>
      <c r="C238" s="3480" t="s">
        <v>4064</v>
      </c>
      <c r="D238" s="3480" t="s">
        <v>3464</v>
      </c>
      <c r="E238" s="3480">
        <v>11114</v>
      </c>
      <c r="F238" s="3480">
        <v>16671</v>
      </c>
      <c r="G238" s="3480" t="s">
        <v>3750</v>
      </c>
      <c r="H238" s="3480" t="s">
        <v>3457</v>
      </c>
      <c r="I238" s="3480" t="s">
        <v>3408</v>
      </c>
      <c r="J238" s="3480" t="s">
        <v>3427</v>
      </c>
      <c r="K238" s="3480" t="s">
        <v>4060</v>
      </c>
      <c r="L238" s="3480" t="s">
        <v>4060</v>
      </c>
      <c r="M238" s="3480" t="s">
        <v>3460</v>
      </c>
      <c r="N238" s="3480" t="s">
        <v>4065</v>
      </c>
      <c r="O238" s="3480">
        <v>2746</v>
      </c>
      <c r="P238" s="3480">
        <v>1400</v>
      </c>
      <c r="Q238" s="3480" t="s">
        <v>4062</v>
      </c>
      <c r="R238" s="3480">
        <v>2746</v>
      </c>
      <c r="S238" s="3480">
        <v>1647</v>
      </c>
      <c r="T238" s="3480">
        <v>0</v>
      </c>
    </row>
    <row r="239" spans="1:20" ht="14.25">
      <c r="A239" s="3480" t="s">
        <v>4066</v>
      </c>
      <c r="B239" s="3480" t="s">
        <v>3454</v>
      </c>
      <c r="C239" s="3480" t="s">
        <v>4066</v>
      </c>
      <c r="D239" s="3480" t="s">
        <v>3464</v>
      </c>
      <c r="E239" s="3480">
        <v>46750</v>
      </c>
      <c r="F239" s="3480">
        <v>84150</v>
      </c>
      <c r="G239" s="3480" t="s">
        <v>3465</v>
      </c>
      <c r="H239" s="3480" t="s">
        <v>3457</v>
      </c>
      <c r="I239" s="3480" t="s">
        <v>3408</v>
      </c>
      <c r="J239" s="3480" t="s">
        <v>3427</v>
      </c>
      <c r="K239" s="3480" t="s">
        <v>4060</v>
      </c>
      <c r="L239" s="3480" t="s">
        <v>4060</v>
      </c>
      <c r="M239" s="3480" t="s">
        <v>3460</v>
      </c>
      <c r="N239" s="3480" t="s">
        <v>4061</v>
      </c>
      <c r="O239" s="3480">
        <v>14000</v>
      </c>
      <c r="P239" s="3480">
        <v>4200</v>
      </c>
      <c r="Q239" s="3480" t="s">
        <v>4062</v>
      </c>
      <c r="R239" s="3480">
        <v>14000</v>
      </c>
      <c r="S239" s="3480">
        <v>1664</v>
      </c>
      <c r="T239" s="3480">
        <v>0</v>
      </c>
    </row>
    <row r="240" spans="1:20" ht="14.25">
      <c r="A240" s="3480" t="s">
        <v>4067</v>
      </c>
      <c r="B240" s="3480" t="s">
        <v>3454</v>
      </c>
      <c r="C240" s="3480" t="s">
        <v>4067</v>
      </c>
      <c r="D240" s="3480" t="s">
        <v>3455</v>
      </c>
      <c r="E240" s="3480">
        <v>2168.8000000000002</v>
      </c>
      <c r="F240" s="3480">
        <v>1084.4000000000001</v>
      </c>
      <c r="G240" s="3480" t="s">
        <v>4068</v>
      </c>
      <c r="H240" s="3480" t="s">
        <v>3457</v>
      </c>
      <c r="I240" s="3480" t="s">
        <v>3458</v>
      </c>
      <c r="J240" s="3480" t="s">
        <v>3427</v>
      </c>
      <c r="K240" s="3480" t="s">
        <v>4069</v>
      </c>
      <c r="L240" s="3480" t="s">
        <v>4069</v>
      </c>
      <c r="M240" s="3480" t="s">
        <v>3460</v>
      </c>
      <c r="N240" s="3480" t="s">
        <v>4070</v>
      </c>
      <c r="O240" s="3480">
        <v>143</v>
      </c>
      <c r="P240" s="3480">
        <v>143</v>
      </c>
      <c r="Q240" s="3480" t="s">
        <v>4071</v>
      </c>
      <c r="R240" s="3480">
        <v>143</v>
      </c>
      <c r="S240" s="3480">
        <v>1319</v>
      </c>
      <c r="T240" s="3480">
        <v>0</v>
      </c>
    </row>
    <row r="241" spans="1:20" ht="14.25">
      <c r="A241" s="3480" t="s">
        <v>4072</v>
      </c>
      <c r="B241" s="3480" t="s">
        <v>3454</v>
      </c>
      <c r="C241" s="3480" t="s">
        <v>4073</v>
      </c>
      <c r="D241" s="3480" t="s">
        <v>3629</v>
      </c>
      <c r="E241" s="3480">
        <v>47127</v>
      </c>
      <c r="F241" s="3480">
        <v>136668.29999999999</v>
      </c>
      <c r="G241" s="3480" t="s">
        <v>4074</v>
      </c>
      <c r="H241" s="3480" t="s">
        <v>3457</v>
      </c>
      <c r="I241" s="3480" t="s">
        <v>3408</v>
      </c>
      <c r="J241" s="3480" t="s">
        <v>3427</v>
      </c>
      <c r="K241" s="3480" t="s">
        <v>4075</v>
      </c>
      <c r="L241" s="3480" t="s">
        <v>4075</v>
      </c>
      <c r="M241" s="3480" t="s">
        <v>3460</v>
      </c>
      <c r="N241" s="3480" t="s">
        <v>4076</v>
      </c>
      <c r="O241" s="3480">
        <v>159902</v>
      </c>
      <c r="P241" s="3480">
        <v>31981</v>
      </c>
      <c r="Q241" s="3480" t="s">
        <v>4077</v>
      </c>
      <c r="R241" s="3480">
        <v>160302</v>
      </c>
      <c r="S241" s="3480">
        <v>11729</v>
      </c>
      <c r="T241" s="3480">
        <v>0.25</v>
      </c>
    </row>
    <row r="242" spans="1:20" ht="14.25">
      <c r="A242" s="3480" t="s">
        <v>4078</v>
      </c>
      <c r="B242" s="3480" t="s">
        <v>3454</v>
      </c>
      <c r="C242" s="3480" t="s">
        <v>4078</v>
      </c>
      <c r="D242" s="3480" t="s">
        <v>3464</v>
      </c>
      <c r="E242" s="3480">
        <v>60663</v>
      </c>
      <c r="F242" s="3480">
        <v>90994.5</v>
      </c>
      <c r="G242" s="3480" t="s">
        <v>3750</v>
      </c>
      <c r="H242" s="3480" t="s">
        <v>3457</v>
      </c>
      <c r="I242" s="3480" t="s">
        <v>3408</v>
      </c>
      <c r="J242" s="3480" t="s">
        <v>3427</v>
      </c>
      <c r="K242" s="3480" t="s">
        <v>4079</v>
      </c>
      <c r="L242" s="3480" t="s">
        <v>4079</v>
      </c>
      <c r="M242" s="3480" t="s">
        <v>3460</v>
      </c>
      <c r="N242" s="3480" t="s">
        <v>4080</v>
      </c>
      <c r="O242" s="3480">
        <v>15138</v>
      </c>
      <c r="P242" s="3480">
        <v>7600</v>
      </c>
      <c r="Q242" s="3480" t="s">
        <v>4081</v>
      </c>
      <c r="R242" s="3480">
        <v>15138</v>
      </c>
      <c r="S242" s="3480">
        <v>1664</v>
      </c>
      <c r="T242" s="3480">
        <v>0</v>
      </c>
    </row>
    <row r="243" spans="1:20" ht="14.25">
      <c r="A243" s="3480" t="s">
        <v>4082</v>
      </c>
      <c r="B243" s="3480" t="s">
        <v>3454</v>
      </c>
      <c r="C243" s="3480" t="s">
        <v>4082</v>
      </c>
      <c r="D243" s="3480" t="s">
        <v>3455</v>
      </c>
      <c r="E243" s="3480">
        <v>5177</v>
      </c>
      <c r="F243" s="3480">
        <v>6730.1</v>
      </c>
      <c r="G243" s="3480" t="s">
        <v>4083</v>
      </c>
      <c r="H243" s="3480" t="s">
        <v>3457</v>
      </c>
      <c r="I243" s="3480" t="s">
        <v>3973</v>
      </c>
      <c r="J243" s="3480" t="s">
        <v>3427</v>
      </c>
      <c r="K243" s="3480" t="s">
        <v>4079</v>
      </c>
      <c r="L243" s="3480" t="s">
        <v>4079</v>
      </c>
      <c r="M243" s="3480" t="s">
        <v>3460</v>
      </c>
      <c r="N243" s="3480" t="s">
        <v>4084</v>
      </c>
      <c r="O243" s="3480">
        <v>637</v>
      </c>
      <c r="P243" s="3480">
        <v>637</v>
      </c>
      <c r="Q243" s="3480" t="s">
        <v>4081</v>
      </c>
      <c r="R243" s="3480">
        <v>637</v>
      </c>
      <c r="S243" s="3480">
        <v>946</v>
      </c>
      <c r="T243" s="3480">
        <v>0</v>
      </c>
    </row>
    <row r="244" spans="1:20" ht="14.25">
      <c r="A244" s="3480" t="s">
        <v>4085</v>
      </c>
      <c r="B244" s="3480" t="s">
        <v>3454</v>
      </c>
      <c r="C244" s="3480" t="s">
        <v>4086</v>
      </c>
      <c r="D244" s="3480" t="s">
        <v>3464</v>
      </c>
      <c r="E244" s="3480">
        <v>2643</v>
      </c>
      <c r="F244" s="3480">
        <v>2643</v>
      </c>
      <c r="G244" s="3480" t="s">
        <v>3636</v>
      </c>
      <c r="H244" s="3480" t="s">
        <v>3457</v>
      </c>
      <c r="I244" s="3480" t="s">
        <v>3408</v>
      </c>
      <c r="J244" s="3480" t="s">
        <v>3427</v>
      </c>
      <c r="K244" s="3480" t="s">
        <v>4087</v>
      </c>
      <c r="L244" s="3480" t="s">
        <v>4087</v>
      </c>
      <c r="M244" s="3480" t="s">
        <v>3460</v>
      </c>
      <c r="N244" s="3480" t="s">
        <v>3622</v>
      </c>
      <c r="O244" s="3480">
        <v>3186</v>
      </c>
      <c r="P244" s="3480">
        <v>638</v>
      </c>
      <c r="Q244" s="3480" t="s">
        <v>4088</v>
      </c>
      <c r="R244" s="3480">
        <v>3186</v>
      </c>
      <c r="S244" s="3480">
        <v>12054</v>
      </c>
      <c r="T244" s="3480">
        <v>0</v>
      </c>
    </row>
    <row r="245" spans="1:20" ht="14.25">
      <c r="A245" s="3480" t="s">
        <v>4089</v>
      </c>
      <c r="B245" s="3480" t="s">
        <v>3454</v>
      </c>
      <c r="C245" s="3480" t="s">
        <v>4090</v>
      </c>
      <c r="D245" s="3480" t="s">
        <v>3455</v>
      </c>
      <c r="E245" s="3480">
        <v>20008</v>
      </c>
      <c r="F245" s="3480">
        <v>60024</v>
      </c>
      <c r="G245" s="3480" t="s">
        <v>4091</v>
      </c>
      <c r="H245" s="3480" t="s">
        <v>3457</v>
      </c>
      <c r="I245" s="3480" t="s">
        <v>3407</v>
      </c>
      <c r="J245" s="3480" t="s">
        <v>3427</v>
      </c>
      <c r="K245" s="3480" t="s">
        <v>4087</v>
      </c>
      <c r="L245" s="3480" t="s">
        <v>4087</v>
      </c>
      <c r="M245" s="3480" t="s">
        <v>3460</v>
      </c>
      <c r="N245" s="3480" t="s">
        <v>4092</v>
      </c>
      <c r="O245" s="3480">
        <v>10027</v>
      </c>
      <c r="P245" s="3480">
        <v>2100</v>
      </c>
      <c r="Q245" s="3480" t="s">
        <v>4088</v>
      </c>
      <c r="R245" s="3480">
        <v>10027</v>
      </c>
      <c r="S245" s="3480">
        <v>1671</v>
      </c>
      <c r="T245" s="3480">
        <v>0</v>
      </c>
    </row>
    <row r="246" spans="1:20" ht="14.25">
      <c r="A246" s="3480" t="s">
        <v>4093</v>
      </c>
      <c r="B246" s="3480" t="s">
        <v>3454</v>
      </c>
      <c r="C246" s="3480" t="s">
        <v>4094</v>
      </c>
      <c r="D246" s="3480" t="s">
        <v>3455</v>
      </c>
      <c r="E246" s="3480">
        <v>133998</v>
      </c>
      <c r="F246" s="3480">
        <v>200997</v>
      </c>
      <c r="G246" s="3480" t="s">
        <v>3505</v>
      </c>
      <c r="H246" s="3480" t="s">
        <v>3457</v>
      </c>
      <c r="I246" s="3480" t="s">
        <v>3407</v>
      </c>
      <c r="J246" s="3480" t="s">
        <v>3427</v>
      </c>
      <c r="K246" s="3480" t="s">
        <v>4095</v>
      </c>
      <c r="L246" s="3480" t="s">
        <v>4095</v>
      </c>
      <c r="M246" s="3480" t="s">
        <v>3460</v>
      </c>
      <c r="N246" s="3480" t="s">
        <v>4096</v>
      </c>
      <c r="O246" s="3480">
        <v>35202</v>
      </c>
      <c r="P246" s="3480">
        <v>7041</v>
      </c>
      <c r="Q246" s="3480" t="s">
        <v>4097</v>
      </c>
      <c r="R246" s="3480">
        <v>35202</v>
      </c>
      <c r="S246" s="3480">
        <v>1751</v>
      </c>
      <c r="T246" s="3480">
        <v>0</v>
      </c>
    </row>
    <row r="247" spans="1:20" ht="14.25">
      <c r="A247" s="3480" t="s">
        <v>4098</v>
      </c>
      <c r="B247" s="3480" t="s">
        <v>3454</v>
      </c>
      <c r="C247" s="3480" t="s">
        <v>4099</v>
      </c>
      <c r="D247" s="3480" t="s">
        <v>3455</v>
      </c>
      <c r="E247" s="3480">
        <v>30217</v>
      </c>
      <c r="F247" s="3480">
        <v>90651</v>
      </c>
      <c r="G247" s="3480" t="s">
        <v>4032</v>
      </c>
      <c r="H247" s="3480" t="s">
        <v>3457</v>
      </c>
      <c r="I247" s="3480" t="s">
        <v>3407</v>
      </c>
      <c r="J247" s="3480" t="s">
        <v>3427</v>
      </c>
      <c r="K247" s="3480" t="s">
        <v>4095</v>
      </c>
      <c r="L247" s="3480" t="s">
        <v>4095</v>
      </c>
      <c r="M247" s="3480" t="s">
        <v>3460</v>
      </c>
      <c r="N247" s="3480" t="s">
        <v>4100</v>
      </c>
      <c r="O247" s="3480">
        <v>6799</v>
      </c>
      <c r="P247" s="3480">
        <v>1360</v>
      </c>
      <c r="Q247" s="3480" t="s">
        <v>4097</v>
      </c>
      <c r="R247" s="3480">
        <v>6799</v>
      </c>
      <c r="S247" s="3480">
        <v>750</v>
      </c>
      <c r="T247" s="3480">
        <v>0</v>
      </c>
    </row>
    <row r="248" spans="1:20" ht="14.25">
      <c r="A248" s="3480" t="s">
        <v>4101</v>
      </c>
      <c r="B248" s="3480" t="s">
        <v>3454</v>
      </c>
      <c r="C248" s="3480" t="s">
        <v>4102</v>
      </c>
      <c r="D248" s="3480" t="s">
        <v>3464</v>
      </c>
      <c r="E248" s="3480">
        <v>11639</v>
      </c>
      <c r="F248" s="3480">
        <v>33753.1</v>
      </c>
      <c r="G248" s="3480" t="s">
        <v>3569</v>
      </c>
      <c r="H248" s="3480" t="s">
        <v>3457</v>
      </c>
      <c r="I248" s="3480" t="s">
        <v>3408</v>
      </c>
      <c r="J248" s="3480" t="s">
        <v>3427</v>
      </c>
      <c r="K248" s="3480" t="s">
        <v>4103</v>
      </c>
      <c r="L248" s="3480" t="s">
        <v>4103</v>
      </c>
      <c r="M248" s="3480" t="s">
        <v>3460</v>
      </c>
      <c r="N248" s="3480" t="s">
        <v>4104</v>
      </c>
      <c r="O248" s="3480">
        <v>47255</v>
      </c>
      <c r="P248" s="3480">
        <v>9451</v>
      </c>
      <c r="Q248" s="3480" t="s">
        <v>4105</v>
      </c>
      <c r="R248" s="3480">
        <v>47455</v>
      </c>
      <c r="S248" s="3480">
        <v>14059</v>
      </c>
      <c r="T248" s="3480">
        <v>0.42</v>
      </c>
    </row>
    <row r="249" spans="1:20" ht="14.25">
      <c r="A249" s="3480" t="s">
        <v>4106</v>
      </c>
      <c r="B249" s="3480" t="s">
        <v>3454</v>
      </c>
      <c r="C249" s="3480" t="s">
        <v>4107</v>
      </c>
      <c r="D249" s="3480" t="s">
        <v>3629</v>
      </c>
      <c r="E249" s="3480">
        <v>108260</v>
      </c>
      <c r="F249" s="3480">
        <v>248998</v>
      </c>
      <c r="G249" s="3480" t="s">
        <v>3471</v>
      </c>
      <c r="H249" s="3480" t="s">
        <v>3457</v>
      </c>
      <c r="I249" s="3480" t="s">
        <v>4108</v>
      </c>
      <c r="J249" s="3480" t="s">
        <v>3427</v>
      </c>
      <c r="K249" s="3480" t="s">
        <v>4103</v>
      </c>
      <c r="L249" s="3480" t="s">
        <v>4103</v>
      </c>
      <c r="M249" s="3480" t="s">
        <v>3460</v>
      </c>
      <c r="N249" s="3480" t="s">
        <v>3473</v>
      </c>
      <c r="O249" s="3480">
        <v>187702</v>
      </c>
      <c r="P249" s="3480">
        <v>37541</v>
      </c>
      <c r="Q249" s="3480" t="s">
        <v>4105</v>
      </c>
      <c r="R249" s="3480">
        <v>188502</v>
      </c>
      <c r="S249" s="3480">
        <v>7570</v>
      </c>
      <c r="T249" s="3480">
        <v>0.43</v>
      </c>
    </row>
    <row r="250" spans="1:20" ht="14.25">
      <c r="A250" s="3480" t="s">
        <v>4109</v>
      </c>
      <c r="B250" s="3480" t="s">
        <v>3454</v>
      </c>
      <c r="C250" s="3480" t="s">
        <v>4110</v>
      </c>
      <c r="D250" s="3480" t="s">
        <v>3455</v>
      </c>
      <c r="E250" s="3480">
        <v>14528</v>
      </c>
      <c r="F250" s="3480">
        <v>29056</v>
      </c>
      <c r="G250" s="3480" t="s">
        <v>3456</v>
      </c>
      <c r="H250" s="3480" t="s">
        <v>3457</v>
      </c>
      <c r="I250" s="3480" t="s">
        <v>3407</v>
      </c>
      <c r="J250" s="3480" t="s">
        <v>3427</v>
      </c>
      <c r="K250" s="3480" t="s">
        <v>4111</v>
      </c>
      <c r="L250" s="3480" t="s">
        <v>4111</v>
      </c>
      <c r="M250" s="3480" t="s">
        <v>3460</v>
      </c>
      <c r="N250" s="3480" t="s">
        <v>4112</v>
      </c>
      <c r="O250" s="3480">
        <v>6047</v>
      </c>
      <c r="P250" s="3480">
        <v>1210</v>
      </c>
      <c r="Q250" s="3480" t="s">
        <v>4113</v>
      </c>
      <c r="R250" s="3480">
        <v>6047</v>
      </c>
      <c r="S250" s="3480">
        <v>2081</v>
      </c>
      <c r="T250" s="3480">
        <v>0</v>
      </c>
    </row>
    <row r="251" spans="1:20" ht="14.25">
      <c r="A251" s="3480" t="s">
        <v>4114</v>
      </c>
      <c r="B251" s="3480" t="s">
        <v>3454</v>
      </c>
      <c r="C251" s="3480" t="s">
        <v>4115</v>
      </c>
      <c r="D251" s="3480" t="s">
        <v>3455</v>
      </c>
      <c r="E251" s="3480">
        <v>492</v>
      </c>
      <c r="F251" s="3480">
        <v>418.2</v>
      </c>
      <c r="G251" s="3480" t="s">
        <v>3621</v>
      </c>
      <c r="H251" s="3480" t="s">
        <v>3457</v>
      </c>
      <c r="I251" s="3480" t="s">
        <v>3458</v>
      </c>
      <c r="J251" s="3480" t="s">
        <v>3427</v>
      </c>
      <c r="K251" s="3480" t="s">
        <v>4111</v>
      </c>
      <c r="L251" s="3480" t="s">
        <v>4111</v>
      </c>
      <c r="M251" s="3480" t="s">
        <v>3460</v>
      </c>
      <c r="N251" s="3480" t="s">
        <v>3622</v>
      </c>
      <c r="O251" s="3480">
        <v>453</v>
      </c>
      <c r="P251" s="3480">
        <v>91</v>
      </c>
      <c r="Q251" s="3480" t="s">
        <v>4113</v>
      </c>
      <c r="R251" s="3480">
        <v>453</v>
      </c>
      <c r="S251" s="3480">
        <v>10832</v>
      </c>
      <c r="T251" s="3480">
        <v>0</v>
      </c>
    </row>
    <row r="252" spans="1:20" ht="14.25">
      <c r="A252" s="3480" t="s">
        <v>4116</v>
      </c>
      <c r="B252" s="3480" t="s">
        <v>3454</v>
      </c>
      <c r="C252" s="3480" t="s">
        <v>4117</v>
      </c>
      <c r="D252" s="3480" t="s">
        <v>3455</v>
      </c>
      <c r="E252" s="3480">
        <v>674</v>
      </c>
      <c r="F252" s="3480">
        <v>505.5</v>
      </c>
      <c r="G252" s="3480" t="s">
        <v>3677</v>
      </c>
      <c r="H252" s="3480" t="s">
        <v>3457</v>
      </c>
      <c r="I252" s="3480" t="s">
        <v>3458</v>
      </c>
      <c r="J252" s="3480" t="s">
        <v>3427</v>
      </c>
      <c r="K252" s="3480" t="s">
        <v>4111</v>
      </c>
      <c r="L252" s="3480" t="s">
        <v>4111</v>
      </c>
      <c r="M252" s="3480" t="s">
        <v>3460</v>
      </c>
      <c r="N252" s="3480" t="s">
        <v>3622</v>
      </c>
      <c r="O252" s="3480">
        <v>609</v>
      </c>
      <c r="P252" s="3480">
        <v>122</v>
      </c>
      <c r="Q252" s="3480" t="s">
        <v>4113</v>
      </c>
      <c r="R252" s="3480">
        <v>609</v>
      </c>
      <c r="S252" s="3480">
        <v>12047</v>
      </c>
      <c r="T252" s="3480">
        <v>0</v>
      </c>
    </row>
    <row r="253" spans="1:20" ht="14.25">
      <c r="A253" s="3480" t="s">
        <v>4118</v>
      </c>
      <c r="B253" s="3480" t="s">
        <v>3454</v>
      </c>
      <c r="C253" s="3480" t="s">
        <v>4119</v>
      </c>
      <c r="D253" s="3480" t="s">
        <v>3455</v>
      </c>
      <c r="E253" s="3480">
        <v>50</v>
      </c>
      <c r="F253" s="3480">
        <v>45</v>
      </c>
      <c r="G253" s="3480" t="s">
        <v>4120</v>
      </c>
      <c r="H253" s="3480" t="s">
        <v>3457</v>
      </c>
      <c r="I253" s="3480" t="s">
        <v>3458</v>
      </c>
      <c r="J253" s="3480" t="s">
        <v>3427</v>
      </c>
      <c r="K253" s="3480" t="s">
        <v>4111</v>
      </c>
      <c r="L253" s="3480" t="s">
        <v>4111</v>
      </c>
      <c r="M253" s="3480" t="s">
        <v>3460</v>
      </c>
      <c r="N253" s="3480" t="s">
        <v>3622</v>
      </c>
      <c r="O253" s="3480">
        <v>47</v>
      </c>
      <c r="P253" s="3480">
        <v>10</v>
      </c>
      <c r="Q253" s="3480" t="s">
        <v>4113</v>
      </c>
      <c r="R253" s="3480">
        <v>47</v>
      </c>
      <c r="S253" s="3480">
        <v>10444</v>
      </c>
      <c r="T253" s="3480">
        <v>0</v>
      </c>
    </row>
    <row r="254" spans="1:20" ht="14.25">
      <c r="A254" s="3480" t="s">
        <v>4121</v>
      </c>
      <c r="B254" s="3480" t="s">
        <v>3454</v>
      </c>
      <c r="C254" s="3480" t="s">
        <v>4122</v>
      </c>
      <c r="D254" s="3480" t="s">
        <v>3455</v>
      </c>
      <c r="E254" s="3480">
        <v>320</v>
      </c>
      <c r="F254" s="3480">
        <v>240</v>
      </c>
      <c r="G254" s="3480" t="s">
        <v>3677</v>
      </c>
      <c r="H254" s="3480" t="s">
        <v>3457</v>
      </c>
      <c r="I254" s="3480" t="s">
        <v>3458</v>
      </c>
      <c r="J254" s="3480" t="s">
        <v>3427</v>
      </c>
      <c r="K254" s="3480" t="s">
        <v>4111</v>
      </c>
      <c r="L254" s="3480" t="s">
        <v>4111</v>
      </c>
      <c r="M254" s="3480" t="s">
        <v>3460</v>
      </c>
      <c r="N254" s="3480" t="s">
        <v>3622</v>
      </c>
      <c r="O254" s="3480">
        <v>290</v>
      </c>
      <c r="P254" s="3480">
        <v>59</v>
      </c>
      <c r="Q254" s="3480" t="s">
        <v>4113</v>
      </c>
      <c r="R254" s="3480">
        <v>290</v>
      </c>
      <c r="S254" s="3480">
        <v>12083</v>
      </c>
      <c r="T254" s="3480">
        <v>0</v>
      </c>
    </row>
    <row r="255" spans="1:20" ht="14.25">
      <c r="A255" s="3480" t="s">
        <v>4123</v>
      </c>
      <c r="B255" s="3480" t="s">
        <v>3454</v>
      </c>
      <c r="C255" s="3480" t="s">
        <v>4124</v>
      </c>
      <c r="D255" s="3480" t="s">
        <v>3455</v>
      </c>
      <c r="E255" s="3480">
        <v>29</v>
      </c>
      <c r="F255" s="3480">
        <v>27.55</v>
      </c>
      <c r="G255" s="3480" t="s">
        <v>3654</v>
      </c>
      <c r="H255" s="3480" t="s">
        <v>3457</v>
      </c>
      <c r="I255" s="3480" t="s">
        <v>3458</v>
      </c>
      <c r="J255" s="3480" t="s">
        <v>3427</v>
      </c>
      <c r="K255" s="3480" t="s">
        <v>4111</v>
      </c>
      <c r="L255" s="3480" t="s">
        <v>4111</v>
      </c>
      <c r="M255" s="3480" t="s">
        <v>3460</v>
      </c>
      <c r="N255" s="3480" t="s">
        <v>3622</v>
      </c>
      <c r="O255" s="3480">
        <v>28</v>
      </c>
      <c r="P255" s="3480">
        <v>6</v>
      </c>
      <c r="Q255" s="3480" t="s">
        <v>4113</v>
      </c>
      <c r="R255" s="3480">
        <v>28</v>
      </c>
      <c r="S255" s="3480">
        <v>10163</v>
      </c>
      <c r="T255" s="3480">
        <v>0</v>
      </c>
    </row>
    <row r="256" spans="1:20" ht="14.25">
      <c r="A256" s="3480" t="s">
        <v>4125</v>
      </c>
      <c r="B256" s="3480" t="s">
        <v>3454</v>
      </c>
      <c r="C256" s="3480" t="s">
        <v>4126</v>
      </c>
      <c r="D256" s="3480" t="s">
        <v>3455</v>
      </c>
      <c r="E256" s="3480">
        <v>526</v>
      </c>
      <c r="F256" s="3480">
        <v>447.1</v>
      </c>
      <c r="G256" s="3480" t="s">
        <v>3621</v>
      </c>
      <c r="H256" s="3480" t="s">
        <v>3457</v>
      </c>
      <c r="I256" s="3480" t="s">
        <v>3458</v>
      </c>
      <c r="J256" s="3480" t="s">
        <v>3427</v>
      </c>
      <c r="K256" s="3480" t="s">
        <v>4111</v>
      </c>
      <c r="L256" s="3480" t="s">
        <v>4111</v>
      </c>
      <c r="M256" s="3480" t="s">
        <v>3460</v>
      </c>
      <c r="N256" s="3480" t="s">
        <v>3622</v>
      </c>
      <c r="O256" s="3480">
        <v>485</v>
      </c>
      <c r="P256" s="3480">
        <v>98</v>
      </c>
      <c r="Q256" s="3480" t="s">
        <v>4113</v>
      </c>
      <c r="R256" s="3480">
        <v>485</v>
      </c>
      <c r="S256" s="3480">
        <v>10848</v>
      </c>
      <c r="T256" s="3480">
        <v>0</v>
      </c>
    </row>
    <row r="257" spans="1:20" ht="14.25">
      <c r="A257" s="3480" t="s">
        <v>4127</v>
      </c>
      <c r="B257" s="3480" t="s">
        <v>3454</v>
      </c>
      <c r="C257" s="3480" t="s">
        <v>4128</v>
      </c>
      <c r="D257" s="3480" t="s">
        <v>3455</v>
      </c>
      <c r="E257" s="3480">
        <v>838</v>
      </c>
      <c r="F257" s="3480">
        <v>670.4</v>
      </c>
      <c r="G257" s="3480" t="s">
        <v>4129</v>
      </c>
      <c r="H257" s="3480" t="s">
        <v>3457</v>
      </c>
      <c r="I257" s="3480" t="s">
        <v>3458</v>
      </c>
      <c r="J257" s="3480" t="s">
        <v>3427</v>
      </c>
      <c r="K257" s="3480" t="s">
        <v>4111</v>
      </c>
      <c r="L257" s="3480" t="s">
        <v>4111</v>
      </c>
      <c r="M257" s="3480" t="s">
        <v>3460</v>
      </c>
      <c r="N257" s="3480" t="s">
        <v>3622</v>
      </c>
      <c r="O257" s="3480">
        <v>766</v>
      </c>
      <c r="P257" s="3480">
        <v>154</v>
      </c>
      <c r="Q257" s="3480" t="s">
        <v>4113</v>
      </c>
      <c r="R257" s="3480">
        <v>766</v>
      </c>
      <c r="S257" s="3480">
        <v>11426</v>
      </c>
      <c r="T257" s="3480">
        <v>0</v>
      </c>
    </row>
    <row r="258" spans="1:20" ht="14.25">
      <c r="A258" s="3480" t="s">
        <v>4130</v>
      </c>
      <c r="B258" s="3480" t="s">
        <v>3454</v>
      </c>
      <c r="C258" s="3480" t="s">
        <v>4131</v>
      </c>
      <c r="D258" s="3480" t="s">
        <v>3455</v>
      </c>
      <c r="E258" s="3480">
        <v>82</v>
      </c>
      <c r="F258" s="3480">
        <v>69.7</v>
      </c>
      <c r="G258" s="3480" t="s">
        <v>3621</v>
      </c>
      <c r="H258" s="3480" t="s">
        <v>3457</v>
      </c>
      <c r="I258" s="3480" t="s">
        <v>3458</v>
      </c>
      <c r="J258" s="3480" t="s">
        <v>3427</v>
      </c>
      <c r="K258" s="3480" t="s">
        <v>4111</v>
      </c>
      <c r="L258" s="3480" t="s">
        <v>4111</v>
      </c>
      <c r="M258" s="3480" t="s">
        <v>3460</v>
      </c>
      <c r="N258" s="3480" t="s">
        <v>3622</v>
      </c>
      <c r="O258" s="3480">
        <v>76</v>
      </c>
      <c r="P258" s="3480">
        <v>16</v>
      </c>
      <c r="Q258" s="3480" t="s">
        <v>4113</v>
      </c>
      <c r="R258" s="3480">
        <v>76</v>
      </c>
      <c r="S258" s="3480">
        <v>10904</v>
      </c>
      <c r="T258" s="3480">
        <v>0</v>
      </c>
    </row>
    <row r="259" spans="1:20" ht="14.25">
      <c r="A259" s="3480" t="s">
        <v>4132</v>
      </c>
      <c r="B259" s="3480" t="s">
        <v>3454</v>
      </c>
      <c r="C259" s="3480" t="s">
        <v>4133</v>
      </c>
      <c r="D259" s="3480" t="s">
        <v>3629</v>
      </c>
      <c r="E259" s="3480">
        <v>323</v>
      </c>
      <c r="F259" s="3480">
        <v>290.7</v>
      </c>
      <c r="G259" s="3480" t="s">
        <v>3662</v>
      </c>
      <c r="H259" s="3480" t="s">
        <v>3457</v>
      </c>
      <c r="I259" s="3480" t="s">
        <v>3631</v>
      </c>
      <c r="J259" s="3480" t="s">
        <v>3427</v>
      </c>
      <c r="K259" s="3480" t="s">
        <v>4111</v>
      </c>
      <c r="L259" s="3480" t="s">
        <v>4111</v>
      </c>
      <c r="M259" s="3480" t="s">
        <v>3460</v>
      </c>
      <c r="N259" s="3480" t="s">
        <v>3622</v>
      </c>
      <c r="O259" s="3480">
        <v>350</v>
      </c>
      <c r="P259" s="3480">
        <v>71</v>
      </c>
      <c r="Q259" s="3480" t="s">
        <v>4113</v>
      </c>
      <c r="R259" s="3480">
        <v>350</v>
      </c>
      <c r="S259" s="3480">
        <v>12040</v>
      </c>
      <c r="T259" s="3480">
        <v>0</v>
      </c>
    </row>
    <row r="260" spans="1:20" ht="14.25">
      <c r="A260" s="3480" t="s">
        <v>4134</v>
      </c>
      <c r="B260" s="3480" t="s">
        <v>3454</v>
      </c>
      <c r="C260" s="3480" t="s">
        <v>4135</v>
      </c>
      <c r="D260" s="3480" t="s">
        <v>3455</v>
      </c>
      <c r="E260" s="3480">
        <v>220</v>
      </c>
      <c r="F260" s="3480">
        <v>154</v>
      </c>
      <c r="G260" s="3480" t="s">
        <v>3641</v>
      </c>
      <c r="H260" s="3480" t="s">
        <v>3457</v>
      </c>
      <c r="I260" s="3480" t="s">
        <v>3458</v>
      </c>
      <c r="J260" s="3480" t="s">
        <v>3427</v>
      </c>
      <c r="K260" s="3480" t="s">
        <v>4111</v>
      </c>
      <c r="L260" s="3480" t="s">
        <v>4111</v>
      </c>
      <c r="M260" s="3480" t="s">
        <v>3460</v>
      </c>
      <c r="N260" s="3480" t="s">
        <v>3622</v>
      </c>
      <c r="O260" s="3480">
        <v>196</v>
      </c>
      <c r="P260" s="3480">
        <v>40</v>
      </c>
      <c r="Q260" s="3480" t="s">
        <v>4113</v>
      </c>
      <c r="R260" s="3480">
        <v>196</v>
      </c>
      <c r="S260" s="3480">
        <v>12727</v>
      </c>
      <c r="T260" s="3480">
        <v>0</v>
      </c>
    </row>
    <row r="261" spans="1:20" ht="14.25">
      <c r="A261" s="3480" t="s">
        <v>4136</v>
      </c>
      <c r="B261" s="3480" t="s">
        <v>3454</v>
      </c>
      <c r="C261" s="3480" t="s">
        <v>4137</v>
      </c>
      <c r="D261" s="3480" t="s">
        <v>3455</v>
      </c>
      <c r="E261" s="3480">
        <v>40</v>
      </c>
      <c r="F261" s="3480">
        <v>40</v>
      </c>
      <c r="G261" s="3480" t="s">
        <v>4138</v>
      </c>
      <c r="H261" s="3480" t="s">
        <v>3457</v>
      </c>
      <c r="I261" s="3480" t="s">
        <v>3458</v>
      </c>
      <c r="J261" s="3480" t="s">
        <v>3427</v>
      </c>
      <c r="K261" s="3480" t="s">
        <v>4111</v>
      </c>
      <c r="L261" s="3480" t="s">
        <v>4111</v>
      </c>
      <c r="M261" s="3480" t="s">
        <v>3460</v>
      </c>
      <c r="N261" s="3480" t="s">
        <v>3622</v>
      </c>
      <c r="O261" s="3480">
        <v>38</v>
      </c>
      <c r="P261" s="3480">
        <v>8</v>
      </c>
      <c r="Q261" s="3480" t="s">
        <v>4113</v>
      </c>
      <c r="R261" s="3480">
        <v>38</v>
      </c>
      <c r="S261" s="3480">
        <v>9500</v>
      </c>
      <c r="T261" s="3480">
        <v>0</v>
      </c>
    </row>
    <row r="262" spans="1:20" ht="14.25">
      <c r="A262" s="3480" t="s">
        <v>4139</v>
      </c>
      <c r="B262" s="3480" t="s">
        <v>3454</v>
      </c>
      <c r="C262" s="3480" t="s">
        <v>4140</v>
      </c>
      <c r="D262" s="3480" t="s">
        <v>3629</v>
      </c>
      <c r="E262" s="3480">
        <v>305</v>
      </c>
      <c r="F262" s="3480">
        <v>265.35000000000002</v>
      </c>
      <c r="G262" s="3480" t="s">
        <v>4141</v>
      </c>
      <c r="H262" s="3480" t="s">
        <v>3457</v>
      </c>
      <c r="I262" s="3480" t="s">
        <v>3631</v>
      </c>
      <c r="J262" s="3480" t="s">
        <v>3427</v>
      </c>
      <c r="K262" s="3480" t="s">
        <v>4111</v>
      </c>
      <c r="L262" s="3480" t="s">
        <v>4111</v>
      </c>
      <c r="M262" s="3480" t="s">
        <v>3460</v>
      </c>
      <c r="N262" s="3480" t="s">
        <v>3622</v>
      </c>
      <c r="O262" s="3480">
        <v>330</v>
      </c>
      <c r="P262" s="3480">
        <v>67</v>
      </c>
      <c r="Q262" s="3480" t="s">
        <v>4113</v>
      </c>
      <c r="R262" s="3480">
        <v>330</v>
      </c>
      <c r="S262" s="3480">
        <v>12436</v>
      </c>
      <c r="T262" s="3480">
        <v>0</v>
      </c>
    </row>
    <row r="263" spans="1:20" ht="14.25">
      <c r="A263" s="3480" t="s">
        <v>4142</v>
      </c>
      <c r="B263" s="3480" t="s">
        <v>3454</v>
      </c>
      <c r="C263" s="3480" t="s">
        <v>4143</v>
      </c>
      <c r="D263" s="3480" t="s">
        <v>3455</v>
      </c>
      <c r="E263" s="3480">
        <v>565</v>
      </c>
      <c r="F263" s="3480">
        <v>367.25</v>
      </c>
      <c r="G263" s="3480" t="s">
        <v>4144</v>
      </c>
      <c r="H263" s="3480" t="s">
        <v>3457</v>
      </c>
      <c r="I263" s="3480" t="s">
        <v>3458</v>
      </c>
      <c r="J263" s="3480" t="s">
        <v>3427</v>
      </c>
      <c r="K263" s="3480" t="s">
        <v>4111</v>
      </c>
      <c r="L263" s="3480" t="s">
        <v>4111</v>
      </c>
      <c r="M263" s="3480" t="s">
        <v>3460</v>
      </c>
      <c r="N263" s="3480" t="s">
        <v>3622</v>
      </c>
      <c r="O263" s="3480">
        <v>498</v>
      </c>
      <c r="P263" s="3480">
        <v>100</v>
      </c>
      <c r="Q263" s="3480" t="s">
        <v>4113</v>
      </c>
      <c r="R263" s="3480">
        <v>498</v>
      </c>
      <c r="S263" s="3480">
        <v>13560</v>
      </c>
      <c r="T263" s="3480">
        <v>0</v>
      </c>
    </row>
    <row r="264" spans="1:20" ht="14.25">
      <c r="A264" s="3480" t="s">
        <v>4145</v>
      </c>
      <c r="B264" s="3480" t="s">
        <v>3454</v>
      </c>
      <c r="C264" s="3480" t="s">
        <v>4146</v>
      </c>
      <c r="D264" s="3480" t="s">
        <v>3455</v>
      </c>
      <c r="E264" s="3480">
        <v>309</v>
      </c>
      <c r="F264" s="3480">
        <v>200.85</v>
      </c>
      <c r="G264" s="3480" t="s">
        <v>4144</v>
      </c>
      <c r="H264" s="3480" t="s">
        <v>3457</v>
      </c>
      <c r="I264" s="3480" t="s">
        <v>3458</v>
      </c>
      <c r="J264" s="3480" t="s">
        <v>3427</v>
      </c>
      <c r="K264" s="3480" t="s">
        <v>4111</v>
      </c>
      <c r="L264" s="3480" t="s">
        <v>4111</v>
      </c>
      <c r="M264" s="3480" t="s">
        <v>3460</v>
      </c>
      <c r="N264" s="3480" t="s">
        <v>3622</v>
      </c>
      <c r="O264" s="3480">
        <v>273</v>
      </c>
      <c r="P264" s="3480">
        <v>55</v>
      </c>
      <c r="Q264" s="3480" t="s">
        <v>4113</v>
      </c>
      <c r="R264" s="3480">
        <v>273</v>
      </c>
      <c r="S264" s="3480">
        <v>13592</v>
      </c>
      <c r="T264" s="3480">
        <v>0</v>
      </c>
    </row>
    <row r="265" spans="1:20" ht="14.25">
      <c r="A265" s="3480" t="s">
        <v>4147</v>
      </c>
      <c r="B265" s="3480" t="s">
        <v>3454</v>
      </c>
      <c r="C265" s="3480" t="s">
        <v>4148</v>
      </c>
      <c r="D265" s="3480" t="s">
        <v>3629</v>
      </c>
      <c r="E265" s="3480">
        <v>626</v>
      </c>
      <c r="F265" s="3480">
        <v>438.2</v>
      </c>
      <c r="G265" s="3480" t="s">
        <v>4149</v>
      </c>
      <c r="H265" s="3480" t="s">
        <v>3457</v>
      </c>
      <c r="I265" s="3480" t="s">
        <v>3631</v>
      </c>
      <c r="J265" s="3480" t="s">
        <v>3427</v>
      </c>
      <c r="K265" s="3480" t="s">
        <v>4111</v>
      </c>
      <c r="L265" s="3480" t="s">
        <v>4111</v>
      </c>
      <c r="M265" s="3480" t="s">
        <v>3460</v>
      </c>
      <c r="N265" s="3480" t="s">
        <v>3622</v>
      </c>
      <c r="O265" s="3480">
        <v>662</v>
      </c>
      <c r="P265" s="3480">
        <v>133</v>
      </c>
      <c r="Q265" s="3480" t="s">
        <v>4113</v>
      </c>
      <c r="R265" s="3480">
        <v>662</v>
      </c>
      <c r="S265" s="3480">
        <v>15107</v>
      </c>
      <c r="T265" s="3480">
        <v>0</v>
      </c>
    </row>
    <row r="266" spans="1:20" ht="14.25">
      <c r="A266" s="3480" t="s">
        <v>4150</v>
      </c>
      <c r="B266" s="3480" t="s">
        <v>3454</v>
      </c>
      <c r="C266" s="3480" t="s">
        <v>4151</v>
      </c>
      <c r="D266" s="3480" t="s">
        <v>3455</v>
      </c>
      <c r="E266" s="3480">
        <v>797</v>
      </c>
      <c r="F266" s="3480">
        <v>518.04999999999995</v>
      </c>
      <c r="G266" s="3480" t="s">
        <v>4144</v>
      </c>
      <c r="H266" s="3480" t="s">
        <v>3457</v>
      </c>
      <c r="I266" s="3480" t="s">
        <v>3458</v>
      </c>
      <c r="J266" s="3480" t="s">
        <v>3427</v>
      </c>
      <c r="K266" s="3480" t="s">
        <v>4111</v>
      </c>
      <c r="L266" s="3480" t="s">
        <v>4111</v>
      </c>
      <c r="M266" s="3480" t="s">
        <v>3460</v>
      </c>
      <c r="N266" s="3480" t="s">
        <v>3622</v>
      </c>
      <c r="O266" s="3480">
        <v>703</v>
      </c>
      <c r="P266" s="3480">
        <v>141</v>
      </c>
      <c r="Q266" s="3480" t="s">
        <v>4113</v>
      </c>
      <c r="R266" s="3480">
        <v>703</v>
      </c>
      <c r="S266" s="3480">
        <v>13570</v>
      </c>
      <c r="T266" s="3480">
        <v>0</v>
      </c>
    </row>
    <row r="267" spans="1:20" ht="14.25">
      <c r="A267" s="3480" t="s">
        <v>4152</v>
      </c>
      <c r="B267" s="3480" t="s">
        <v>3454</v>
      </c>
      <c r="C267" s="3480" t="s">
        <v>4153</v>
      </c>
      <c r="D267" s="3480" t="s">
        <v>3455</v>
      </c>
      <c r="E267" s="3480">
        <v>735</v>
      </c>
      <c r="F267" s="3480">
        <v>588</v>
      </c>
      <c r="G267" s="3480" t="s">
        <v>4129</v>
      </c>
      <c r="H267" s="3480" t="s">
        <v>3457</v>
      </c>
      <c r="I267" s="3480" t="s">
        <v>3458</v>
      </c>
      <c r="J267" s="3480" t="s">
        <v>3427</v>
      </c>
      <c r="K267" s="3480" t="s">
        <v>4111</v>
      </c>
      <c r="L267" s="3480" t="s">
        <v>4111</v>
      </c>
      <c r="M267" s="3480" t="s">
        <v>3460</v>
      </c>
      <c r="N267" s="3480" t="s">
        <v>3622</v>
      </c>
      <c r="O267" s="3480">
        <v>671</v>
      </c>
      <c r="P267" s="3480">
        <v>135</v>
      </c>
      <c r="Q267" s="3480" t="s">
        <v>4113</v>
      </c>
      <c r="R267" s="3480">
        <v>671</v>
      </c>
      <c r="S267" s="3480">
        <v>11412</v>
      </c>
      <c r="T267" s="3480">
        <v>0</v>
      </c>
    </row>
    <row r="268" spans="1:20" ht="14.25">
      <c r="A268" s="3480" t="s">
        <v>4154</v>
      </c>
      <c r="B268" s="3480" t="s">
        <v>3454</v>
      </c>
      <c r="C268" s="3480" t="s">
        <v>4155</v>
      </c>
      <c r="D268" s="3480" t="s">
        <v>3455</v>
      </c>
      <c r="E268" s="3480">
        <v>49</v>
      </c>
      <c r="F268" s="3480">
        <v>49</v>
      </c>
      <c r="G268" s="3480" t="s">
        <v>4138</v>
      </c>
      <c r="H268" s="3480" t="s">
        <v>3457</v>
      </c>
      <c r="I268" s="3480" t="s">
        <v>3458</v>
      </c>
      <c r="J268" s="3480" t="s">
        <v>3427</v>
      </c>
      <c r="K268" s="3480" t="s">
        <v>4111</v>
      </c>
      <c r="L268" s="3480" t="s">
        <v>4111</v>
      </c>
      <c r="M268" s="3480" t="s">
        <v>3460</v>
      </c>
      <c r="N268" s="3480" t="s">
        <v>3622</v>
      </c>
      <c r="O268" s="3480">
        <v>47</v>
      </c>
      <c r="P268" s="3480">
        <v>10</v>
      </c>
      <c r="Q268" s="3480" t="s">
        <v>4113</v>
      </c>
      <c r="R268" s="3480">
        <v>47</v>
      </c>
      <c r="S268" s="3480">
        <v>9592</v>
      </c>
      <c r="T268" s="3480">
        <v>0</v>
      </c>
    </row>
    <row r="269" spans="1:20" ht="14.25">
      <c r="A269" s="3480" t="s">
        <v>4156</v>
      </c>
      <c r="B269" s="3480" t="s">
        <v>3454</v>
      </c>
      <c r="C269" s="3480" t="s">
        <v>4157</v>
      </c>
      <c r="D269" s="3480" t="s">
        <v>3455</v>
      </c>
      <c r="E269" s="3480">
        <v>762</v>
      </c>
      <c r="F269" s="3480">
        <v>533.4</v>
      </c>
      <c r="G269" s="3480" t="s">
        <v>4149</v>
      </c>
      <c r="H269" s="3480" t="s">
        <v>3457</v>
      </c>
      <c r="I269" s="3480" t="s">
        <v>3458</v>
      </c>
      <c r="J269" s="3480" t="s">
        <v>3427</v>
      </c>
      <c r="K269" s="3480" t="s">
        <v>4111</v>
      </c>
      <c r="L269" s="3480" t="s">
        <v>4111</v>
      </c>
      <c r="M269" s="3480" t="s">
        <v>3460</v>
      </c>
      <c r="N269" s="3480" t="s">
        <v>3622</v>
      </c>
      <c r="O269" s="3480">
        <v>675</v>
      </c>
      <c r="P269" s="3480">
        <v>136</v>
      </c>
      <c r="Q269" s="3480" t="s">
        <v>4113</v>
      </c>
      <c r="R269" s="3480">
        <v>675</v>
      </c>
      <c r="S269" s="3480">
        <v>12655</v>
      </c>
      <c r="T269" s="3480">
        <v>0</v>
      </c>
    </row>
    <row r="270" spans="1:20" ht="14.25">
      <c r="A270" s="3480" t="s">
        <v>4158</v>
      </c>
      <c r="B270" s="3480" t="s">
        <v>3454</v>
      </c>
      <c r="C270" s="3480" t="s">
        <v>4158</v>
      </c>
      <c r="D270" s="3480" t="s">
        <v>3455</v>
      </c>
      <c r="E270" s="3480">
        <v>31957</v>
      </c>
      <c r="F270" s="3480">
        <v>63914</v>
      </c>
      <c r="G270" s="3480" t="s">
        <v>3456</v>
      </c>
      <c r="H270" s="3480" t="s">
        <v>3457</v>
      </c>
      <c r="I270" s="3480" t="s">
        <v>3458</v>
      </c>
      <c r="J270" s="3480" t="s">
        <v>3427</v>
      </c>
      <c r="K270" s="3480" t="s">
        <v>4111</v>
      </c>
      <c r="L270" s="3480" t="s">
        <v>4111</v>
      </c>
      <c r="M270" s="3480" t="s">
        <v>3460</v>
      </c>
      <c r="N270" s="3480" t="s">
        <v>3725</v>
      </c>
      <c r="O270" s="3480">
        <v>7191</v>
      </c>
      <c r="P270" s="3480">
        <v>7191</v>
      </c>
      <c r="Q270" s="3480" t="s">
        <v>4113</v>
      </c>
      <c r="R270" s="3480">
        <v>7191</v>
      </c>
      <c r="S270" s="3480">
        <v>1125</v>
      </c>
      <c r="T270" s="3480">
        <v>0</v>
      </c>
    </row>
    <row r="271" spans="1:20" ht="14.25">
      <c r="A271" s="3480" t="s">
        <v>4159</v>
      </c>
      <c r="B271" s="3480" t="s">
        <v>3454</v>
      </c>
      <c r="C271" s="3480" t="s">
        <v>4159</v>
      </c>
      <c r="D271" s="3480" t="s">
        <v>3455</v>
      </c>
      <c r="E271" s="3480">
        <v>15570</v>
      </c>
      <c r="F271" s="3480">
        <v>23355</v>
      </c>
      <c r="G271" s="3480" t="s">
        <v>3579</v>
      </c>
      <c r="H271" s="3480" t="s">
        <v>3457</v>
      </c>
      <c r="I271" s="3480" t="s">
        <v>3458</v>
      </c>
      <c r="J271" s="3480" t="s">
        <v>3427</v>
      </c>
      <c r="K271" s="3480" t="s">
        <v>4160</v>
      </c>
      <c r="L271" s="3480" t="s">
        <v>4160</v>
      </c>
      <c r="M271" s="3480" t="s">
        <v>3460</v>
      </c>
      <c r="N271" s="3480" t="s">
        <v>3580</v>
      </c>
      <c r="O271" s="3480">
        <v>4671</v>
      </c>
      <c r="P271" s="3480">
        <v>2400</v>
      </c>
      <c r="Q271" s="3480" t="s">
        <v>4161</v>
      </c>
      <c r="R271" s="3480">
        <v>4671</v>
      </c>
      <c r="S271" s="3480">
        <v>2000</v>
      </c>
      <c r="T271" s="3480">
        <v>0</v>
      </c>
    </row>
    <row r="272" spans="1:20" ht="14.25">
      <c r="A272" s="3480" t="s">
        <v>4162</v>
      </c>
      <c r="B272" s="3480" t="s">
        <v>3454</v>
      </c>
      <c r="C272" s="3480" t="s">
        <v>4162</v>
      </c>
      <c r="D272" s="3480" t="s">
        <v>3455</v>
      </c>
      <c r="E272" s="3480">
        <v>4317</v>
      </c>
      <c r="F272" s="3480">
        <v>6475.5</v>
      </c>
      <c r="G272" s="3480" t="s">
        <v>3579</v>
      </c>
      <c r="H272" s="3480" t="s">
        <v>3457</v>
      </c>
      <c r="I272" s="3480" t="s">
        <v>3458</v>
      </c>
      <c r="J272" s="3480" t="s">
        <v>3427</v>
      </c>
      <c r="K272" s="3480" t="s">
        <v>4160</v>
      </c>
      <c r="L272" s="3480" t="s">
        <v>4160</v>
      </c>
      <c r="M272" s="3480" t="s">
        <v>3460</v>
      </c>
      <c r="N272" s="3480" t="s">
        <v>3580</v>
      </c>
      <c r="O272" s="3480">
        <v>1296</v>
      </c>
      <c r="P272" s="3480">
        <v>650</v>
      </c>
      <c r="Q272" s="3480" t="s">
        <v>4161</v>
      </c>
      <c r="R272" s="3480">
        <v>1296</v>
      </c>
      <c r="S272" s="3480">
        <v>2001</v>
      </c>
      <c r="T272" s="3480">
        <v>0</v>
      </c>
    </row>
    <row r="273" spans="1:20" ht="14.25">
      <c r="A273" s="3480" t="s">
        <v>4163</v>
      </c>
      <c r="B273" s="3480" t="s">
        <v>3454</v>
      </c>
      <c r="C273" s="3480" t="s">
        <v>4164</v>
      </c>
      <c r="D273" s="3480" t="s">
        <v>3629</v>
      </c>
      <c r="E273" s="3480">
        <v>15869</v>
      </c>
      <c r="F273" s="3480">
        <v>36498.699999999997</v>
      </c>
      <c r="G273" s="3480" t="s">
        <v>4165</v>
      </c>
      <c r="H273" s="3480" t="s">
        <v>3457</v>
      </c>
      <c r="I273" s="3480" t="s">
        <v>3408</v>
      </c>
      <c r="J273" s="3480" t="s">
        <v>3427</v>
      </c>
      <c r="K273" s="3480" t="s">
        <v>4166</v>
      </c>
      <c r="L273" s="3480" t="s">
        <v>4166</v>
      </c>
      <c r="M273" s="3480" t="s">
        <v>3460</v>
      </c>
      <c r="N273" s="3480" t="s">
        <v>4167</v>
      </c>
      <c r="O273" s="3480">
        <v>34612</v>
      </c>
      <c r="P273" s="3480">
        <v>6930</v>
      </c>
      <c r="Q273" s="3480" t="s">
        <v>4168</v>
      </c>
      <c r="R273" s="3480">
        <v>34612</v>
      </c>
      <c r="S273" s="3480">
        <v>9483</v>
      </c>
      <c r="T273" s="3480">
        <v>0</v>
      </c>
    </row>
    <row r="274" spans="1:20" s="3183" customFormat="1" ht="14.25">
      <c r="A274" s="3481" t="s">
        <v>4169</v>
      </c>
      <c r="B274" s="3481" t="s">
        <v>3454</v>
      </c>
      <c r="C274" s="3481" t="s">
        <v>4170</v>
      </c>
      <c r="D274" s="3481" t="s">
        <v>3464</v>
      </c>
      <c r="E274" s="3481">
        <v>81009</v>
      </c>
      <c r="F274" s="3481">
        <v>162018</v>
      </c>
      <c r="G274" s="3481" t="s">
        <v>3523</v>
      </c>
      <c r="H274" s="3481" t="s">
        <v>3457</v>
      </c>
      <c r="I274" s="3481" t="s">
        <v>3408</v>
      </c>
      <c r="J274" s="3481" t="s">
        <v>3427</v>
      </c>
      <c r="K274" s="3481" t="s">
        <v>4171</v>
      </c>
      <c r="L274" s="3481" t="s">
        <v>4171</v>
      </c>
      <c r="M274" s="3481" t="s">
        <v>3460</v>
      </c>
      <c r="N274" s="3481" t="s">
        <v>4172</v>
      </c>
      <c r="O274" s="3481">
        <v>31619</v>
      </c>
      <c r="P274" s="3481">
        <v>6324</v>
      </c>
      <c r="Q274" s="3481" t="s">
        <v>4173</v>
      </c>
      <c r="R274" s="3481">
        <v>31619</v>
      </c>
      <c r="S274" s="3481">
        <v>1952</v>
      </c>
      <c r="T274" s="3481">
        <v>0</v>
      </c>
    </row>
    <row r="275" spans="1:20" ht="14.25">
      <c r="A275" s="3480" t="s">
        <v>4174</v>
      </c>
      <c r="B275" s="3480" t="s">
        <v>3454</v>
      </c>
      <c r="C275" s="3480" t="s">
        <v>4175</v>
      </c>
      <c r="D275" s="3480" t="s">
        <v>3629</v>
      </c>
      <c r="E275" s="3480">
        <v>24158</v>
      </c>
      <c r="F275" s="3480">
        <v>55563.4</v>
      </c>
      <c r="G275" s="3480" t="s">
        <v>4165</v>
      </c>
      <c r="H275" s="3480" t="s">
        <v>3457</v>
      </c>
      <c r="I275" s="3480" t="s">
        <v>3408</v>
      </c>
      <c r="J275" s="3480" t="s">
        <v>3427</v>
      </c>
      <c r="K275" s="3480" t="s">
        <v>4166</v>
      </c>
      <c r="L275" s="3480" t="s">
        <v>4166</v>
      </c>
      <c r="M275" s="3480" t="s">
        <v>3460</v>
      </c>
      <c r="N275" s="3480" t="s">
        <v>4167</v>
      </c>
      <c r="O275" s="3480">
        <v>52636</v>
      </c>
      <c r="P275" s="3480">
        <v>10530</v>
      </c>
      <c r="Q275" s="3480" t="s">
        <v>4168</v>
      </c>
      <c r="R275" s="3480">
        <v>52636</v>
      </c>
      <c r="S275" s="3480">
        <v>9473</v>
      </c>
      <c r="T275" s="3480">
        <v>0</v>
      </c>
    </row>
    <row r="276" spans="1:20" s="3183" customFormat="1" ht="14.25">
      <c r="A276" s="3481" t="s">
        <v>4176</v>
      </c>
      <c r="B276" s="3481" t="s">
        <v>3454</v>
      </c>
      <c r="C276" s="3481" t="s">
        <v>4177</v>
      </c>
      <c r="D276" s="3481" t="s">
        <v>3464</v>
      </c>
      <c r="E276" s="3481">
        <v>9876</v>
      </c>
      <c r="F276" s="3481">
        <v>17776.8</v>
      </c>
      <c r="G276" s="3481" t="s">
        <v>4178</v>
      </c>
      <c r="H276" s="3481" t="s">
        <v>3457</v>
      </c>
      <c r="I276" s="3481" t="s">
        <v>3408</v>
      </c>
      <c r="J276" s="3481" t="s">
        <v>3427</v>
      </c>
      <c r="K276" s="3481" t="s">
        <v>4179</v>
      </c>
      <c r="L276" s="3481" t="s">
        <v>4179</v>
      </c>
      <c r="M276" s="3481" t="s">
        <v>3460</v>
      </c>
      <c r="N276" s="3481" t="s">
        <v>3484</v>
      </c>
      <c r="O276" s="3481">
        <v>6080</v>
      </c>
      <c r="P276" s="3481">
        <v>1980</v>
      </c>
      <c r="Q276" s="3481" t="s">
        <v>4180</v>
      </c>
      <c r="R276" s="3481">
        <v>6080</v>
      </c>
      <c r="S276" s="3481">
        <v>3420</v>
      </c>
      <c r="T276" s="3481">
        <v>0</v>
      </c>
    </row>
    <row r="277" spans="1:20" ht="14.25">
      <c r="A277" s="3480" t="s">
        <v>4181</v>
      </c>
      <c r="B277" s="3480" t="s">
        <v>3454</v>
      </c>
      <c r="C277" s="3480" t="s">
        <v>4182</v>
      </c>
      <c r="D277" s="3480" t="s">
        <v>3464</v>
      </c>
      <c r="E277" s="3480">
        <v>42162</v>
      </c>
      <c r="F277" s="3480">
        <v>84324</v>
      </c>
      <c r="G277" s="3480" t="s">
        <v>3728</v>
      </c>
      <c r="H277" s="3480" t="s">
        <v>3457</v>
      </c>
      <c r="I277" s="3480" t="s">
        <v>3408</v>
      </c>
      <c r="J277" s="3480" t="s">
        <v>3427</v>
      </c>
      <c r="K277" s="3480" t="s">
        <v>4179</v>
      </c>
      <c r="L277" s="3480" t="s">
        <v>4179</v>
      </c>
      <c r="M277" s="3480" t="s">
        <v>3460</v>
      </c>
      <c r="N277" s="3480" t="s">
        <v>4183</v>
      </c>
      <c r="O277" s="3480">
        <v>26570</v>
      </c>
      <c r="P277" s="3480">
        <v>5320</v>
      </c>
      <c r="Q277" s="3480" t="s">
        <v>4180</v>
      </c>
      <c r="R277" s="3480">
        <v>26570</v>
      </c>
      <c r="S277" s="3480">
        <v>3151</v>
      </c>
      <c r="T277" s="3480">
        <v>0</v>
      </c>
    </row>
    <row r="278" spans="1:20" ht="14.25">
      <c r="A278" s="3480" t="s">
        <v>4184</v>
      </c>
      <c r="B278" s="3480" t="s">
        <v>3454</v>
      </c>
      <c r="C278" s="3480" t="s">
        <v>4185</v>
      </c>
      <c r="D278" s="3480" t="s">
        <v>3455</v>
      </c>
      <c r="E278" s="3480">
        <v>96992</v>
      </c>
      <c r="F278" s="3480">
        <v>126089.60000000001</v>
      </c>
      <c r="G278" s="3480" t="s">
        <v>4083</v>
      </c>
      <c r="H278" s="3480" t="s">
        <v>3457</v>
      </c>
      <c r="I278" s="3480" t="s">
        <v>3973</v>
      </c>
      <c r="J278" s="3480" t="s">
        <v>3427</v>
      </c>
      <c r="K278" s="3480" t="s">
        <v>4179</v>
      </c>
      <c r="L278" s="3480" t="s">
        <v>4179</v>
      </c>
      <c r="M278" s="3480" t="s">
        <v>3460</v>
      </c>
      <c r="N278" s="3480" t="s">
        <v>4186</v>
      </c>
      <c r="O278" s="3480">
        <v>18920</v>
      </c>
      <c r="P278" s="3480">
        <v>3790</v>
      </c>
      <c r="Q278" s="3480" t="s">
        <v>4180</v>
      </c>
      <c r="R278" s="3480">
        <v>18920</v>
      </c>
      <c r="S278" s="3480">
        <v>1501</v>
      </c>
      <c r="T278" s="3480">
        <v>0</v>
      </c>
    </row>
    <row r="279" spans="1:20" ht="14.25">
      <c r="A279" s="3480" t="s">
        <v>4187</v>
      </c>
      <c r="B279" s="3480" t="s">
        <v>3454</v>
      </c>
      <c r="C279" s="3480" t="s">
        <v>4188</v>
      </c>
      <c r="D279" s="3480" t="s">
        <v>3455</v>
      </c>
      <c r="E279" s="3480">
        <v>9014</v>
      </c>
      <c r="F279" s="3480">
        <v>22535</v>
      </c>
      <c r="G279" s="3480" t="s">
        <v>3511</v>
      </c>
      <c r="H279" s="3480" t="s">
        <v>3457</v>
      </c>
      <c r="I279" s="3480" t="s">
        <v>3407</v>
      </c>
      <c r="J279" s="3480" t="s">
        <v>3427</v>
      </c>
      <c r="K279" s="3480" t="s">
        <v>4179</v>
      </c>
      <c r="L279" s="3480" t="s">
        <v>4179</v>
      </c>
      <c r="M279" s="3480" t="s">
        <v>3460</v>
      </c>
      <c r="N279" s="3480" t="s">
        <v>3484</v>
      </c>
      <c r="O279" s="3480">
        <v>3790</v>
      </c>
      <c r="P279" s="3480">
        <v>1980</v>
      </c>
      <c r="Q279" s="3480" t="s">
        <v>4180</v>
      </c>
      <c r="R279" s="3480">
        <v>3790</v>
      </c>
      <c r="S279" s="3480">
        <v>1682</v>
      </c>
      <c r="T279" s="3480">
        <v>0</v>
      </c>
    </row>
    <row r="280" spans="1:20" ht="14.25">
      <c r="A280" s="3480" t="s">
        <v>4189</v>
      </c>
      <c r="B280" s="3480" t="s">
        <v>3454</v>
      </c>
      <c r="C280" s="3480" t="s">
        <v>4190</v>
      </c>
      <c r="D280" s="3480" t="s">
        <v>3455</v>
      </c>
      <c r="E280" s="3480">
        <v>3300</v>
      </c>
      <c r="F280" s="3480">
        <v>1980</v>
      </c>
      <c r="G280" s="3480" t="s">
        <v>3582</v>
      </c>
      <c r="H280" s="3480" t="s">
        <v>3457</v>
      </c>
      <c r="I280" s="3480" t="s">
        <v>3458</v>
      </c>
      <c r="J280" s="3480" t="s">
        <v>3427</v>
      </c>
      <c r="K280" s="3480" t="s">
        <v>4179</v>
      </c>
      <c r="L280" s="3480" t="s">
        <v>4179</v>
      </c>
      <c r="M280" s="3480" t="s">
        <v>3460</v>
      </c>
      <c r="N280" s="3480" t="s">
        <v>3879</v>
      </c>
      <c r="O280" s="3480">
        <v>620</v>
      </c>
      <c r="P280" s="3480">
        <v>130</v>
      </c>
      <c r="Q280" s="3480" t="s">
        <v>4180</v>
      </c>
      <c r="R280" s="3480">
        <v>620</v>
      </c>
      <c r="S280" s="3480">
        <v>3131</v>
      </c>
      <c r="T280" s="3480">
        <v>0</v>
      </c>
    </row>
    <row r="281" spans="1:20" ht="14.25">
      <c r="A281" s="3480" t="s">
        <v>4191</v>
      </c>
      <c r="B281" s="3480" t="s">
        <v>3454</v>
      </c>
      <c r="C281" s="3480" t="s">
        <v>4191</v>
      </c>
      <c r="D281" s="3480" t="s">
        <v>3464</v>
      </c>
      <c r="E281" s="3480">
        <v>17998</v>
      </c>
      <c r="F281" s="3480">
        <v>43195.199999999997</v>
      </c>
      <c r="G281" s="3480" t="s">
        <v>3701</v>
      </c>
      <c r="H281" s="3480" t="s">
        <v>3457</v>
      </c>
      <c r="I281" s="3480" t="s">
        <v>3408</v>
      </c>
      <c r="J281" s="3480" t="s">
        <v>3427</v>
      </c>
      <c r="K281" s="3480" t="s">
        <v>4192</v>
      </c>
      <c r="L281" s="3480" t="s">
        <v>4192</v>
      </c>
      <c r="M281" s="3480" t="s">
        <v>3460</v>
      </c>
      <c r="N281" s="3480" t="s">
        <v>4193</v>
      </c>
      <c r="O281" s="3480">
        <v>4050</v>
      </c>
      <c r="P281" s="3480">
        <v>4050</v>
      </c>
      <c r="Q281" s="3480" t="s">
        <v>4194</v>
      </c>
      <c r="R281" s="3480">
        <v>4050</v>
      </c>
      <c r="S281" s="3480">
        <v>938</v>
      </c>
      <c r="T281" s="3480">
        <v>0</v>
      </c>
    </row>
    <row r="282" spans="1:20" ht="14.25">
      <c r="A282" s="3480" t="s">
        <v>4195</v>
      </c>
      <c r="B282" s="3480" t="s">
        <v>3454</v>
      </c>
      <c r="C282" s="3480" t="s">
        <v>4195</v>
      </c>
      <c r="D282" s="3480" t="s">
        <v>3455</v>
      </c>
      <c r="E282" s="3480">
        <v>1333</v>
      </c>
      <c r="F282" s="3480">
        <v>799.8</v>
      </c>
      <c r="G282" s="3480" t="s">
        <v>3582</v>
      </c>
      <c r="H282" s="3480" t="s">
        <v>3457</v>
      </c>
      <c r="I282" s="3480" t="s">
        <v>4196</v>
      </c>
      <c r="J282" s="3480" t="s">
        <v>3427</v>
      </c>
      <c r="K282" s="3480" t="s">
        <v>4197</v>
      </c>
      <c r="L282" s="3480" t="s">
        <v>4197</v>
      </c>
      <c r="M282" s="3480" t="s">
        <v>3460</v>
      </c>
      <c r="N282" s="3480" t="s">
        <v>4198</v>
      </c>
      <c r="O282" s="3480">
        <v>63</v>
      </c>
      <c r="P282" s="3480">
        <v>40</v>
      </c>
      <c r="Q282" s="3480" t="s">
        <v>4199</v>
      </c>
      <c r="R282" s="3480">
        <v>63</v>
      </c>
      <c r="S282" s="3480">
        <v>788</v>
      </c>
      <c r="T282" s="3480">
        <v>0</v>
      </c>
    </row>
    <row r="283" spans="1:20" ht="14.25">
      <c r="A283" s="3480" t="s">
        <v>4200</v>
      </c>
      <c r="B283" s="3480" t="s">
        <v>3454</v>
      </c>
      <c r="C283" s="3480" t="s">
        <v>4200</v>
      </c>
      <c r="D283" s="3480" t="s">
        <v>3455</v>
      </c>
      <c r="E283" s="3480">
        <v>8294</v>
      </c>
      <c r="F283" s="3480">
        <v>12441</v>
      </c>
      <c r="G283" s="3480" t="s">
        <v>3579</v>
      </c>
      <c r="H283" s="3480" t="s">
        <v>3457</v>
      </c>
      <c r="I283" s="3480" t="s">
        <v>2447</v>
      </c>
      <c r="J283" s="3480" t="s">
        <v>3427</v>
      </c>
      <c r="K283" s="3480" t="s">
        <v>4197</v>
      </c>
      <c r="L283" s="3480" t="s">
        <v>4197</v>
      </c>
      <c r="M283" s="3480" t="s">
        <v>3460</v>
      </c>
      <c r="N283" s="3480" t="s">
        <v>3580</v>
      </c>
      <c r="O283" s="3480">
        <v>2489</v>
      </c>
      <c r="P283" s="3480">
        <v>1300</v>
      </c>
      <c r="Q283" s="3480" t="s">
        <v>4199</v>
      </c>
      <c r="R283" s="3480">
        <v>2489</v>
      </c>
      <c r="S283" s="3480">
        <v>2001</v>
      </c>
      <c r="T283" s="3480">
        <v>0</v>
      </c>
    </row>
    <row r="284" spans="1:20" ht="14.25">
      <c r="A284" s="3480" t="s">
        <v>4201</v>
      </c>
      <c r="B284" s="3480" t="s">
        <v>3454</v>
      </c>
      <c r="C284" s="3480" t="s">
        <v>4201</v>
      </c>
      <c r="D284" s="3480" t="s">
        <v>3464</v>
      </c>
      <c r="E284" s="3480">
        <v>20001</v>
      </c>
      <c r="F284" s="3480">
        <v>40002</v>
      </c>
      <c r="G284" s="3480" t="s">
        <v>3523</v>
      </c>
      <c r="H284" s="3480" t="s">
        <v>3457</v>
      </c>
      <c r="I284" s="3480" t="s">
        <v>3408</v>
      </c>
      <c r="J284" s="3480" t="s">
        <v>3427</v>
      </c>
      <c r="K284" s="3480" t="s">
        <v>4197</v>
      </c>
      <c r="L284" s="3480" t="s">
        <v>4197</v>
      </c>
      <c r="M284" s="3480" t="s">
        <v>3460</v>
      </c>
      <c r="N284" s="3480" t="s">
        <v>4202</v>
      </c>
      <c r="O284" s="3480">
        <v>6001</v>
      </c>
      <c r="P284" s="3480">
        <v>3100</v>
      </c>
      <c r="Q284" s="3480" t="s">
        <v>4199</v>
      </c>
      <c r="R284" s="3480">
        <v>6001</v>
      </c>
      <c r="S284" s="3480">
        <v>1500</v>
      </c>
      <c r="T284" s="3480">
        <v>0</v>
      </c>
    </row>
    <row r="285" spans="1:20" ht="14.25">
      <c r="A285" s="3480" t="s">
        <v>4203</v>
      </c>
      <c r="B285" s="3480" t="s">
        <v>3454</v>
      </c>
      <c r="C285" s="3480" t="s">
        <v>4203</v>
      </c>
      <c r="D285" s="3480" t="s">
        <v>3455</v>
      </c>
      <c r="E285" s="3480">
        <v>2856</v>
      </c>
      <c r="F285" s="3480">
        <v>4284</v>
      </c>
      <c r="G285" s="3480" t="s">
        <v>3579</v>
      </c>
      <c r="H285" s="3480" t="s">
        <v>3457</v>
      </c>
      <c r="I285" s="3480" t="s">
        <v>2447</v>
      </c>
      <c r="J285" s="3480" t="s">
        <v>3427</v>
      </c>
      <c r="K285" s="3480" t="s">
        <v>4197</v>
      </c>
      <c r="L285" s="3480" t="s">
        <v>4197</v>
      </c>
      <c r="M285" s="3480" t="s">
        <v>3460</v>
      </c>
      <c r="N285" s="3480" t="s">
        <v>3580</v>
      </c>
      <c r="O285" s="3480">
        <v>857</v>
      </c>
      <c r="P285" s="3480">
        <v>430</v>
      </c>
      <c r="Q285" s="3480" t="s">
        <v>4199</v>
      </c>
      <c r="R285" s="3480">
        <v>857</v>
      </c>
      <c r="S285" s="3480">
        <v>2000</v>
      </c>
      <c r="T285" s="3480">
        <v>0</v>
      </c>
    </row>
    <row r="286" spans="1:20" ht="14.25">
      <c r="A286" s="3480" t="s">
        <v>4204</v>
      </c>
      <c r="B286" s="3480" t="s">
        <v>3454</v>
      </c>
      <c r="C286" s="3480" t="s">
        <v>4204</v>
      </c>
      <c r="D286" s="3480" t="s">
        <v>3455</v>
      </c>
      <c r="E286" s="3480">
        <v>3575</v>
      </c>
      <c r="F286" s="3480">
        <v>5362.5</v>
      </c>
      <c r="G286" s="3480" t="s">
        <v>3579</v>
      </c>
      <c r="H286" s="3480" t="s">
        <v>3457</v>
      </c>
      <c r="I286" s="3480" t="s">
        <v>2447</v>
      </c>
      <c r="J286" s="3480" t="s">
        <v>3427</v>
      </c>
      <c r="K286" s="3480" t="s">
        <v>4197</v>
      </c>
      <c r="L286" s="3480" t="s">
        <v>4197</v>
      </c>
      <c r="M286" s="3480" t="s">
        <v>3460</v>
      </c>
      <c r="N286" s="3480" t="s">
        <v>3580</v>
      </c>
      <c r="O286" s="3480">
        <v>1073</v>
      </c>
      <c r="P286" s="3480">
        <v>540</v>
      </c>
      <c r="Q286" s="3480" t="s">
        <v>4199</v>
      </c>
      <c r="R286" s="3480">
        <v>1073</v>
      </c>
      <c r="S286" s="3480">
        <v>2001</v>
      </c>
      <c r="T286" s="3480">
        <v>0</v>
      </c>
    </row>
    <row r="287" spans="1:20" ht="14.25">
      <c r="A287" s="3480" t="s">
        <v>4205</v>
      </c>
      <c r="B287" s="3480" t="s">
        <v>3454</v>
      </c>
      <c r="C287" s="3480" t="s">
        <v>4206</v>
      </c>
      <c r="D287" s="3480" t="s">
        <v>3455</v>
      </c>
      <c r="E287" s="3480">
        <v>14814</v>
      </c>
      <c r="F287" s="3480">
        <v>81477</v>
      </c>
      <c r="G287" s="3480" t="s">
        <v>4207</v>
      </c>
      <c r="H287" s="3480" t="s">
        <v>3457</v>
      </c>
      <c r="I287" s="3480" t="s">
        <v>3407</v>
      </c>
      <c r="J287" s="3480" t="s">
        <v>3427</v>
      </c>
      <c r="K287" s="3480" t="s">
        <v>4208</v>
      </c>
      <c r="L287" s="3480" t="s">
        <v>4208</v>
      </c>
      <c r="M287" s="3480" t="s">
        <v>3460</v>
      </c>
      <c r="N287" s="3480" t="s">
        <v>3550</v>
      </c>
      <c r="O287" s="3480">
        <v>34241</v>
      </c>
      <c r="P287" s="3480">
        <v>6849</v>
      </c>
      <c r="Q287" s="3480" t="s">
        <v>4209</v>
      </c>
      <c r="R287" s="3480">
        <v>34241</v>
      </c>
      <c r="S287" s="3480">
        <v>4203</v>
      </c>
      <c r="T287" s="3480">
        <v>0</v>
      </c>
    </row>
    <row r="288" spans="1:20" ht="14.25">
      <c r="A288" s="3480" t="s">
        <v>4210</v>
      </c>
      <c r="B288" s="3480" t="s">
        <v>3454</v>
      </c>
      <c r="C288" s="3480" t="s">
        <v>4211</v>
      </c>
      <c r="D288" s="3480" t="s">
        <v>3455</v>
      </c>
      <c r="E288" s="3480">
        <v>24657</v>
      </c>
      <c r="F288" s="3480">
        <v>41916.9</v>
      </c>
      <c r="G288" s="3480" t="s">
        <v>4212</v>
      </c>
      <c r="H288" s="3480" t="s">
        <v>3457</v>
      </c>
      <c r="I288" s="3480" t="s">
        <v>3407</v>
      </c>
      <c r="J288" s="3480" t="s">
        <v>3427</v>
      </c>
      <c r="K288" s="3480" t="s">
        <v>4208</v>
      </c>
      <c r="L288" s="3480" t="s">
        <v>4208</v>
      </c>
      <c r="M288" s="3480" t="s">
        <v>3460</v>
      </c>
      <c r="N288" s="3480" t="s">
        <v>4213</v>
      </c>
      <c r="O288" s="3480">
        <v>16984</v>
      </c>
      <c r="P288" s="3480">
        <v>3500</v>
      </c>
      <c r="Q288" s="3480" t="s">
        <v>4209</v>
      </c>
      <c r="R288" s="3480">
        <v>16984</v>
      </c>
      <c r="S288" s="3480">
        <v>4052</v>
      </c>
      <c r="T288" s="3480">
        <v>0</v>
      </c>
    </row>
    <row r="289" spans="1:20" ht="14.25">
      <c r="A289" s="3480" t="s">
        <v>4214</v>
      </c>
      <c r="B289" s="3480" t="s">
        <v>3454</v>
      </c>
      <c r="C289" s="3480" t="s">
        <v>4215</v>
      </c>
      <c r="D289" s="3480" t="s">
        <v>3455</v>
      </c>
      <c r="E289" s="3480">
        <v>10102</v>
      </c>
      <c r="F289" s="3480">
        <v>13132.6</v>
      </c>
      <c r="G289" s="3480" t="s">
        <v>3719</v>
      </c>
      <c r="H289" s="3480" t="s">
        <v>3457</v>
      </c>
      <c r="I289" s="3480" t="s">
        <v>3407</v>
      </c>
      <c r="J289" s="3480" t="s">
        <v>3427</v>
      </c>
      <c r="K289" s="3480" t="s">
        <v>4208</v>
      </c>
      <c r="L289" s="3480" t="s">
        <v>4208</v>
      </c>
      <c r="M289" s="3480" t="s">
        <v>3460</v>
      </c>
      <c r="N289" s="3480" t="s">
        <v>4216</v>
      </c>
      <c r="O289" s="3480">
        <v>1137</v>
      </c>
      <c r="P289" s="3480">
        <v>300</v>
      </c>
      <c r="Q289" s="3480" t="s">
        <v>4209</v>
      </c>
      <c r="R289" s="3480">
        <v>1137</v>
      </c>
      <c r="S289" s="3480">
        <v>866</v>
      </c>
      <c r="T289" s="3480">
        <v>0</v>
      </c>
    </row>
    <row r="290" spans="1:20" ht="14.25">
      <c r="A290" s="3480" t="s">
        <v>4217</v>
      </c>
      <c r="B290" s="3480" t="s">
        <v>3454</v>
      </c>
      <c r="C290" s="3480" t="s">
        <v>4217</v>
      </c>
      <c r="D290" s="3480" t="s">
        <v>3464</v>
      </c>
      <c r="E290" s="3480">
        <v>19282</v>
      </c>
      <c r="F290" s="3480">
        <v>23138.400000000001</v>
      </c>
      <c r="G290" s="3480" t="s">
        <v>3773</v>
      </c>
      <c r="H290" s="3480" t="s">
        <v>3457</v>
      </c>
      <c r="I290" s="3480" t="s">
        <v>3408</v>
      </c>
      <c r="J290" s="3480" t="s">
        <v>3427</v>
      </c>
      <c r="K290" s="3480" t="s">
        <v>4218</v>
      </c>
      <c r="L290" s="3480" t="s">
        <v>4218</v>
      </c>
      <c r="M290" s="3480" t="s">
        <v>3460</v>
      </c>
      <c r="N290" s="3480" t="s">
        <v>4219</v>
      </c>
      <c r="O290" s="3480">
        <v>8350</v>
      </c>
      <c r="P290" s="3480">
        <v>7635</v>
      </c>
      <c r="Q290" s="3480" t="s">
        <v>4220</v>
      </c>
      <c r="R290" s="3480">
        <v>8350</v>
      </c>
      <c r="S290" s="3480">
        <v>3609</v>
      </c>
      <c r="T290" s="3480">
        <v>0</v>
      </c>
    </row>
    <row r="291" spans="1:20" ht="14.25">
      <c r="A291" s="3480" t="s">
        <v>4221</v>
      </c>
      <c r="B291" s="3480" t="s">
        <v>3454</v>
      </c>
      <c r="C291" s="3480" t="s">
        <v>4221</v>
      </c>
      <c r="D291" s="3480" t="s">
        <v>3464</v>
      </c>
      <c r="E291" s="3480">
        <v>19978</v>
      </c>
      <c r="F291" s="3480">
        <v>23973.599999999999</v>
      </c>
      <c r="G291" s="3480" t="s">
        <v>4222</v>
      </c>
      <c r="H291" s="3480" t="s">
        <v>3457</v>
      </c>
      <c r="I291" s="3480" t="s">
        <v>3408</v>
      </c>
      <c r="J291" s="3480" t="s">
        <v>3427</v>
      </c>
      <c r="K291" s="3480" t="s">
        <v>4218</v>
      </c>
      <c r="L291" s="3480" t="s">
        <v>4218</v>
      </c>
      <c r="M291" s="3480" t="s">
        <v>3460</v>
      </c>
      <c r="N291" s="3480" t="s">
        <v>4219</v>
      </c>
      <c r="O291" s="3480">
        <v>8650</v>
      </c>
      <c r="P291" s="3480">
        <v>7635</v>
      </c>
      <c r="Q291" s="3480" t="s">
        <v>4220</v>
      </c>
      <c r="R291" s="3480">
        <v>8650</v>
      </c>
      <c r="S291" s="3480">
        <v>3608</v>
      </c>
      <c r="T291" s="3480">
        <v>0</v>
      </c>
    </row>
    <row r="292" spans="1:20" ht="14.25">
      <c r="A292" s="3480" t="s">
        <v>4223</v>
      </c>
      <c r="B292" s="3480" t="s">
        <v>3454</v>
      </c>
      <c r="C292" s="3480" t="s">
        <v>4223</v>
      </c>
      <c r="D292" s="3480" t="s">
        <v>3464</v>
      </c>
      <c r="E292" s="3480">
        <v>19493</v>
      </c>
      <c r="F292" s="3480">
        <v>23391.599999999999</v>
      </c>
      <c r="G292" s="3480" t="s">
        <v>3773</v>
      </c>
      <c r="H292" s="3480" t="s">
        <v>3457</v>
      </c>
      <c r="I292" s="3480" t="s">
        <v>3408</v>
      </c>
      <c r="J292" s="3480" t="s">
        <v>3427</v>
      </c>
      <c r="K292" s="3480" t="s">
        <v>4218</v>
      </c>
      <c r="L292" s="3480" t="s">
        <v>4218</v>
      </c>
      <c r="M292" s="3480" t="s">
        <v>3460</v>
      </c>
      <c r="N292" s="3480" t="s">
        <v>4219</v>
      </c>
      <c r="O292" s="3480">
        <v>8450</v>
      </c>
      <c r="P292" s="3480">
        <v>7635</v>
      </c>
      <c r="Q292" s="3480" t="s">
        <v>4220</v>
      </c>
      <c r="R292" s="3480">
        <v>8450</v>
      </c>
      <c r="S292" s="3480">
        <v>3612</v>
      </c>
      <c r="T292" s="3480">
        <v>0</v>
      </c>
    </row>
    <row r="293" spans="1:20" ht="14.25">
      <c r="A293" s="3480" t="s">
        <v>4224</v>
      </c>
      <c r="B293" s="3480" t="s">
        <v>3454</v>
      </c>
      <c r="C293" s="3480" t="s">
        <v>4224</v>
      </c>
      <c r="D293" s="3480" t="s">
        <v>3455</v>
      </c>
      <c r="E293" s="3480">
        <v>942</v>
      </c>
      <c r="F293" s="3480">
        <v>499.26</v>
      </c>
      <c r="G293" s="3480" t="s">
        <v>4225</v>
      </c>
      <c r="H293" s="3480" t="s">
        <v>3457</v>
      </c>
      <c r="I293" s="3480" t="s">
        <v>2447</v>
      </c>
      <c r="J293" s="3480" t="s">
        <v>3427</v>
      </c>
      <c r="K293" s="3480" t="s">
        <v>4226</v>
      </c>
      <c r="L293" s="3480" t="s">
        <v>4226</v>
      </c>
      <c r="M293" s="3480" t="s">
        <v>3460</v>
      </c>
      <c r="N293" s="3480" t="s">
        <v>4227</v>
      </c>
      <c r="O293" s="3480">
        <v>71</v>
      </c>
      <c r="P293" s="3480">
        <v>71</v>
      </c>
      <c r="Q293" s="3480" t="s">
        <v>4228</v>
      </c>
      <c r="R293" s="3480">
        <v>71</v>
      </c>
      <c r="S293" s="3480">
        <v>1422</v>
      </c>
      <c r="T293" s="3480">
        <v>0</v>
      </c>
    </row>
    <row r="294" spans="1:20" s="3183" customFormat="1" ht="14.25">
      <c r="A294" s="3481" t="s">
        <v>4229</v>
      </c>
      <c r="B294" s="3481" t="s">
        <v>3454</v>
      </c>
      <c r="C294" s="3481" t="s">
        <v>4230</v>
      </c>
      <c r="D294" s="3481" t="s">
        <v>3464</v>
      </c>
      <c r="E294" s="3481">
        <v>17149</v>
      </c>
      <c r="F294" s="3481">
        <v>20578.8</v>
      </c>
      <c r="G294" s="3481" t="s">
        <v>3773</v>
      </c>
      <c r="H294" s="3481" t="s">
        <v>3457</v>
      </c>
      <c r="I294" s="3481" t="s">
        <v>3408</v>
      </c>
      <c r="J294" s="3481" t="s">
        <v>3427</v>
      </c>
      <c r="K294" s="3481" t="s">
        <v>4231</v>
      </c>
      <c r="L294" s="3481" t="s">
        <v>4231</v>
      </c>
      <c r="M294" s="3481" t="s">
        <v>3460</v>
      </c>
      <c r="N294" s="3481" t="s">
        <v>4183</v>
      </c>
      <c r="O294" s="3481">
        <v>9270</v>
      </c>
      <c r="P294" s="3481">
        <v>4740</v>
      </c>
      <c r="Q294" s="3481" t="s">
        <v>4232</v>
      </c>
      <c r="R294" s="3481">
        <v>9270</v>
      </c>
      <c r="S294" s="3481">
        <v>4505</v>
      </c>
      <c r="T294" s="3481">
        <v>0</v>
      </c>
    </row>
    <row r="295" spans="1:20" ht="14.25">
      <c r="A295" s="3480" t="s">
        <v>4233</v>
      </c>
      <c r="B295" s="3480" t="s">
        <v>3454</v>
      </c>
      <c r="C295" s="3480" t="s">
        <v>4234</v>
      </c>
      <c r="D295" s="3480" t="s">
        <v>3464</v>
      </c>
      <c r="E295" s="3480">
        <v>19070</v>
      </c>
      <c r="F295" s="3480">
        <v>26698</v>
      </c>
      <c r="G295" s="3480" t="s">
        <v>4235</v>
      </c>
      <c r="H295" s="3480" t="s">
        <v>3457</v>
      </c>
      <c r="I295" s="3480" t="s">
        <v>3408</v>
      </c>
      <c r="J295" s="3480" t="s">
        <v>3427</v>
      </c>
      <c r="K295" s="3480" t="s">
        <v>4231</v>
      </c>
      <c r="L295" s="3480" t="s">
        <v>4231</v>
      </c>
      <c r="M295" s="3480" t="s">
        <v>3460</v>
      </c>
      <c r="N295" s="3480" t="s">
        <v>4183</v>
      </c>
      <c r="O295" s="3480">
        <v>10880</v>
      </c>
      <c r="P295" s="3480">
        <v>4740</v>
      </c>
      <c r="Q295" s="3480" t="s">
        <v>4232</v>
      </c>
      <c r="R295" s="3480">
        <v>10880</v>
      </c>
      <c r="S295" s="3480">
        <v>4075</v>
      </c>
      <c r="T295" s="3480">
        <v>0</v>
      </c>
    </row>
    <row r="296" spans="1:20" ht="14.25">
      <c r="A296" s="3480" t="s">
        <v>4236</v>
      </c>
      <c r="B296" s="3480" t="s">
        <v>3454</v>
      </c>
      <c r="C296" s="3480" t="s">
        <v>4237</v>
      </c>
      <c r="D296" s="3480" t="s">
        <v>3464</v>
      </c>
      <c r="E296" s="3480">
        <v>76028</v>
      </c>
      <c r="F296" s="3480">
        <v>159658.79999999999</v>
      </c>
      <c r="G296" s="3480" t="s">
        <v>3991</v>
      </c>
      <c r="H296" s="3480" t="s">
        <v>3457</v>
      </c>
      <c r="I296" s="3480" t="s">
        <v>3408</v>
      </c>
      <c r="J296" s="3480" t="s">
        <v>3427</v>
      </c>
      <c r="K296" s="3480" t="s">
        <v>4238</v>
      </c>
      <c r="L296" s="3480" t="s">
        <v>4238</v>
      </c>
      <c r="M296" s="3480" t="s">
        <v>3460</v>
      </c>
      <c r="N296" s="3480" t="s">
        <v>4239</v>
      </c>
      <c r="O296" s="3480">
        <v>16605</v>
      </c>
      <c r="P296" s="3480">
        <v>4982</v>
      </c>
      <c r="Q296" s="3480" t="s">
        <v>4240</v>
      </c>
      <c r="R296" s="3480">
        <v>16605</v>
      </c>
      <c r="S296" s="3480">
        <v>1040</v>
      </c>
      <c r="T296" s="3480">
        <v>0</v>
      </c>
    </row>
    <row r="297" spans="1:20" ht="14.25">
      <c r="A297" s="3480" t="s">
        <v>4241</v>
      </c>
      <c r="B297" s="3480" t="s">
        <v>3454</v>
      </c>
      <c r="C297" s="3480" t="s">
        <v>4242</v>
      </c>
      <c r="D297" s="3480" t="s">
        <v>3455</v>
      </c>
      <c r="E297" s="3480">
        <v>11575</v>
      </c>
      <c r="F297" s="3480">
        <v>23150</v>
      </c>
      <c r="G297" s="3480" t="s">
        <v>3728</v>
      </c>
      <c r="H297" s="3480" t="s">
        <v>3457</v>
      </c>
      <c r="I297" s="3480" t="s">
        <v>3407</v>
      </c>
      <c r="J297" s="3480" t="s">
        <v>3427</v>
      </c>
      <c r="K297" s="3480" t="s">
        <v>4231</v>
      </c>
      <c r="L297" s="3480" t="s">
        <v>4231</v>
      </c>
      <c r="M297" s="3480" t="s">
        <v>3460</v>
      </c>
      <c r="N297" s="3480" t="s">
        <v>4183</v>
      </c>
      <c r="O297" s="3480">
        <v>3480</v>
      </c>
      <c r="P297" s="3480">
        <v>700</v>
      </c>
      <c r="Q297" s="3480" t="s">
        <v>4232</v>
      </c>
      <c r="R297" s="3480">
        <v>3480</v>
      </c>
      <c r="S297" s="3480">
        <v>1503</v>
      </c>
      <c r="T297" s="3480">
        <v>0</v>
      </c>
    </row>
    <row r="298" spans="1:20" ht="14.25">
      <c r="A298" s="3480" t="s">
        <v>4243</v>
      </c>
      <c r="B298" s="3480" t="s">
        <v>3454</v>
      </c>
      <c r="C298" s="3480" t="s">
        <v>4243</v>
      </c>
      <c r="D298" s="3480" t="s">
        <v>3455</v>
      </c>
      <c r="E298" s="3480">
        <v>13961</v>
      </c>
      <c r="F298" s="3480">
        <v>32110.3</v>
      </c>
      <c r="G298" s="3480" t="s">
        <v>4244</v>
      </c>
      <c r="H298" s="3480" t="s">
        <v>3457</v>
      </c>
      <c r="I298" s="3480" t="s">
        <v>2447</v>
      </c>
      <c r="J298" s="3480" t="s">
        <v>3427</v>
      </c>
      <c r="K298" s="3480" t="s">
        <v>4245</v>
      </c>
      <c r="L298" s="3480" t="s">
        <v>4245</v>
      </c>
      <c r="M298" s="3480" t="s">
        <v>3460</v>
      </c>
      <c r="N298" s="3480" t="s">
        <v>3725</v>
      </c>
      <c r="O298" s="3480">
        <v>3142</v>
      </c>
      <c r="P298" s="3480">
        <v>3142</v>
      </c>
      <c r="Q298" s="3480" t="s">
        <v>4246</v>
      </c>
      <c r="R298" s="3480">
        <v>3142</v>
      </c>
      <c r="S298" s="3480">
        <v>979</v>
      </c>
      <c r="T298" s="3480">
        <v>0</v>
      </c>
    </row>
    <row r="299" spans="1:20" ht="14.25">
      <c r="A299" s="3480" t="s">
        <v>4247</v>
      </c>
      <c r="B299" s="3480" t="s">
        <v>3454</v>
      </c>
      <c r="C299" s="3480" t="s">
        <v>4248</v>
      </c>
      <c r="D299" s="3480" t="s">
        <v>3455</v>
      </c>
      <c r="E299" s="3480">
        <v>19574</v>
      </c>
      <c r="F299" s="3480">
        <v>48935</v>
      </c>
      <c r="G299" s="3480" t="s">
        <v>4029</v>
      </c>
      <c r="H299" s="3480" t="s">
        <v>3457</v>
      </c>
      <c r="I299" s="3480" t="s">
        <v>4196</v>
      </c>
      <c r="J299" s="3480" t="s">
        <v>3427</v>
      </c>
      <c r="K299" s="3480" t="s">
        <v>4249</v>
      </c>
      <c r="L299" s="3480" t="s">
        <v>4249</v>
      </c>
      <c r="M299" s="3480" t="s">
        <v>3460</v>
      </c>
      <c r="N299" s="3480" t="s">
        <v>4250</v>
      </c>
      <c r="O299" s="3480">
        <v>3606</v>
      </c>
      <c r="P299" s="3480">
        <v>3606</v>
      </c>
      <c r="Q299" s="3480" t="s">
        <v>4251</v>
      </c>
      <c r="R299" s="3480">
        <v>3606</v>
      </c>
      <c r="S299" s="3480">
        <v>737</v>
      </c>
      <c r="T299" s="3480">
        <v>0</v>
      </c>
    </row>
    <row r="300" spans="1:20" ht="14.25">
      <c r="A300" s="3480" t="s">
        <v>4252</v>
      </c>
      <c r="B300" s="3480" t="s">
        <v>3454</v>
      </c>
      <c r="C300" s="3480" t="s">
        <v>4253</v>
      </c>
      <c r="D300" s="3480" t="s">
        <v>3455</v>
      </c>
      <c r="E300" s="3480">
        <v>4629</v>
      </c>
      <c r="F300" s="3480">
        <v>9258</v>
      </c>
      <c r="G300" s="3480" t="s">
        <v>3456</v>
      </c>
      <c r="H300" s="3480" t="s">
        <v>3457</v>
      </c>
      <c r="I300" s="3480" t="s">
        <v>2443</v>
      </c>
      <c r="J300" s="3480" t="s">
        <v>3427</v>
      </c>
      <c r="K300" s="3480" t="s">
        <v>4249</v>
      </c>
      <c r="L300" s="3480" t="s">
        <v>4249</v>
      </c>
      <c r="M300" s="3480" t="s">
        <v>3460</v>
      </c>
      <c r="N300" s="3480" t="s">
        <v>4254</v>
      </c>
      <c r="O300" s="3480">
        <v>1600</v>
      </c>
      <c r="P300" s="3480">
        <v>1600</v>
      </c>
      <c r="Q300" s="3480" t="s">
        <v>4251</v>
      </c>
      <c r="R300" s="3480">
        <v>2820</v>
      </c>
      <c r="S300" s="3480">
        <v>3046</v>
      </c>
      <c r="T300" s="3480">
        <v>76.25</v>
      </c>
    </row>
    <row r="301" spans="1:20" ht="14.25">
      <c r="A301" s="3480" t="s">
        <v>4255</v>
      </c>
      <c r="B301" s="3480" t="s">
        <v>3454</v>
      </c>
      <c r="C301" s="3480" t="s">
        <v>4255</v>
      </c>
      <c r="D301" s="3480" t="s">
        <v>3464</v>
      </c>
      <c r="E301" s="3480">
        <v>24105</v>
      </c>
      <c r="F301" s="3480">
        <v>58334.1</v>
      </c>
      <c r="G301" s="3480" t="s">
        <v>4256</v>
      </c>
      <c r="H301" s="3480" t="s">
        <v>3457</v>
      </c>
      <c r="I301" s="3480" t="s">
        <v>3408</v>
      </c>
      <c r="J301" s="3480" t="s">
        <v>3427</v>
      </c>
      <c r="K301" s="3480" t="s">
        <v>4257</v>
      </c>
      <c r="L301" s="3480" t="s">
        <v>4257</v>
      </c>
      <c r="M301" s="3480" t="s">
        <v>3460</v>
      </c>
      <c r="N301" s="3480" t="s">
        <v>4258</v>
      </c>
      <c r="O301" s="3480">
        <v>9780</v>
      </c>
      <c r="P301" s="3480">
        <v>2000</v>
      </c>
      <c r="Q301" s="3480" t="s">
        <v>4259</v>
      </c>
      <c r="R301" s="3480">
        <v>9780</v>
      </c>
      <c r="S301" s="3480">
        <v>1677</v>
      </c>
      <c r="T301" s="3480">
        <v>0</v>
      </c>
    </row>
  </sheetData>
  <mergeCells count="6020">
    <mergeCell ref="R2"/>
    <mergeCell ref="S2"/>
    <mergeCell ref="T2"/>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R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101"/>
    <mergeCell ref="S101"/>
    <mergeCell ref="T101"/>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99"/>
    <mergeCell ref="S99"/>
    <mergeCell ref="T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R97"/>
    <mergeCell ref="S97"/>
    <mergeCell ref="T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5"/>
    <mergeCell ref="K95"/>
    <mergeCell ref="L95"/>
    <mergeCell ref="M95"/>
    <mergeCell ref="N95"/>
    <mergeCell ref="O95"/>
    <mergeCell ref="P95"/>
    <mergeCell ref="Q95"/>
    <mergeCell ref="S95"/>
    <mergeCell ref="T95"/>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R96"/>
    <mergeCell ref="S96"/>
    <mergeCell ref="T96"/>
    <mergeCell ref="A95"/>
    <mergeCell ref="B95"/>
    <mergeCell ref="C95"/>
    <mergeCell ref="D95"/>
    <mergeCell ref="E95"/>
    <mergeCell ref="F95"/>
    <mergeCell ref="G95"/>
    <mergeCell ref="H95"/>
    <mergeCell ref="I95"/>
    <mergeCell ref="J95"/>
    <mergeCell ref="R93"/>
    <mergeCell ref="S93"/>
    <mergeCell ref="T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R91"/>
    <mergeCell ref="S91"/>
    <mergeCell ref="T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89"/>
    <mergeCell ref="K89"/>
    <mergeCell ref="L89"/>
    <mergeCell ref="M89"/>
    <mergeCell ref="N89"/>
    <mergeCell ref="O89"/>
    <mergeCell ref="P89"/>
    <mergeCell ref="Q89"/>
    <mergeCell ref="S89"/>
    <mergeCell ref="T89"/>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R90"/>
    <mergeCell ref="S90"/>
    <mergeCell ref="T90"/>
    <mergeCell ref="A89"/>
    <mergeCell ref="B89"/>
    <mergeCell ref="C89"/>
    <mergeCell ref="D89"/>
    <mergeCell ref="E89"/>
    <mergeCell ref="F89"/>
    <mergeCell ref="G89"/>
    <mergeCell ref="H89"/>
    <mergeCell ref="I89"/>
    <mergeCell ref="J89"/>
    <mergeCell ref="R87"/>
    <mergeCell ref="S87"/>
    <mergeCell ref="T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R85"/>
    <mergeCell ref="S85"/>
    <mergeCell ref="T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3"/>
    <mergeCell ref="K83"/>
    <mergeCell ref="L83"/>
    <mergeCell ref="M83"/>
    <mergeCell ref="N83"/>
    <mergeCell ref="O83"/>
    <mergeCell ref="P83"/>
    <mergeCell ref="Q83"/>
    <mergeCell ref="S83"/>
    <mergeCell ref="T83"/>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R84"/>
    <mergeCell ref="S84"/>
    <mergeCell ref="T84"/>
    <mergeCell ref="A83"/>
    <mergeCell ref="B83"/>
    <mergeCell ref="C83"/>
    <mergeCell ref="D83"/>
    <mergeCell ref="E83"/>
    <mergeCell ref="F83"/>
    <mergeCell ref="G83"/>
    <mergeCell ref="H83"/>
    <mergeCell ref="I83"/>
    <mergeCell ref="J83"/>
    <mergeCell ref="R81"/>
    <mergeCell ref="S81"/>
    <mergeCell ref="T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R79"/>
    <mergeCell ref="S79"/>
    <mergeCell ref="T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7"/>
    <mergeCell ref="K77"/>
    <mergeCell ref="L77"/>
    <mergeCell ref="M77"/>
    <mergeCell ref="N77"/>
    <mergeCell ref="O77"/>
    <mergeCell ref="P77"/>
    <mergeCell ref="Q77"/>
    <mergeCell ref="S77"/>
    <mergeCell ref="T77"/>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R78"/>
    <mergeCell ref="S78"/>
    <mergeCell ref="T78"/>
    <mergeCell ref="A77"/>
    <mergeCell ref="B77"/>
    <mergeCell ref="C77"/>
    <mergeCell ref="D77"/>
    <mergeCell ref="E77"/>
    <mergeCell ref="F77"/>
    <mergeCell ref="G77"/>
    <mergeCell ref="H77"/>
    <mergeCell ref="I77"/>
    <mergeCell ref="J77"/>
    <mergeCell ref="R75"/>
    <mergeCell ref="S75"/>
    <mergeCell ref="T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R73"/>
    <mergeCell ref="S73"/>
    <mergeCell ref="T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1"/>
    <mergeCell ref="K71"/>
    <mergeCell ref="L71"/>
    <mergeCell ref="M71"/>
    <mergeCell ref="N71"/>
    <mergeCell ref="O71"/>
    <mergeCell ref="P71"/>
    <mergeCell ref="Q71"/>
    <mergeCell ref="S71"/>
    <mergeCell ref="T71"/>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R72"/>
    <mergeCell ref="S72"/>
    <mergeCell ref="T72"/>
    <mergeCell ref="A71"/>
    <mergeCell ref="B71"/>
    <mergeCell ref="C71"/>
    <mergeCell ref="D71"/>
    <mergeCell ref="E71"/>
    <mergeCell ref="F71"/>
    <mergeCell ref="G71"/>
    <mergeCell ref="H71"/>
    <mergeCell ref="I71"/>
    <mergeCell ref="J71"/>
    <mergeCell ref="R69"/>
    <mergeCell ref="S69"/>
    <mergeCell ref="T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R67"/>
    <mergeCell ref="S67"/>
    <mergeCell ref="T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5"/>
    <mergeCell ref="K65"/>
    <mergeCell ref="L65"/>
    <mergeCell ref="M65"/>
    <mergeCell ref="N65"/>
    <mergeCell ref="O65"/>
    <mergeCell ref="P65"/>
    <mergeCell ref="Q65"/>
    <mergeCell ref="S65"/>
    <mergeCell ref="T65"/>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R66"/>
    <mergeCell ref="S66"/>
    <mergeCell ref="T66"/>
    <mergeCell ref="A65"/>
    <mergeCell ref="B65"/>
    <mergeCell ref="C65"/>
    <mergeCell ref="D65"/>
    <mergeCell ref="E65"/>
    <mergeCell ref="F65"/>
    <mergeCell ref="G65"/>
    <mergeCell ref="H65"/>
    <mergeCell ref="I65"/>
    <mergeCell ref="J65"/>
    <mergeCell ref="R63"/>
    <mergeCell ref="S63"/>
    <mergeCell ref="T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R61"/>
    <mergeCell ref="S61"/>
    <mergeCell ref="T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59"/>
    <mergeCell ref="K59"/>
    <mergeCell ref="L59"/>
    <mergeCell ref="M59"/>
    <mergeCell ref="N59"/>
    <mergeCell ref="O59"/>
    <mergeCell ref="P59"/>
    <mergeCell ref="Q59"/>
    <mergeCell ref="S59"/>
    <mergeCell ref="T59"/>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R60"/>
    <mergeCell ref="S60"/>
    <mergeCell ref="T60"/>
    <mergeCell ref="A59"/>
    <mergeCell ref="B59"/>
    <mergeCell ref="C59"/>
    <mergeCell ref="D59"/>
    <mergeCell ref="E59"/>
    <mergeCell ref="F59"/>
    <mergeCell ref="G59"/>
    <mergeCell ref="H59"/>
    <mergeCell ref="I59"/>
    <mergeCell ref="J59"/>
    <mergeCell ref="S57"/>
    <mergeCell ref="T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A57"/>
    <mergeCell ref="B57"/>
    <mergeCell ref="C57"/>
    <mergeCell ref="D57"/>
    <mergeCell ref="E57"/>
    <mergeCell ref="F57"/>
    <mergeCell ref="G57"/>
    <mergeCell ref="H57"/>
    <mergeCell ref="I57"/>
    <mergeCell ref="S55"/>
    <mergeCell ref="T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A55"/>
    <mergeCell ref="O55"/>
    <mergeCell ref="P55"/>
    <mergeCell ref="Q55"/>
    <mergeCell ref="R53"/>
    <mergeCell ref="K53"/>
    <mergeCell ref="L53"/>
    <mergeCell ref="M53"/>
    <mergeCell ref="N53"/>
    <mergeCell ref="O53"/>
    <mergeCell ref="P53"/>
    <mergeCell ref="Q53"/>
    <mergeCell ref="J57"/>
    <mergeCell ref="K57"/>
    <mergeCell ref="L57"/>
    <mergeCell ref="M57"/>
    <mergeCell ref="N57"/>
    <mergeCell ref="O57"/>
    <mergeCell ref="P57"/>
    <mergeCell ref="Q57"/>
    <mergeCell ref="R55"/>
    <mergeCell ref="R57"/>
    <mergeCell ref="G53"/>
    <mergeCell ref="H53"/>
    <mergeCell ref="I53"/>
    <mergeCell ref="J53"/>
    <mergeCell ref="B55"/>
    <mergeCell ref="C55"/>
    <mergeCell ref="D55"/>
    <mergeCell ref="E55"/>
    <mergeCell ref="F55"/>
    <mergeCell ref="G55"/>
    <mergeCell ref="H55"/>
    <mergeCell ref="I55"/>
    <mergeCell ref="J55"/>
    <mergeCell ref="K55"/>
    <mergeCell ref="L55"/>
    <mergeCell ref="M55"/>
    <mergeCell ref="N55"/>
    <mergeCell ref="F1"/>
    <mergeCell ref="G1"/>
    <mergeCell ref="H1"/>
    <mergeCell ref="I1"/>
    <mergeCell ref="S53"/>
    <mergeCell ref="T53"/>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R54"/>
    <mergeCell ref="S54"/>
    <mergeCell ref="T54"/>
    <mergeCell ref="A53"/>
    <mergeCell ref="B53"/>
    <mergeCell ref="C53"/>
    <mergeCell ref="D53"/>
    <mergeCell ref="E53"/>
    <mergeCell ref="F53"/>
    <mergeCell ref="R149"/>
    <mergeCell ref="S149"/>
    <mergeCell ref="T149"/>
    <mergeCell ref="A150"/>
    <mergeCell ref="R1"/>
    <mergeCell ref="S1"/>
    <mergeCell ref="T1"/>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A1"/>
    <mergeCell ref="B1"/>
    <mergeCell ref="C1"/>
    <mergeCell ref="D1"/>
    <mergeCell ref="E1"/>
    <mergeCell ref="O150"/>
    <mergeCell ref="P150"/>
    <mergeCell ref="Q150"/>
    <mergeCell ref="R150"/>
    <mergeCell ref="J1"/>
    <mergeCell ref="K1"/>
    <mergeCell ref="L1"/>
    <mergeCell ref="M1"/>
    <mergeCell ref="N1"/>
    <mergeCell ref="O1"/>
    <mergeCell ref="P1"/>
    <mergeCell ref="Q1"/>
    <mergeCell ref="R151"/>
    <mergeCell ref="S151"/>
    <mergeCell ref="T151"/>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S150"/>
    <mergeCell ref="T150"/>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B150"/>
    <mergeCell ref="C150"/>
    <mergeCell ref="D150"/>
    <mergeCell ref="E150"/>
    <mergeCell ref="F150"/>
    <mergeCell ref="G150"/>
    <mergeCell ref="H150"/>
    <mergeCell ref="I150"/>
    <mergeCell ref="J150"/>
    <mergeCell ref="K150"/>
    <mergeCell ref="L150"/>
    <mergeCell ref="M150"/>
    <mergeCell ref="N150"/>
    <mergeCell ref="R147"/>
    <mergeCell ref="S147"/>
    <mergeCell ref="T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5"/>
    <mergeCell ref="S145"/>
    <mergeCell ref="T145"/>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R146"/>
    <mergeCell ref="S146"/>
    <mergeCell ref="T146"/>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3"/>
    <mergeCell ref="K143"/>
    <mergeCell ref="L143"/>
    <mergeCell ref="M143"/>
    <mergeCell ref="N143"/>
    <mergeCell ref="O143"/>
    <mergeCell ref="P143"/>
    <mergeCell ref="Q143"/>
    <mergeCell ref="S143"/>
    <mergeCell ref="T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A143"/>
    <mergeCell ref="B143"/>
    <mergeCell ref="C143"/>
    <mergeCell ref="D143"/>
    <mergeCell ref="E143"/>
    <mergeCell ref="F143"/>
    <mergeCell ref="G143"/>
    <mergeCell ref="H143"/>
    <mergeCell ref="I143"/>
    <mergeCell ref="J143"/>
    <mergeCell ref="R141"/>
    <mergeCell ref="S141"/>
    <mergeCell ref="T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39"/>
    <mergeCell ref="S139"/>
    <mergeCell ref="T139"/>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R140"/>
    <mergeCell ref="S140"/>
    <mergeCell ref="T140"/>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7"/>
    <mergeCell ref="K137"/>
    <mergeCell ref="L137"/>
    <mergeCell ref="M137"/>
    <mergeCell ref="N137"/>
    <mergeCell ref="O137"/>
    <mergeCell ref="P137"/>
    <mergeCell ref="Q137"/>
    <mergeCell ref="S137"/>
    <mergeCell ref="T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A137"/>
    <mergeCell ref="B137"/>
    <mergeCell ref="C137"/>
    <mergeCell ref="D137"/>
    <mergeCell ref="E137"/>
    <mergeCell ref="F137"/>
    <mergeCell ref="G137"/>
    <mergeCell ref="H137"/>
    <mergeCell ref="I137"/>
    <mergeCell ref="J137"/>
    <mergeCell ref="R135"/>
    <mergeCell ref="S135"/>
    <mergeCell ref="T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3"/>
    <mergeCell ref="S133"/>
    <mergeCell ref="T133"/>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R134"/>
    <mergeCell ref="S134"/>
    <mergeCell ref="T134"/>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1"/>
    <mergeCell ref="K131"/>
    <mergeCell ref="L131"/>
    <mergeCell ref="M131"/>
    <mergeCell ref="N131"/>
    <mergeCell ref="O131"/>
    <mergeCell ref="P131"/>
    <mergeCell ref="Q131"/>
    <mergeCell ref="S131"/>
    <mergeCell ref="T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A131"/>
    <mergeCell ref="B131"/>
    <mergeCell ref="C131"/>
    <mergeCell ref="D131"/>
    <mergeCell ref="E131"/>
    <mergeCell ref="F131"/>
    <mergeCell ref="G131"/>
    <mergeCell ref="H131"/>
    <mergeCell ref="I131"/>
    <mergeCell ref="J131"/>
    <mergeCell ref="R129"/>
    <mergeCell ref="S129"/>
    <mergeCell ref="T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7"/>
    <mergeCell ref="S127"/>
    <mergeCell ref="T127"/>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R128"/>
    <mergeCell ref="S128"/>
    <mergeCell ref="T128"/>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5"/>
    <mergeCell ref="K125"/>
    <mergeCell ref="L125"/>
    <mergeCell ref="M125"/>
    <mergeCell ref="N125"/>
    <mergeCell ref="O125"/>
    <mergeCell ref="P125"/>
    <mergeCell ref="Q125"/>
    <mergeCell ref="S125"/>
    <mergeCell ref="T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A125"/>
    <mergeCell ref="B125"/>
    <mergeCell ref="C125"/>
    <mergeCell ref="D125"/>
    <mergeCell ref="E125"/>
    <mergeCell ref="F125"/>
    <mergeCell ref="G125"/>
    <mergeCell ref="H125"/>
    <mergeCell ref="I125"/>
    <mergeCell ref="J125"/>
    <mergeCell ref="R123"/>
    <mergeCell ref="S123"/>
    <mergeCell ref="T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1"/>
    <mergeCell ref="S121"/>
    <mergeCell ref="T121"/>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R122"/>
    <mergeCell ref="S122"/>
    <mergeCell ref="T122"/>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19"/>
    <mergeCell ref="K119"/>
    <mergeCell ref="L119"/>
    <mergeCell ref="M119"/>
    <mergeCell ref="N119"/>
    <mergeCell ref="O119"/>
    <mergeCell ref="P119"/>
    <mergeCell ref="Q119"/>
    <mergeCell ref="S119"/>
    <mergeCell ref="T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A119"/>
    <mergeCell ref="B119"/>
    <mergeCell ref="C119"/>
    <mergeCell ref="D119"/>
    <mergeCell ref="E119"/>
    <mergeCell ref="F119"/>
    <mergeCell ref="G119"/>
    <mergeCell ref="H119"/>
    <mergeCell ref="I119"/>
    <mergeCell ref="J119"/>
    <mergeCell ref="R117"/>
    <mergeCell ref="S117"/>
    <mergeCell ref="T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5"/>
    <mergeCell ref="S115"/>
    <mergeCell ref="T115"/>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R116"/>
    <mergeCell ref="S116"/>
    <mergeCell ref="T116"/>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3"/>
    <mergeCell ref="K113"/>
    <mergeCell ref="L113"/>
    <mergeCell ref="M113"/>
    <mergeCell ref="N113"/>
    <mergeCell ref="O113"/>
    <mergeCell ref="P113"/>
    <mergeCell ref="Q113"/>
    <mergeCell ref="S113"/>
    <mergeCell ref="T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A113"/>
    <mergeCell ref="B113"/>
    <mergeCell ref="C113"/>
    <mergeCell ref="D113"/>
    <mergeCell ref="E113"/>
    <mergeCell ref="F113"/>
    <mergeCell ref="G113"/>
    <mergeCell ref="H113"/>
    <mergeCell ref="I113"/>
    <mergeCell ref="J113"/>
    <mergeCell ref="R111"/>
    <mergeCell ref="S111"/>
    <mergeCell ref="T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09"/>
    <mergeCell ref="S109"/>
    <mergeCell ref="T109"/>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R110"/>
    <mergeCell ref="S110"/>
    <mergeCell ref="T110"/>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7"/>
    <mergeCell ref="K107"/>
    <mergeCell ref="L107"/>
    <mergeCell ref="M107"/>
    <mergeCell ref="N107"/>
    <mergeCell ref="O107"/>
    <mergeCell ref="P107"/>
    <mergeCell ref="Q107"/>
    <mergeCell ref="S107"/>
    <mergeCell ref="T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A107"/>
    <mergeCell ref="B107"/>
    <mergeCell ref="C107"/>
    <mergeCell ref="D107"/>
    <mergeCell ref="E107"/>
    <mergeCell ref="F107"/>
    <mergeCell ref="G107"/>
    <mergeCell ref="H107"/>
    <mergeCell ref="I107"/>
    <mergeCell ref="J107"/>
    <mergeCell ref="R105"/>
    <mergeCell ref="S105"/>
    <mergeCell ref="T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3"/>
    <mergeCell ref="S103"/>
    <mergeCell ref="T103"/>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R104"/>
    <mergeCell ref="S104"/>
    <mergeCell ref="T104"/>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 ref="R102"/>
    <mergeCell ref="S102"/>
    <mergeCell ref="T102"/>
    <mergeCell ref="R201"/>
    <mergeCell ref="S201"/>
    <mergeCell ref="T201"/>
    <mergeCell ref="A201"/>
    <mergeCell ref="B201"/>
    <mergeCell ref="C201"/>
    <mergeCell ref="D201"/>
    <mergeCell ref="E201"/>
    <mergeCell ref="F201"/>
    <mergeCell ref="G201"/>
    <mergeCell ref="H201"/>
    <mergeCell ref="I201"/>
    <mergeCell ref="J201"/>
    <mergeCell ref="K201"/>
    <mergeCell ref="L201"/>
    <mergeCell ref="M201"/>
    <mergeCell ref="N201"/>
    <mergeCell ref="O201"/>
    <mergeCell ref="P201"/>
    <mergeCell ref="Q201"/>
    <mergeCell ref="R199"/>
    <mergeCell ref="S199"/>
    <mergeCell ref="T199"/>
    <mergeCell ref="A200"/>
    <mergeCell ref="B200"/>
    <mergeCell ref="C200"/>
    <mergeCell ref="D200"/>
    <mergeCell ref="E200"/>
    <mergeCell ref="F200"/>
    <mergeCell ref="G200"/>
    <mergeCell ref="H200"/>
    <mergeCell ref="I200"/>
    <mergeCell ref="J200"/>
    <mergeCell ref="K200"/>
    <mergeCell ref="L200"/>
    <mergeCell ref="M200"/>
    <mergeCell ref="N200"/>
    <mergeCell ref="O200"/>
    <mergeCell ref="P200"/>
    <mergeCell ref="Q200"/>
    <mergeCell ref="R200"/>
    <mergeCell ref="S200"/>
    <mergeCell ref="T200"/>
    <mergeCell ref="A199"/>
    <mergeCell ref="B199"/>
    <mergeCell ref="C199"/>
    <mergeCell ref="D199"/>
    <mergeCell ref="E199"/>
    <mergeCell ref="F199"/>
    <mergeCell ref="G199"/>
    <mergeCell ref="H199"/>
    <mergeCell ref="I199"/>
    <mergeCell ref="J199"/>
    <mergeCell ref="K199"/>
    <mergeCell ref="L199"/>
    <mergeCell ref="M199"/>
    <mergeCell ref="N199"/>
    <mergeCell ref="O199"/>
    <mergeCell ref="P199"/>
    <mergeCell ref="Q199"/>
    <mergeCell ref="R197"/>
    <mergeCell ref="S197"/>
    <mergeCell ref="T197"/>
    <mergeCell ref="A198"/>
    <mergeCell ref="B198"/>
    <mergeCell ref="C198"/>
    <mergeCell ref="D198"/>
    <mergeCell ref="E198"/>
    <mergeCell ref="F198"/>
    <mergeCell ref="G198"/>
    <mergeCell ref="H198"/>
    <mergeCell ref="I198"/>
    <mergeCell ref="J198"/>
    <mergeCell ref="K198"/>
    <mergeCell ref="L198"/>
    <mergeCell ref="M198"/>
    <mergeCell ref="N198"/>
    <mergeCell ref="O198"/>
    <mergeCell ref="P198"/>
    <mergeCell ref="Q198"/>
    <mergeCell ref="R198"/>
    <mergeCell ref="S198"/>
    <mergeCell ref="T198"/>
    <mergeCell ref="A197"/>
    <mergeCell ref="B197"/>
    <mergeCell ref="C197"/>
    <mergeCell ref="D197"/>
    <mergeCell ref="E197"/>
    <mergeCell ref="F197"/>
    <mergeCell ref="G197"/>
    <mergeCell ref="H197"/>
    <mergeCell ref="I197"/>
    <mergeCell ref="J197"/>
    <mergeCell ref="K197"/>
    <mergeCell ref="L197"/>
    <mergeCell ref="M197"/>
    <mergeCell ref="N197"/>
    <mergeCell ref="O197"/>
    <mergeCell ref="P197"/>
    <mergeCell ref="Q197"/>
    <mergeCell ref="R195"/>
    <mergeCell ref="S195"/>
    <mergeCell ref="T195"/>
    <mergeCell ref="A196"/>
    <mergeCell ref="B196"/>
    <mergeCell ref="C196"/>
    <mergeCell ref="D196"/>
    <mergeCell ref="E196"/>
    <mergeCell ref="F196"/>
    <mergeCell ref="G196"/>
    <mergeCell ref="H196"/>
    <mergeCell ref="I196"/>
    <mergeCell ref="J196"/>
    <mergeCell ref="K196"/>
    <mergeCell ref="L196"/>
    <mergeCell ref="M196"/>
    <mergeCell ref="N196"/>
    <mergeCell ref="O196"/>
    <mergeCell ref="P196"/>
    <mergeCell ref="Q196"/>
    <mergeCell ref="R196"/>
    <mergeCell ref="S196"/>
    <mergeCell ref="T196"/>
    <mergeCell ref="A195"/>
    <mergeCell ref="B195"/>
    <mergeCell ref="C195"/>
    <mergeCell ref="D195"/>
    <mergeCell ref="E195"/>
    <mergeCell ref="F195"/>
    <mergeCell ref="G195"/>
    <mergeCell ref="H195"/>
    <mergeCell ref="I195"/>
    <mergeCell ref="J195"/>
    <mergeCell ref="K195"/>
    <mergeCell ref="L195"/>
    <mergeCell ref="M195"/>
    <mergeCell ref="N195"/>
    <mergeCell ref="O195"/>
    <mergeCell ref="P195"/>
    <mergeCell ref="Q195"/>
    <mergeCell ref="R193"/>
    <mergeCell ref="K193"/>
    <mergeCell ref="L193"/>
    <mergeCell ref="M193"/>
    <mergeCell ref="N193"/>
    <mergeCell ref="O193"/>
    <mergeCell ref="P193"/>
    <mergeCell ref="Q193"/>
    <mergeCell ref="S193"/>
    <mergeCell ref="T193"/>
    <mergeCell ref="A194"/>
    <mergeCell ref="B194"/>
    <mergeCell ref="C194"/>
    <mergeCell ref="D194"/>
    <mergeCell ref="E194"/>
    <mergeCell ref="F194"/>
    <mergeCell ref="G194"/>
    <mergeCell ref="H194"/>
    <mergeCell ref="I194"/>
    <mergeCell ref="J194"/>
    <mergeCell ref="K194"/>
    <mergeCell ref="L194"/>
    <mergeCell ref="M194"/>
    <mergeCell ref="N194"/>
    <mergeCell ref="O194"/>
    <mergeCell ref="P194"/>
    <mergeCell ref="Q194"/>
    <mergeCell ref="R194"/>
    <mergeCell ref="S194"/>
    <mergeCell ref="T194"/>
    <mergeCell ref="A193"/>
    <mergeCell ref="B193"/>
    <mergeCell ref="C193"/>
    <mergeCell ref="D193"/>
    <mergeCell ref="E193"/>
    <mergeCell ref="F193"/>
    <mergeCell ref="G193"/>
    <mergeCell ref="H193"/>
    <mergeCell ref="I193"/>
    <mergeCell ref="J193"/>
    <mergeCell ref="R191"/>
    <mergeCell ref="S191"/>
    <mergeCell ref="T191"/>
    <mergeCell ref="A192"/>
    <mergeCell ref="B192"/>
    <mergeCell ref="C192"/>
    <mergeCell ref="D192"/>
    <mergeCell ref="E192"/>
    <mergeCell ref="F192"/>
    <mergeCell ref="G192"/>
    <mergeCell ref="H192"/>
    <mergeCell ref="I192"/>
    <mergeCell ref="J192"/>
    <mergeCell ref="K192"/>
    <mergeCell ref="L192"/>
    <mergeCell ref="M192"/>
    <mergeCell ref="N192"/>
    <mergeCell ref="O192"/>
    <mergeCell ref="P192"/>
    <mergeCell ref="Q192"/>
    <mergeCell ref="R192"/>
    <mergeCell ref="S192"/>
    <mergeCell ref="T192"/>
    <mergeCell ref="A191"/>
    <mergeCell ref="B191"/>
    <mergeCell ref="C191"/>
    <mergeCell ref="D191"/>
    <mergeCell ref="E191"/>
    <mergeCell ref="F191"/>
    <mergeCell ref="G191"/>
    <mergeCell ref="H191"/>
    <mergeCell ref="I191"/>
    <mergeCell ref="J191"/>
    <mergeCell ref="K191"/>
    <mergeCell ref="L191"/>
    <mergeCell ref="M191"/>
    <mergeCell ref="N191"/>
    <mergeCell ref="O191"/>
    <mergeCell ref="P191"/>
    <mergeCell ref="Q191"/>
    <mergeCell ref="R189"/>
    <mergeCell ref="S189"/>
    <mergeCell ref="T189"/>
    <mergeCell ref="A190"/>
    <mergeCell ref="B190"/>
    <mergeCell ref="C190"/>
    <mergeCell ref="D190"/>
    <mergeCell ref="E190"/>
    <mergeCell ref="F190"/>
    <mergeCell ref="G190"/>
    <mergeCell ref="H190"/>
    <mergeCell ref="I190"/>
    <mergeCell ref="J190"/>
    <mergeCell ref="K190"/>
    <mergeCell ref="L190"/>
    <mergeCell ref="M190"/>
    <mergeCell ref="N190"/>
    <mergeCell ref="O190"/>
    <mergeCell ref="P190"/>
    <mergeCell ref="Q190"/>
    <mergeCell ref="R190"/>
    <mergeCell ref="S190"/>
    <mergeCell ref="T190"/>
    <mergeCell ref="A189"/>
    <mergeCell ref="B189"/>
    <mergeCell ref="C189"/>
    <mergeCell ref="D189"/>
    <mergeCell ref="E189"/>
    <mergeCell ref="F189"/>
    <mergeCell ref="G189"/>
    <mergeCell ref="H189"/>
    <mergeCell ref="I189"/>
    <mergeCell ref="J189"/>
    <mergeCell ref="K189"/>
    <mergeCell ref="L189"/>
    <mergeCell ref="M189"/>
    <mergeCell ref="N189"/>
    <mergeCell ref="O189"/>
    <mergeCell ref="P189"/>
    <mergeCell ref="Q189"/>
    <mergeCell ref="R187"/>
    <mergeCell ref="K187"/>
    <mergeCell ref="L187"/>
    <mergeCell ref="M187"/>
    <mergeCell ref="N187"/>
    <mergeCell ref="O187"/>
    <mergeCell ref="P187"/>
    <mergeCell ref="Q187"/>
    <mergeCell ref="S187"/>
    <mergeCell ref="T187"/>
    <mergeCell ref="A188"/>
    <mergeCell ref="B188"/>
    <mergeCell ref="C188"/>
    <mergeCell ref="D188"/>
    <mergeCell ref="E188"/>
    <mergeCell ref="F188"/>
    <mergeCell ref="G188"/>
    <mergeCell ref="H188"/>
    <mergeCell ref="I188"/>
    <mergeCell ref="J188"/>
    <mergeCell ref="K188"/>
    <mergeCell ref="L188"/>
    <mergeCell ref="M188"/>
    <mergeCell ref="N188"/>
    <mergeCell ref="O188"/>
    <mergeCell ref="P188"/>
    <mergeCell ref="Q188"/>
    <mergeCell ref="R188"/>
    <mergeCell ref="S188"/>
    <mergeCell ref="T188"/>
    <mergeCell ref="A187"/>
    <mergeCell ref="B187"/>
    <mergeCell ref="C187"/>
    <mergeCell ref="D187"/>
    <mergeCell ref="E187"/>
    <mergeCell ref="F187"/>
    <mergeCell ref="G187"/>
    <mergeCell ref="H187"/>
    <mergeCell ref="I187"/>
    <mergeCell ref="J187"/>
    <mergeCell ref="R185"/>
    <mergeCell ref="S185"/>
    <mergeCell ref="T185"/>
    <mergeCell ref="A186"/>
    <mergeCell ref="B186"/>
    <mergeCell ref="C186"/>
    <mergeCell ref="D186"/>
    <mergeCell ref="E186"/>
    <mergeCell ref="F186"/>
    <mergeCell ref="G186"/>
    <mergeCell ref="H186"/>
    <mergeCell ref="I186"/>
    <mergeCell ref="J186"/>
    <mergeCell ref="K186"/>
    <mergeCell ref="L186"/>
    <mergeCell ref="M186"/>
    <mergeCell ref="N186"/>
    <mergeCell ref="O186"/>
    <mergeCell ref="P186"/>
    <mergeCell ref="Q186"/>
    <mergeCell ref="R186"/>
    <mergeCell ref="S186"/>
    <mergeCell ref="T186"/>
    <mergeCell ref="A185"/>
    <mergeCell ref="B185"/>
    <mergeCell ref="C185"/>
    <mergeCell ref="D185"/>
    <mergeCell ref="E185"/>
    <mergeCell ref="F185"/>
    <mergeCell ref="G185"/>
    <mergeCell ref="H185"/>
    <mergeCell ref="I185"/>
    <mergeCell ref="J185"/>
    <mergeCell ref="K185"/>
    <mergeCell ref="L185"/>
    <mergeCell ref="M185"/>
    <mergeCell ref="N185"/>
    <mergeCell ref="O185"/>
    <mergeCell ref="P185"/>
    <mergeCell ref="Q185"/>
    <mergeCell ref="R183"/>
    <mergeCell ref="S183"/>
    <mergeCell ref="T183"/>
    <mergeCell ref="A184"/>
    <mergeCell ref="B184"/>
    <mergeCell ref="C184"/>
    <mergeCell ref="D184"/>
    <mergeCell ref="E184"/>
    <mergeCell ref="F184"/>
    <mergeCell ref="G184"/>
    <mergeCell ref="H184"/>
    <mergeCell ref="I184"/>
    <mergeCell ref="J184"/>
    <mergeCell ref="K184"/>
    <mergeCell ref="L184"/>
    <mergeCell ref="M184"/>
    <mergeCell ref="N184"/>
    <mergeCell ref="O184"/>
    <mergeCell ref="P184"/>
    <mergeCell ref="Q184"/>
    <mergeCell ref="R184"/>
    <mergeCell ref="S184"/>
    <mergeCell ref="T184"/>
    <mergeCell ref="A183"/>
    <mergeCell ref="B183"/>
    <mergeCell ref="C183"/>
    <mergeCell ref="D183"/>
    <mergeCell ref="E183"/>
    <mergeCell ref="F183"/>
    <mergeCell ref="G183"/>
    <mergeCell ref="H183"/>
    <mergeCell ref="I183"/>
    <mergeCell ref="J183"/>
    <mergeCell ref="K183"/>
    <mergeCell ref="L183"/>
    <mergeCell ref="M183"/>
    <mergeCell ref="N183"/>
    <mergeCell ref="O183"/>
    <mergeCell ref="P183"/>
    <mergeCell ref="Q183"/>
    <mergeCell ref="R181"/>
    <mergeCell ref="K181"/>
    <mergeCell ref="L181"/>
    <mergeCell ref="M181"/>
    <mergeCell ref="N181"/>
    <mergeCell ref="O181"/>
    <mergeCell ref="P181"/>
    <mergeCell ref="Q181"/>
    <mergeCell ref="S181"/>
    <mergeCell ref="T181"/>
    <mergeCell ref="A182"/>
    <mergeCell ref="B182"/>
    <mergeCell ref="C182"/>
    <mergeCell ref="D182"/>
    <mergeCell ref="E182"/>
    <mergeCell ref="F182"/>
    <mergeCell ref="G182"/>
    <mergeCell ref="H182"/>
    <mergeCell ref="I182"/>
    <mergeCell ref="J182"/>
    <mergeCell ref="K182"/>
    <mergeCell ref="L182"/>
    <mergeCell ref="M182"/>
    <mergeCell ref="N182"/>
    <mergeCell ref="O182"/>
    <mergeCell ref="P182"/>
    <mergeCell ref="Q182"/>
    <mergeCell ref="R182"/>
    <mergeCell ref="S182"/>
    <mergeCell ref="T182"/>
    <mergeCell ref="A181"/>
    <mergeCell ref="B181"/>
    <mergeCell ref="C181"/>
    <mergeCell ref="D181"/>
    <mergeCell ref="E181"/>
    <mergeCell ref="F181"/>
    <mergeCell ref="G181"/>
    <mergeCell ref="H181"/>
    <mergeCell ref="I181"/>
    <mergeCell ref="J181"/>
    <mergeCell ref="R179"/>
    <mergeCell ref="S179"/>
    <mergeCell ref="T179"/>
    <mergeCell ref="A180"/>
    <mergeCell ref="B180"/>
    <mergeCell ref="C180"/>
    <mergeCell ref="D180"/>
    <mergeCell ref="E180"/>
    <mergeCell ref="F180"/>
    <mergeCell ref="G180"/>
    <mergeCell ref="H180"/>
    <mergeCell ref="I180"/>
    <mergeCell ref="J180"/>
    <mergeCell ref="K180"/>
    <mergeCell ref="L180"/>
    <mergeCell ref="M180"/>
    <mergeCell ref="N180"/>
    <mergeCell ref="O180"/>
    <mergeCell ref="P180"/>
    <mergeCell ref="Q180"/>
    <mergeCell ref="R180"/>
    <mergeCell ref="S180"/>
    <mergeCell ref="T180"/>
    <mergeCell ref="A179"/>
    <mergeCell ref="B179"/>
    <mergeCell ref="C179"/>
    <mergeCell ref="D179"/>
    <mergeCell ref="E179"/>
    <mergeCell ref="F179"/>
    <mergeCell ref="G179"/>
    <mergeCell ref="H179"/>
    <mergeCell ref="I179"/>
    <mergeCell ref="J179"/>
    <mergeCell ref="K179"/>
    <mergeCell ref="L179"/>
    <mergeCell ref="M179"/>
    <mergeCell ref="N179"/>
    <mergeCell ref="O179"/>
    <mergeCell ref="P179"/>
    <mergeCell ref="Q179"/>
    <mergeCell ref="R177"/>
    <mergeCell ref="S177"/>
    <mergeCell ref="T177"/>
    <mergeCell ref="A178"/>
    <mergeCell ref="B178"/>
    <mergeCell ref="C178"/>
    <mergeCell ref="D178"/>
    <mergeCell ref="E178"/>
    <mergeCell ref="F178"/>
    <mergeCell ref="G178"/>
    <mergeCell ref="H178"/>
    <mergeCell ref="I178"/>
    <mergeCell ref="J178"/>
    <mergeCell ref="K178"/>
    <mergeCell ref="L178"/>
    <mergeCell ref="M178"/>
    <mergeCell ref="N178"/>
    <mergeCell ref="O178"/>
    <mergeCell ref="P178"/>
    <mergeCell ref="Q178"/>
    <mergeCell ref="R178"/>
    <mergeCell ref="S178"/>
    <mergeCell ref="T178"/>
    <mergeCell ref="A177"/>
    <mergeCell ref="B177"/>
    <mergeCell ref="C177"/>
    <mergeCell ref="D177"/>
    <mergeCell ref="E177"/>
    <mergeCell ref="F177"/>
    <mergeCell ref="G177"/>
    <mergeCell ref="H177"/>
    <mergeCell ref="I177"/>
    <mergeCell ref="J177"/>
    <mergeCell ref="K177"/>
    <mergeCell ref="L177"/>
    <mergeCell ref="M177"/>
    <mergeCell ref="N177"/>
    <mergeCell ref="O177"/>
    <mergeCell ref="P177"/>
    <mergeCell ref="Q177"/>
    <mergeCell ref="R175"/>
    <mergeCell ref="K175"/>
    <mergeCell ref="L175"/>
    <mergeCell ref="M175"/>
    <mergeCell ref="N175"/>
    <mergeCell ref="O175"/>
    <mergeCell ref="P175"/>
    <mergeCell ref="Q175"/>
    <mergeCell ref="S175"/>
    <mergeCell ref="T175"/>
    <mergeCell ref="A176"/>
    <mergeCell ref="B176"/>
    <mergeCell ref="C176"/>
    <mergeCell ref="D176"/>
    <mergeCell ref="E176"/>
    <mergeCell ref="F176"/>
    <mergeCell ref="G176"/>
    <mergeCell ref="H176"/>
    <mergeCell ref="I176"/>
    <mergeCell ref="J176"/>
    <mergeCell ref="K176"/>
    <mergeCell ref="L176"/>
    <mergeCell ref="M176"/>
    <mergeCell ref="N176"/>
    <mergeCell ref="O176"/>
    <mergeCell ref="P176"/>
    <mergeCell ref="Q176"/>
    <mergeCell ref="R176"/>
    <mergeCell ref="S176"/>
    <mergeCell ref="T176"/>
    <mergeCell ref="A175"/>
    <mergeCell ref="B175"/>
    <mergeCell ref="C175"/>
    <mergeCell ref="D175"/>
    <mergeCell ref="E175"/>
    <mergeCell ref="F175"/>
    <mergeCell ref="G175"/>
    <mergeCell ref="H175"/>
    <mergeCell ref="I175"/>
    <mergeCell ref="J175"/>
    <mergeCell ref="R173"/>
    <mergeCell ref="S173"/>
    <mergeCell ref="T173"/>
    <mergeCell ref="A174"/>
    <mergeCell ref="B174"/>
    <mergeCell ref="C174"/>
    <mergeCell ref="D174"/>
    <mergeCell ref="E174"/>
    <mergeCell ref="F174"/>
    <mergeCell ref="G174"/>
    <mergeCell ref="H174"/>
    <mergeCell ref="I174"/>
    <mergeCell ref="J174"/>
    <mergeCell ref="K174"/>
    <mergeCell ref="L174"/>
    <mergeCell ref="M174"/>
    <mergeCell ref="N174"/>
    <mergeCell ref="O174"/>
    <mergeCell ref="P174"/>
    <mergeCell ref="Q174"/>
    <mergeCell ref="R174"/>
    <mergeCell ref="S174"/>
    <mergeCell ref="T174"/>
    <mergeCell ref="A173"/>
    <mergeCell ref="B173"/>
    <mergeCell ref="C173"/>
    <mergeCell ref="D173"/>
    <mergeCell ref="E173"/>
    <mergeCell ref="F173"/>
    <mergeCell ref="G173"/>
    <mergeCell ref="H173"/>
    <mergeCell ref="I173"/>
    <mergeCell ref="J173"/>
    <mergeCell ref="K173"/>
    <mergeCell ref="L173"/>
    <mergeCell ref="M173"/>
    <mergeCell ref="N173"/>
    <mergeCell ref="O173"/>
    <mergeCell ref="P173"/>
    <mergeCell ref="Q173"/>
    <mergeCell ref="R171"/>
    <mergeCell ref="S171"/>
    <mergeCell ref="T171"/>
    <mergeCell ref="A172"/>
    <mergeCell ref="B172"/>
    <mergeCell ref="C172"/>
    <mergeCell ref="D172"/>
    <mergeCell ref="E172"/>
    <mergeCell ref="F172"/>
    <mergeCell ref="G172"/>
    <mergeCell ref="H172"/>
    <mergeCell ref="I172"/>
    <mergeCell ref="J172"/>
    <mergeCell ref="K172"/>
    <mergeCell ref="L172"/>
    <mergeCell ref="M172"/>
    <mergeCell ref="N172"/>
    <mergeCell ref="O172"/>
    <mergeCell ref="P172"/>
    <mergeCell ref="Q172"/>
    <mergeCell ref="R172"/>
    <mergeCell ref="S172"/>
    <mergeCell ref="T172"/>
    <mergeCell ref="A171"/>
    <mergeCell ref="B171"/>
    <mergeCell ref="C171"/>
    <mergeCell ref="D171"/>
    <mergeCell ref="E171"/>
    <mergeCell ref="F171"/>
    <mergeCell ref="G171"/>
    <mergeCell ref="H171"/>
    <mergeCell ref="I171"/>
    <mergeCell ref="J171"/>
    <mergeCell ref="K171"/>
    <mergeCell ref="L171"/>
    <mergeCell ref="M171"/>
    <mergeCell ref="N171"/>
    <mergeCell ref="O171"/>
    <mergeCell ref="P171"/>
    <mergeCell ref="Q171"/>
    <mergeCell ref="R169"/>
    <mergeCell ref="K169"/>
    <mergeCell ref="L169"/>
    <mergeCell ref="M169"/>
    <mergeCell ref="N169"/>
    <mergeCell ref="O169"/>
    <mergeCell ref="P169"/>
    <mergeCell ref="Q169"/>
    <mergeCell ref="S169"/>
    <mergeCell ref="T169"/>
    <mergeCell ref="A170"/>
    <mergeCell ref="B170"/>
    <mergeCell ref="C170"/>
    <mergeCell ref="D170"/>
    <mergeCell ref="E170"/>
    <mergeCell ref="F170"/>
    <mergeCell ref="G170"/>
    <mergeCell ref="H170"/>
    <mergeCell ref="I170"/>
    <mergeCell ref="J170"/>
    <mergeCell ref="K170"/>
    <mergeCell ref="L170"/>
    <mergeCell ref="M170"/>
    <mergeCell ref="N170"/>
    <mergeCell ref="O170"/>
    <mergeCell ref="P170"/>
    <mergeCell ref="Q170"/>
    <mergeCell ref="R170"/>
    <mergeCell ref="S170"/>
    <mergeCell ref="T170"/>
    <mergeCell ref="A169"/>
    <mergeCell ref="B169"/>
    <mergeCell ref="C169"/>
    <mergeCell ref="D169"/>
    <mergeCell ref="E169"/>
    <mergeCell ref="F169"/>
    <mergeCell ref="G169"/>
    <mergeCell ref="H169"/>
    <mergeCell ref="I169"/>
    <mergeCell ref="J169"/>
    <mergeCell ref="R167"/>
    <mergeCell ref="S167"/>
    <mergeCell ref="T167"/>
    <mergeCell ref="A168"/>
    <mergeCell ref="B168"/>
    <mergeCell ref="C168"/>
    <mergeCell ref="D168"/>
    <mergeCell ref="E168"/>
    <mergeCell ref="F168"/>
    <mergeCell ref="G168"/>
    <mergeCell ref="H168"/>
    <mergeCell ref="I168"/>
    <mergeCell ref="J168"/>
    <mergeCell ref="K168"/>
    <mergeCell ref="L168"/>
    <mergeCell ref="M168"/>
    <mergeCell ref="N168"/>
    <mergeCell ref="O168"/>
    <mergeCell ref="P168"/>
    <mergeCell ref="Q168"/>
    <mergeCell ref="R168"/>
    <mergeCell ref="S168"/>
    <mergeCell ref="T168"/>
    <mergeCell ref="A167"/>
    <mergeCell ref="B167"/>
    <mergeCell ref="C167"/>
    <mergeCell ref="D167"/>
    <mergeCell ref="E167"/>
    <mergeCell ref="F167"/>
    <mergeCell ref="G167"/>
    <mergeCell ref="H167"/>
    <mergeCell ref="I167"/>
    <mergeCell ref="J167"/>
    <mergeCell ref="K167"/>
    <mergeCell ref="L167"/>
    <mergeCell ref="M167"/>
    <mergeCell ref="N167"/>
    <mergeCell ref="O167"/>
    <mergeCell ref="P167"/>
    <mergeCell ref="Q167"/>
    <mergeCell ref="R165"/>
    <mergeCell ref="S165"/>
    <mergeCell ref="T165"/>
    <mergeCell ref="A166"/>
    <mergeCell ref="B166"/>
    <mergeCell ref="C166"/>
    <mergeCell ref="D166"/>
    <mergeCell ref="E166"/>
    <mergeCell ref="F166"/>
    <mergeCell ref="G166"/>
    <mergeCell ref="H166"/>
    <mergeCell ref="I166"/>
    <mergeCell ref="J166"/>
    <mergeCell ref="K166"/>
    <mergeCell ref="L166"/>
    <mergeCell ref="M166"/>
    <mergeCell ref="N166"/>
    <mergeCell ref="O166"/>
    <mergeCell ref="P166"/>
    <mergeCell ref="Q166"/>
    <mergeCell ref="R166"/>
    <mergeCell ref="S166"/>
    <mergeCell ref="T166"/>
    <mergeCell ref="A165"/>
    <mergeCell ref="B165"/>
    <mergeCell ref="C165"/>
    <mergeCell ref="D165"/>
    <mergeCell ref="E165"/>
    <mergeCell ref="F165"/>
    <mergeCell ref="G165"/>
    <mergeCell ref="H165"/>
    <mergeCell ref="I165"/>
    <mergeCell ref="J165"/>
    <mergeCell ref="K165"/>
    <mergeCell ref="L165"/>
    <mergeCell ref="M165"/>
    <mergeCell ref="N165"/>
    <mergeCell ref="O165"/>
    <mergeCell ref="P165"/>
    <mergeCell ref="Q165"/>
    <mergeCell ref="R163"/>
    <mergeCell ref="K163"/>
    <mergeCell ref="L163"/>
    <mergeCell ref="M163"/>
    <mergeCell ref="N163"/>
    <mergeCell ref="O163"/>
    <mergeCell ref="P163"/>
    <mergeCell ref="Q163"/>
    <mergeCell ref="S163"/>
    <mergeCell ref="T163"/>
    <mergeCell ref="A164"/>
    <mergeCell ref="B164"/>
    <mergeCell ref="C164"/>
    <mergeCell ref="D164"/>
    <mergeCell ref="E164"/>
    <mergeCell ref="F164"/>
    <mergeCell ref="G164"/>
    <mergeCell ref="H164"/>
    <mergeCell ref="I164"/>
    <mergeCell ref="J164"/>
    <mergeCell ref="K164"/>
    <mergeCell ref="L164"/>
    <mergeCell ref="M164"/>
    <mergeCell ref="N164"/>
    <mergeCell ref="O164"/>
    <mergeCell ref="P164"/>
    <mergeCell ref="Q164"/>
    <mergeCell ref="R164"/>
    <mergeCell ref="S164"/>
    <mergeCell ref="T164"/>
    <mergeCell ref="A163"/>
    <mergeCell ref="B163"/>
    <mergeCell ref="C163"/>
    <mergeCell ref="D163"/>
    <mergeCell ref="E163"/>
    <mergeCell ref="F163"/>
    <mergeCell ref="G163"/>
    <mergeCell ref="H163"/>
    <mergeCell ref="I163"/>
    <mergeCell ref="J163"/>
    <mergeCell ref="R161"/>
    <mergeCell ref="S161"/>
    <mergeCell ref="T161"/>
    <mergeCell ref="A162"/>
    <mergeCell ref="B162"/>
    <mergeCell ref="C162"/>
    <mergeCell ref="D162"/>
    <mergeCell ref="E162"/>
    <mergeCell ref="F162"/>
    <mergeCell ref="G162"/>
    <mergeCell ref="H162"/>
    <mergeCell ref="I162"/>
    <mergeCell ref="J162"/>
    <mergeCell ref="K162"/>
    <mergeCell ref="L162"/>
    <mergeCell ref="M162"/>
    <mergeCell ref="N162"/>
    <mergeCell ref="O162"/>
    <mergeCell ref="P162"/>
    <mergeCell ref="Q162"/>
    <mergeCell ref="R162"/>
    <mergeCell ref="S162"/>
    <mergeCell ref="T162"/>
    <mergeCell ref="A161"/>
    <mergeCell ref="B161"/>
    <mergeCell ref="C161"/>
    <mergeCell ref="D161"/>
    <mergeCell ref="E161"/>
    <mergeCell ref="F161"/>
    <mergeCell ref="G161"/>
    <mergeCell ref="H161"/>
    <mergeCell ref="I161"/>
    <mergeCell ref="J161"/>
    <mergeCell ref="K161"/>
    <mergeCell ref="L161"/>
    <mergeCell ref="M161"/>
    <mergeCell ref="N161"/>
    <mergeCell ref="O161"/>
    <mergeCell ref="P161"/>
    <mergeCell ref="Q161"/>
    <mergeCell ref="R159"/>
    <mergeCell ref="S159"/>
    <mergeCell ref="T159"/>
    <mergeCell ref="A160"/>
    <mergeCell ref="B160"/>
    <mergeCell ref="C160"/>
    <mergeCell ref="D160"/>
    <mergeCell ref="E160"/>
    <mergeCell ref="F160"/>
    <mergeCell ref="G160"/>
    <mergeCell ref="H160"/>
    <mergeCell ref="I160"/>
    <mergeCell ref="J160"/>
    <mergeCell ref="K160"/>
    <mergeCell ref="L160"/>
    <mergeCell ref="M160"/>
    <mergeCell ref="N160"/>
    <mergeCell ref="O160"/>
    <mergeCell ref="P160"/>
    <mergeCell ref="Q160"/>
    <mergeCell ref="R160"/>
    <mergeCell ref="S160"/>
    <mergeCell ref="T160"/>
    <mergeCell ref="A159"/>
    <mergeCell ref="B159"/>
    <mergeCell ref="C159"/>
    <mergeCell ref="D159"/>
    <mergeCell ref="E159"/>
    <mergeCell ref="F159"/>
    <mergeCell ref="G159"/>
    <mergeCell ref="H159"/>
    <mergeCell ref="I159"/>
    <mergeCell ref="J159"/>
    <mergeCell ref="K159"/>
    <mergeCell ref="L159"/>
    <mergeCell ref="M159"/>
    <mergeCell ref="N159"/>
    <mergeCell ref="O159"/>
    <mergeCell ref="P159"/>
    <mergeCell ref="Q159"/>
    <mergeCell ref="R157"/>
    <mergeCell ref="K157"/>
    <mergeCell ref="L157"/>
    <mergeCell ref="M157"/>
    <mergeCell ref="N157"/>
    <mergeCell ref="O157"/>
    <mergeCell ref="P157"/>
    <mergeCell ref="Q157"/>
    <mergeCell ref="S157"/>
    <mergeCell ref="T157"/>
    <mergeCell ref="A158"/>
    <mergeCell ref="B158"/>
    <mergeCell ref="C158"/>
    <mergeCell ref="D158"/>
    <mergeCell ref="E158"/>
    <mergeCell ref="F158"/>
    <mergeCell ref="G158"/>
    <mergeCell ref="H158"/>
    <mergeCell ref="I158"/>
    <mergeCell ref="J158"/>
    <mergeCell ref="K158"/>
    <mergeCell ref="L158"/>
    <mergeCell ref="M158"/>
    <mergeCell ref="N158"/>
    <mergeCell ref="O158"/>
    <mergeCell ref="P158"/>
    <mergeCell ref="Q158"/>
    <mergeCell ref="R158"/>
    <mergeCell ref="S158"/>
    <mergeCell ref="T158"/>
    <mergeCell ref="A157"/>
    <mergeCell ref="B157"/>
    <mergeCell ref="C157"/>
    <mergeCell ref="D157"/>
    <mergeCell ref="E157"/>
    <mergeCell ref="F157"/>
    <mergeCell ref="G157"/>
    <mergeCell ref="H157"/>
    <mergeCell ref="I157"/>
    <mergeCell ref="J157"/>
    <mergeCell ref="R155"/>
    <mergeCell ref="S155"/>
    <mergeCell ref="T155"/>
    <mergeCell ref="A156"/>
    <mergeCell ref="B156"/>
    <mergeCell ref="C156"/>
    <mergeCell ref="D156"/>
    <mergeCell ref="E156"/>
    <mergeCell ref="F156"/>
    <mergeCell ref="G156"/>
    <mergeCell ref="H156"/>
    <mergeCell ref="I156"/>
    <mergeCell ref="J156"/>
    <mergeCell ref="K156"/>
    <mergeCell ref="L156"/>
    <mergeCell ref="M156"/>
    <mergeCell ref="N156"/>
    <mergeCell ref="O156"/>
    <mergeCell ref="P156"/>
    <mergeCell ref="Q156"/>
    <mergeCell ref="R156"/>
    <mergeCell ref="S156"/>
    <mergeCell ref="T156"/>
    <mergeCell ref="A155"/>
    <mergeCell ref="B155"/>
    <mergeCell ref="C155"/>
    <mergeCell ref="D155"/>
    <mergeCell ref="E155"/>
    <mergeCell ref="F155"/>
    <mergeCell ref="G155"/>
    <mergeCell ref="H155"/>
    <mergeCell ref="I155"/>
    <mergeCell ref="J155"/>
    <mergeCell ref="K155"/>
    <mergeCell ref="L155"/>
    <mergeCell ref="M155"/>
    <mergeCell ref="N155"/>
    <mergeCell ref="O155"/>
    <mergeCell ref="P155"/>
    <mergeCell ref="Q155"/>
    <mergeCell ref="R153"/>
    <mergeCell ref="S153"/>
    <mergeCell ref="T153"/>
    <mergeCell ref="A154"/>
    <mergeCell ref="B154"/>
    <mergeCell ref="C154"/>
    <mergeCell ref="D154"/>
    <mergeCell ref="E154"/>
    <mergeCell ref="F154"/>
    <mergeCell ref="G154"/>
    <mergeCell ref="H154"/>
    <mergeCell ref="I154"/>
    <mergeCell ref="J154"/>
    <mergeCell ref="K154"/>
    <mergeCell ref="L154"/>
    <mergeCell ref="M154"/>
    <mergeCell ref="N154"/>
    <mergeCell ref="O154"/>
    <mergeCell ref="P154"/>
    <mergeCell ref="Q154"/>
    <mergeCell ref="R154"/>
    <mergeCell ref="S154"/>
    <mergeCell ref="T154"/>
    <mergeCell ref="A153"/>
    <mergeCell ref="B153"/>
    <mergeCell ref="C153"/>
    <mergeCell ref="D153"/>
    <mergeCell ref="E153"/>
    <mergeCell ref="F153"/>
    <mergeCell ref="G153"/>
    <mergeCell ref="H153"/>
    <mergeCell ref="I153"/>
    <mergeCell ref="J153"/>
    <mergeCell ref="K153"/>
    <mergeCell ref="L153"/>
    <mergeCell ref="M153"/>
    <mergeCell ref="N153"/>
    <mergeCell ref="O153"/>
    <mergeCell ref="P153"/>
    <mergeCell ref="Q153"/>
    <mergeCell ref="A152"/>
    <mergeCell ref="B152"/>
    <mergeCell ref="C152"/>
    <mergeCell ref="D152"/>
    <mergeCell ref="E152"/>
    <mergeCell ref="F152"/>
    <mergeCell ref="G152"/>
    <mergeCell ref="H152"/>
    <mergeCell ref="I152"/>
    <mergeCell ref="J152"/>
    <mergeCell ref="K152"/>
    <mergeCell ref="L152"/>
    <mergeCell ref="M152"/>
    <mergeCell ref="N152"/>
    <mergeCell ref="O152"/>
    <mergeCell ref="P152"/>
    <mergeCell ref="Q152"/>
    <mergeCell ref="R152"/>
    <mergeCell ref="S152"/>
    <mergeCell ref="T152"/>
    <mergeCell ref="R251"/>
    <mergeCell ref="S251"/>
    <mergeCell ref="T251"/>
    <mergeCell ref="A251"/>
    <mergeCell ref="B251"/>
    <mergeCell ref="C251"/>
    <mergeCell ref="D251"/>
    <mergeCell ref="E251"/>
    <mergeCell ref="F251"/>
    <mergeCell ref="G251"/>
    <mergeCell ref="H251"/>
    <mergeCell ref="I251"/>
    <mergeCell ref="J251"/>
    <mergeCell ref="K251"/>
    <mergeCell ref="L251"/>
    <mergeCell ref="M251"/>
    <mergeCell ref="N251"/>
    <mergeCell ref="O251"/>
    <mergeCell ref="P251"/>
    <mergeCell ref="Q251"/>
    <mergeCell ref="R249"/>
    <mergeCell ref="S249"/>
    <mergeCell ref="T249"/>
    <mergeCell ref="A250"/>
    <mergeCell ref="B250"/>
    <mergeCell ref="C250"/>
    <mergeCell ref="D250"/>
    <mergeCell ref="E250"/>
    <mergeCell ref="F250"/>
    <mergeCell ref="G250"/>
    <mergeCell ref="H250"/>
    <mergeCell ref="I250"/>
    <mergeCell ref="J250"/>
    <mergeCell ref="K250"/>
    <mergeCell ref="L250"/>
    <mergeCell ref="M250"/>
    <mergeCell ref="N250"/>
    <mergeCell ref="O250"/>
    <mergeCell ref="P250"/>
    <mergeCell ref="Q250"/>
    <mergeCell ref="R250"/>
    <mergeCell ref="S250"/>
    <mergeCell ref="T250"/>
    <mergeCell ref="A249"/>
    <mergeCell ref="B249"/>
    <mergeCell ref="C249"/>
    <mergeCell ref="D249"/>
    <mergeCell ref="E249"/>
    <mergeCell ref="F249"/>
    <mergeCell ref="G249"/>
    <mergeCell ref="H249"/>
    <mergeCell ref="I249"/>
    <mergeCell ref="J249"/>
    <mergeCell ref="K249"/>
    <mergeCell ref="L249"/>
    <mergeCell ref="M249"/>
    <mergeCell ref="N249"/>
    <mergeCell ref="O249"/>
    <mergeCell ref="P249"/>
    <mergeCell ref="Q249"/>
    <mergeCell ref="R247"/>
    <mergeCell ref="S247"/>
    <mergeCell ref="T247"/>
    <mergeCell ref="A248"/>
    <mergeCell ref="B248"/>
    <mergeCell ref="C248"/>
    <mergeCell ref="D248"/>
    <mergeCell ref="E248"/>
    <mergeCell ref="F248"/>
    <mergeCell ref="G248"/>
    <mergeCell ref="H248"/>
    <mergeCell ref="I248"/>
    <mergeCell ref="J248"/>
    <mergeCell ref="K248"/>
    <mergeCell ref="L248"/>
    <mergeCell ref="M248"/>
    <mergeCell ref="N248"/>
    <mergeCell ref="O248"/>
    <mergeCell ref="P248"/>
    <mergeCell ref="Q248"/>
    <mergeCell ref="R248"/>
    <mergeCell ref="S248"/>
    <mergeCell ref="T248"/>
    <mergeCell ref="A247"/>
    <mergeCell ref="B247"/>
    <mergeCell ref="C247"/>
    <mergeCell ref="D247"/>
    <mergeCell ref="E247"/>
    <mergeCell ref="F247"/>
    <mergeCell ref="G247"/>
    <mergeCell ref="H247"/>
    <mergeCell ref="I247"/>
    <mergeCell ref="J247"/>
    <mergeCell ref="K247"/>
    <mergeCell ref="L247"/>
    <mergeCell ref="M247"/>
    <mergeCell ref="N247"/>
    <mergeCell ref="O247"/>
    <mergeCell ref="P247"/>
    <mergeCell ref="Q247"/>
    <mergeCell ref="R245"/>
    <mergeCell ref="S245"/>
    <mergeCell ref="T245"/>
    <mergeCell ref="A246"/>
    <mergeCell ref="B246"/>
    <mergeCell ref="C246"/>
    <mergeCell ref="D246"/>
    <mergeCell ref="E246"/>
    <mergeCell ref="F246"/>
    <mergeCell ref="G246"/>
    <mergeCell ref="H246"/>
    <mergeCell ref="I246"/>
    <mergeCell ref="J246"/>
    <mergeCell ref="K246"/>
    <mergeCell ref="L246"/>
    <mergeCell ref="M246"/>
    <mergeCell ref="N246"/>
    <mergeCell ref="O246"/>
    <mergeCell ref="P246"/>
    <mergeCell ref="Q246"/>
    <mergeCell ref="R246"/>
    <mergeCell ref="S246"/>
    <mergeCell ref="T246"/>
    <mergeCell ref="A245"/>
    <mergeCell ref="B245"/>
    <mergeCell ref="C245"/>
    <mergeCell ref="D245"/>
    <mergeCell ref="E245"/>
    <mergeCell ref="F245"/>
    <mergeCell ref="G245"/>
    <mergeCell ref="H245"/>
    <mergeCell ref="I245"/>
    <mergeCell ref="J245"/>
    <mergeCell ref="K245"/>
    <mergeCell ref="L245"/>
    <mergeCell ref="M245"/>
    <mergeCell ref="N245"/>
    <mergeCell ref="O245"/>
    <mergeCell ref="P245"/>
    <mergeCell ref="Q245"/>
    <mergeCell ref="R243"/>
    <mergeCell ref="K243"/>
    <mergeCell ref="L243"/>
    <mergeCell ref="M243"/>
    <mergeCell ref="N243"/>
    <mergeCell ref="O243"/>
    <mergeCell ref="P243"/>
    <mergeCell ref="Q243"/>
    <mergeCell ref="S243"/>
    <mergeCell ref="T243"/>
    <mergeCell ref="A244"/>
    <mergeCell ref="B244"/>
    <mergeCell ref="C244"/>
    <mergeCell ref="D244"/>
    <mergeCell ref="E244"/>
    <mergeCell ref="F244"/>
    <mergeCell ref="G244"/>
    <mergeCell ref="H244"/>
    <mergeCell ref="I244"/>
    <mergeCell ref="J244"/>
    <mergeCell ref="K244"/>
    <mergeCell ref="L244"/>
    <mergeCell ref="M244"/>
    <mergeCell ref="N244"/>
    <mergeCell ref="O244"/>
    <mergeCell ref="P244"/>
    <mergeCell ref="Q244"/>
    <mergeCell ref="R244"/>
    <mergeCell ref="S244"/>
    <mergeCell ref="T244"/>
    <mergeCell ref="A243"/>
    <mergeCell ref="B243"/>
    <mergeCell ref="C243"/>
    <mergeCell ref="D243"/>
    <mergeCell ref="E243"/>
    <mergeCell ref="F243"/>
    <mergeCell ref="G243"/>
    <mergeCell ref="H243"/>
    <mergeCell ref="I243"/>
    <mergeCell ref="J243"/>
    <mergeCell ref="R241"/>
    <mergeCell ref="S241"/>
    <mergeCell ref="T241"/>
    <mergeCell ref="A242"/>
    <mergeCell ref="B242"/>
    <mergeCell ref="C242"/>
    <mergeCell ref="D242"/>
    <mergeCell ref="E242"/>
    <mergeCell ref="F242"/>
    <mergeCell ref="G242"/>
    <mergeCell ref="H242"/>
    <mergeCell ref="I242"/>
    <mergeCell ref="J242"/>
    <mergeCell ref="K242"/>
    <mergeCell ref="L242"/>
    <mergeCell ref="M242"/>
    <mergeCell ref="N242"/>
    <mergeCell ref="O242"/>
    <mergeCell ref="P242"/>
    <mergeCell ref="Q242"/>
    <mergeCell ref="R242"/>
    <mergeCell ref="S242"/>
    <mergeCell ref="T242"/>
    <mergeCell ref="A241"/>
    <mergeCell ref="B241"/>
    <mergeCell ref="C241"/>
    <mergeCell ref="D241"/>
    <mergeCell ref="E241"/>
    <mergeCell ref="F241"/>
    <mergeCell ref="G241"/>
    <mergeCell ref="H241"/>
    <mergeCell ref="I241"/>
    <mergeCell ref="J241"/>
    <mergeCell ref="K241"/>
    <mergeCell ref="L241"/>
    <mergeCell ref="M241"/>
    <mergeCell ref="N241"/>
    <mergeCell ref="O241"/>
    <mergeCell ref="P241"/>
    <mergeCell ref="Q241"/>
    <mergeCell ref="R239"/>
    <mergeCell ref="S239"/>
    <mergeCell ref="T239"/>
    <mergeCell ref="A240"/>
    <mergeCell ref="B240"/>
    <mergeCell ref="C240"/>
    <mergeCell ref="D240"/>
    <mergeCell ref="E240"/>
    <mergeCell ref="F240"/>
    <mergeCell ref="G240"/>
    <mergeCell ref="H240"/>
    <mergeCell ref="I240"/>
    <mergeCell ref="J240"/>
    <mergeCell ref="K240"/>
    <mergeCell ref="L240"/>
    <mergeCell ref="M240"/>
    <mergeCell ref="N240"/>
    <mergeCell ref="O240"/>
    <mergeCell ref="P240"/>
    <mergeCell ref="Q240"/>
    <mergeCell ref="R240"/>
    <mergeCell ref="S240"/>
    <mergeCell ref="T240"/>
    <mergeCell ref="A239"/>
    <mergeCell ref="B239"/>
    <mergeCell ref="C239"/>
    <mergeCell ref="D239"/>
    <mergeCell ref="E239"/>
    <mergeCell ref="F239"/>
    <mergeCell ref="G239"/>
    <mergeCell ref="H239"/>
    <mergeCell ref="I239"/>
    <mergeCell ref="J239"/>
    <mergeCell ref="K239"/>
    <mergeCell ref="L239"/>
    <mergeCell ref="M239"/>
    <mergeCell ref="N239"/>
    <mergeCell ref="O239"/>
    <mergeCell ref="P239"/>
    <mergeCell ref="Q239"/>
    <mergeCell ref="R237"/>
    <mergeCell ref="K237"/>
    <mergeCell ref="L237"/>
    <mergeCell ref="M237"/>
    <mergeCell ref="N237"/>
    <mergeCell ref="O237"/>
    <mergeCell ref="P237"/>
    <mergeCell ref="Q237"/>
    <mergeCell ref="S237"/>
    <mergeCell ref="T237"/>
    <mergeCell ref="A238"/>
    <mergeCell ref="B238"/>
    <mergeCell ref="C238"/>
    <mergeCell ref="D238"/>
    <mergeCell ref="E238"/>
    <mergeCell ref="F238"/>
    <mergeCell ref="G238"/>
    <mergeCell ref="H238"/>
    <mergeCell ref="I238"/>
    <mergeCell ref="J238"/>
    <mergeCell ref="K238"/>
    <mergeCell ref="L238"/>
    <mergeCell ref="M238"/>
    <mergeCell ref="N238"/>
    <mergeCell ref="O238"/>
    <mergeCell ref="P238"/>
    <mergeCell ref="Q238"/>
    <mergeCell ref="R238"/>
    <mergeCell ref="S238"/>
    <mergeCell ref="T238"/>
    <mergeCell ref="A237"/>
    <mergeCell ref="B237"/>
    <mergeCell ref="C237"/>
    <mergeCell ref="D237"/>
    <mergeCell ref="E237"/>
    <mergeCell ref="F237"/>
    <mergeCell ref="G237"/>
    <mergeCell ref="H237"/>
    <mergeCell ref="I237"/>
    <mergeCell ref="J237"/>
    <mergeCell ref="R235"/>
    <mergeCell ref="S235"/>
    <mergeCell ref="T235"/>
    <mergeCell ref="A236"/>
    <mergeCell ref="B236"/>
    <mergeCell ref="C236"/>
    <mergeCell ref="D236"/>
    <mergeCell ref="E236"/>
    <mergeCell ref="F236"/>
    <mergeCell ref="G236"/>
    <mergeCell ref="H236"/>
    <mergeCell ref="I236"/>
    <mergeCell ref="J236"/>
    <mergeCell ref="K236"/>
    <mergeCell ref="L236"/>
    <mergeCell ref="M236"/>
    <mergeCell ref="N236"/>
    <mergeCell ref="O236"/>
    <mergeCell ref="P236"/>
    <mergeCell ref="Q236"/>
    <mergeCell ref="R236"/>
    <mergeCell ref="S236"/>
    <mergeCell ref="T236"/>
    <mergeCell ref="A235"/>
    <mergeCell ref="B235"/>
    <mergeCell ref="C235"/>
    <mergeCell ref="D235"/>
    <mergeCell ref="E235"/>
    <mergeCell ref="F235"/>
    <mergeCell ref="G235"/>
    <mergeCell ref="H235"/>
    <mergeCell ref="I235"/>
    <mergeCell ref="J235"/>
    <mergeCell ref="K235"/>
    <mergeCell ref="L235"/>
    <mergeCell ref="M235"/>
    <mergeCell ref="N235"/>
    <mergeCell ref="O235"/>
    <mergeCell ref="P235"/>
    <mergeCell ref="Q235"/>
    <mergeCell ref="R233"/>
    <mergeCell ref="S233"/>
    <mergeCell ref="T233"/>
    <mergeCell ref="A234"/>
    <mergeCell ref="B234"/>
    <mergeCell ref="C234"/>
    <mergeCell ref="D234"/>
    <mergeCell ref="E234"/>
    <mergeCell ref="F234"/>
    <mergeCell ref="G234"/>
    <mergeCell ref="H234"/>
    <mergeCell ref="I234"/>
    <mergeCell ref="J234"/>
    <mergeCell ref="K234"/>
    <mergeCell ref="L234"/>
    <mergeCell ref="M234"/>
    <mergeCell ref="N234"/>
    <mergeCell ref="O234"/>
    <mergeCell ref="P234"/>
    <mergeCell ref="Q234"/>
    <mergeCell ref="R234"/>
    <mergeCell ref="S234"/>
    <mergeCell ref="T234"/>
    <mergeCell ref="A233"/>
    <mergeCell ref="B233"/>
    <mergeCell ref="C233"/>
    <mergeCell ref="D233"/>
    <mergeCell ref="E233"/>
    <mergeCell ref="F233"/>
    <mergeCell ref="G233"/>
    <mergeCell ref="H233"/>
    <mergeCell ref="I233"/>
    <mergeCell ref="J233"/>
    <mergeCell ref="K233"/>
    <mergeCell ref="L233"/>
    <mergeCell ref="M233"/>
    <mergeCell ref="N233"/>
    <mergeCell ref="O233"/>
    <mergeCell ref="P233"/>
    <mergeCell ref="Q233"/>
    <mergeCell ref="R231"/>
    <mergeCell ref="K231"/>
    <mergeCell ref="L231"/>
    <mergeCell ref="M231"/>
    <mergeCell ref="N231"/>
    <mergeCell ref="O231"/>
    <mergeCell ref="P231"/>
    <mergeCell ref="Q231"/>
    <mergeCell ref="S231"/>
    <mergeCell ref="T231"/>
    <mergeCell ref="A232"/>
    <mergeCell ref="B232"/>
    <mergeCell ref="C232"/>
    <mergeCell ref="D232"/>
    <mergeCell ref="E232"/>
    <mergeCell ref="F232"/>
    <mergeCell ref="G232"/>
    <mergeCell ref="H232"/>
    <mergeCell ref="I232"/>
    <mergeCell ref="J232"/>
    <mergeCell ref="K232"/>
    <mergeCell ref="L232"/>
    <mergeCell ref="M232"/>
    <mergeCell ref="N232"/>
    <mergeCell ref="O232"/>
    <mergeCell ref="P232"/>
    <mergeCell ref="Q232"/>
    <mergeCell ref="R232"/>
    <mergeCell ref="S232"/>
    <mergeCell ref="T232"/>
    <mergeCell ref="A231"/>
    <mergeCell ref="B231"/>
    <mergeCell ref="C231"/>
    <mergeCell ref="D231"/>
    <mergeCell ref="E231"/>
    <mergeCell ref="F231"/>
    <mergeCell ref="G231"/>
    <mergeCell ref="H231"/>
    <mergeCell ref="I231"/>
    <mergeCell ref="J231"/>
    <mergeCell ref="R229"/>
    <mergeCell ref="S229"/>
    <mergeCell ref="T229"/>
    <mergeCell ref="A230"/>
    <mergeCell ref="B230"/>
    <mergeCell ref="C230"/>
    <mergeCell ref="D230"/>
    <mergeCell ref="E230"/>
    <mergeCell ref="F230"/>
    <mergeCell ref="G230"/>
    <mergeCell ref="H230"/>
    <mergeCell ref="I230"/>
    <mergeCell ref="J230"/>
    <mergeCell ref="K230"/>
    <mergeCell ref="L230"/>
    <mergeCell ref="M230"/>
    <mergeCell ref="N230"/>
    <mergeCell ref="O230"/>
    <mergeCell ref="P230"/>
    <mergeCell ref="Q230"/>
    <mergeCell ref="R230"/>
    <mergeCell ref="S230"/>
    <mergeCell ref="T230"/>
    <mergeCell ref="A229"/>
    <mergeCell ref="B229"/>
    <mergeCell ref="C229"/>
    <mergeCell ref="D229"/>
    <mergeCell ref="E229"/>
    <mergeCell ref="F229"/>
    <mergeCell ref="G229"/>
    <mergeCell ref="H229"/>
    <mergeCell ref="I229"/>
    <mergeCell ref="J229"/>
    <mergeCell ref="K229"/>
    <mergeCell ref="L229"/>
    <mergeCell ref="M229"/>
    <mergeCell ref="N229"/>
    <mergeCell ref="O229"/>
    <mergeCell ref="P229"/>
    <mergeCell ref="Q229"/>
    <mergeCell ref="R227"/>
    <mergeCell ref="S227"/>
    <mergeCell ref="T227"/>
    <mergeCell ref="A228"/>
    <mergeCell ref="B228"/>
    <mergeCell ref="C228"/>
    <mergeCell ref="D228"/>
    <mergeCell ref="E228"/>
    <mergeCell ref="F228"/>
    <mergeCell ref="G228"/>
    <mergeCell ref="H228"/>
    <mergeCell ref="I228"/>
    <mergeCell ref="J228"/>
    <mergeCell ref="K228"/>
    <mergeCell ref="L228"/>
    <mergeCell ref="M228"/>
    <mergeCell ref="N228"/>
    <mergeCell ref="O228"/>
    <mergeCell ref="P228"/>
    <mergeCell ref="Q228"/>
    <mergeCell ref="R228"/>
    <mergeCell ref="S228"/>
    <mergeCell ref="T228"/>
    <mergeCell ref="A227"/>
    <mergeCell ref="B227"/>
    <mergeCell ref="C227"/>
    <mergeCell ref="D227"/>
    <mergeCell ref="E227"/>
    <mergeCell ref="F227"/>
    <mergeCell ref="G227"/>
    <mergeCell ref="H227"/>
    <mergeCell ref="I227"/>
    <mergeCell ref="J227"/>
    <mergeCell ref="K227"/>
    <mergeCell ref="L227"/>
    <mergeCell ref="M227"/>
    <mergeCell ref="N227"/>
    <mergeCell ref="O227"/>
    <mergeCell ref="P227"/>
    <mergeCell ref="Q227"/>
    <mergeCell ref="R225"/>
    <mergeCell ref="K225"/>
    <mergeCell ref="L225"/>
    <mergeCell ref="M225"/>
    <mergeCell ref="N225"/>
    <mergeCell ref="O225"/>
    <mergeCell ref="P225"/>
    <mergeCell ref="Q225"/>
    <mergeCell ref="S225"/>
    <mergeCell ref="T225"/>
    <mergeCell ref="A226"/>
    <mergeCell ref="B226"/>
    <mergeCell ref="C226"/>
    <mergeCell ref="D226"/>
    <mergeCell ref="E226"/>
    <mergeCell ref="F226"/>
    <mergeCell ref="G226"/>
    <mergeCell ref="H226"/>
    <mergeCell ref="I226"/>
    <mergeCell ref="J226"/>
    <mergeCell ref="K226"/>
    <mergeCell ref="L226"/>
    <mergeCell ref="M226"/>
    <mergeCell ref="N226"/>
    <mergeCell ref="O226"/>
    <mergeCell ref="P226"/>
    <mergeCell ref="Q226"/>
    <mergeCell ref="R226"/>
    <mergeCell ref="S226"/>
    <mergeCell ref="T226"/>
    <mergeCell ref="A225"/>
    <mergeCell ref="B225"/>
    <mergeCell ref="C225"/>
    <mergeCell ref="D225"/>
    <mergeCell ref="E225"/>
    <mergeCell ref="F225"/>
    <mergeCell ref="G225"/>
    <mergeCell ref="H225"/>
    <mergeCell ref="I225"/>
    <mergeCell ref="J225"/>
    <mergeCell ref="R223"/>
    <mergeCell ref="S223"/>
    <mergeCell ref="T223"/>
    <mergeCell ref="A224"/>
    <mergeCell ref="B224"/>
    <mergeCell ref="C224"/>
    <mergeCell ref="D224"/>
    <mergeCell ref="E224"/>
    <mergeCell ref="F224"/>
    <mergeCell ref="G224"/>
    <mergeCell ref="H224"/>
    <mergeCell ref="I224"/>
    <mergeCell ref="J224"/>
    <mergeCell ref="K224"/>
    <mergeCell ref="L224"/>
    <mergeCell ref="M224"/>
    <mergeCell ref="N224"/>
    <mergeCell ref="O224"/>
    <mergeCell ref="P224"/>
    <mergeCell ref="Q224"/>
    <mergeCell ref="R224"/>
    <mergeCell ref="S224"/>
    <mergeCell ref="T224"/>
    <mergeCell ref="A223"/>
    <mergeCell ref="B223"/>
    <mergeCell ref="C223"/>
    <mergeCell ref="D223"/>
    <mergeCell ref="E223"/>
    <mergeCell ref="F223"/>
    <mergeCell ref="G223"/>
    <mergeCell ref="H223"/>
    <mergeCell ref="I223"/>
    <mergeCell ref="J223"/>
    <mergeCell ref="K223"/>
    <mergeCell ref="L223"/>
    <mergeCell ref="M223"/>
    <mergeCell ref="N223"/>
    <mergeCell ref="O223"/>
    <mergeCell ref="P223"/>
    <mergeCell ref="Q223"/>
    <mergeCell ref="R221"/>
    <mergeCell ref="S221"/>
    <mergeCell ref="T221"/>
    <mergeCell ref="A222"/>
    <mergeCell ref="B222"/>
    <mergeCell ref="C222"/>
    <mergeCell ref="D222"/>
    <mergeCell ref="E222"/>
    <mergeCell ref="F222"/>
    <mergeCell ref="G222"/>
    <mergeCell ref="H222"/>
    <mergeCell ref="I222"/>
    <mergeCell ref="J222"/>
    <mergeCell ref="K222"/>
    <mergeCell ref="L222"/>
    <mergeCell ref="M222"/>
    <mergeCell ref="N222"/>
    <mergeCell ref="O222"/>
    <mergeCell ref="P222"/>
    <mergeCell ref="Q222"/>
    <mergeCell ref="R222"/>
    <mergeCell ref="S222"/>
    <mergeCell ref="T222"/>
    <mergeCell ref="A221"/>
    <mergeCell ref="B221"/>
    <mergeCell ref="C221"/>
    <mergeCell ref="D221"/>
    <mergeCell ref="E221"/>
    <mergeCell ref="F221"/>
    <mergeCell ref="G221"/>
    <mergeCell ref="H221"/>
    <mergeCell ref="I221"/>
    <mergeCell ref="J221"/>
    <mergeCell ref="K221"/>
    <mergeCell ref="L221"/>
    <mergeCell ref="M221"/>
    <mergeCell ref="N221"/>
    <mergeCell ref="O221"/>
    <mergeCell ref="P221"/>
    <mergeCell ref="Q221"/>
    <mergeCell ref="R219"/>
    <mergeCell ref="K219"/>
    <mergeCell ref="L219"/>
    <mergeCell ref="M219"/>
    <mergeCell ref="N219"/>
    <mergeCell ref="O219"/>
    <mergeCell ref="P219"/>
    <mergeCell ref="Q219"/>
    <mergeCell ref="S219"/>
    <mergeCell ref="T219"/>
    <mergeCell ref="A220"/>
    <mergeCell ref="B220"/>
    <mergeCell ref="C220"/>
    <mergeCell ref="D220"/>
    <mergeCell ref="E220"/>
    <mergeCell ref="F220"/>
    <mergeCell ref="G220"/>
    <mergeCell ref="H220"/>
    <mergeCell ref="I220"/>
    <mergeCell ref="J220"/>
    <mergeCell ref="K220"/>
    <mergeCell ref="L220"/>
    <mergeCell ref="M220"/>
    <mergeCell ref="N220"/>
    <mergeCell ref="O220"/>
    <mergeCell ref="P220"/>
    <mergeCell ref="Q220"/>
    <mergeCell ref="R220"/>
    <mergeCell ref="S220"/>
    <mergeCell ref="T220"/>
    <mergeCell ref="A219"/>
    <mergeCell ref="B219"/>
    <mergeCell ref="C219"/>
    <mergeCell ref="D219"/>
    <mergeCell ref="E219"/>
    <mergeCell ref="F219"/>
    <mergeCell ref="G219"/>
    <mergeCell ref="H219"/>
    <mergeCell ref="I219"/>
    <mergeCell ref="J219"/>
    <mergeCell ref="R217"/>
    <mergeCell ref="S217"/>
    <mergeCell ref="T217"/>
    <mergeCell ref="A218"/>
    <mergeCell ref="B218"/>
    <mergeCell ref="C218"/>
    <mergeCell ref="D218"/>
    <mergeCell ref="E218"/>
    <mergeCell ref="F218"/>
    <mergeCell ref="G218"/>
    <mergeCell ref="H218"/>
    <mergeCell ref="I218"/>
    <mergeCell ref="J218"/>
    <mergeCell ref="K218"/>
    <mergeCell ref="L218"/>
    <mergeCell ref="M218"/>
    <mergeCell ref="N218"/>
    <mergeCell ref="O218"/>
    <mergeCell ref="P218"/>
    <mergeCell ref="Q218"/>
    <mergeCell ref="R218"/>
    <mergeCell ref="S218"/>
    <mergeCell ref="T218"/>
    <mergeCell ref="A217"/>
    <mergeCell ref="B217"/>
    <mergeCell ref="C217"/>
    <mergeCell ref="D217"/>
    <mergeCell ref="E217"/>
    <mergeCell ref="F217"/>
    <mergeCell ref="G217"/>
    <mergeCell ref="H217"/>
    <mergeCell ref="I217"/>
    <mergeCell ref="J217"/>
    <mergeCell ref="K217"/>
    <mergeCell ref="L217"/>
    <mergeCell ref="M217"/>
    <mergeCell ref="N217"/>
    <mergeCell ref="O217"/>
    <mergeCell ref="P217"/>
    <mergeCell ref="Q217"/>
    <mergeCell ref="R215"/>
    <mergeCell ref="S215"/>
    <mergeCell ref="T215"/>
    <mergeCell ref="A216"/>
    <mergeCell ref="B216"/>
    <mergeCell ref="C216"/>
    <mergeCell ref="D216"/>
    <mergeCell ref="E216"/>
    <mergeCell ref="F216"/>
    <mergeCell ref="G216"/>
    <mergeCell ref="H216"/>
    <mergeCell ref="I216"/>
    <mergeCell ref="J216"/>
    <mergeCell ref="K216"/>
    <mergeCell ref="L216"/>
    <mergeCell ref="M216"/>
    <mergeCell ref="N216"/>
    <mergeCell ref="O216"/>
    <mergeCell ref="P216"/>
    <mergeCell ref="Q216"/>
    <mergeCell ref="R216"/>
    <mergeCell ref="S216"/>
    <mergeCell ref="T216"/>
    <mergeCell ref="A215"/>
    <mergeCell ref="B215"/>
    <mergeCell ref="C215"/>
    <mergeCell ref="D215"/>
    <mergeCell ref="E215"/>
    <mergeCell ref="F215"/>
    <mergeCell ref="G215"/>
    <mergeCell ref="H215"/>
    <mergeCell ref="I215"/>
    <mergeCell ref="J215"/>
    <mergeCell ref="K215"/>
    <mergeCell ref="L215"/>
    <mergeCell ref="M215"/>
    <mergeCell ref="N215"/>
    <mergeCell ref="O215"/>
    <mergeCell ref="P215"/>
    <mergeCell ref="Q215"/>
    <mergeCell ref="R213"/>
    <mergeCell ref="K213"/>
    <mergeCell ref="L213"/>
    <mergeCell ref="M213"/>
    <mergeCell ref="N213"/>
    <mergeCell ref="O213"/>
    <mergeCell ref="P213"/>
    <mergeCell ref="Q213"/>
    <mergeCell ref="S213"/>
    <mergeCell ref="T213"/>
    <mergeCell ref="A214"/>
    <mergeCell ref="B214"/>
    <mergeCell ref="C214"/>
    <mergeCell ref="D214"/>
    <mergeCell ref="E214"/>
    <mergeCell ref="F214"/>
    <mergeCell ref="G214"/>
    <mergeCell ref="H214"/>
    <mergeCell ref="I214"/>
    <mergeCell ref="J214"/>
    <mergeCell ref="K214"/>
    <mergeCell ref="L214"/>
    <mergeCell ref="M214"/>
    <mergeCell ref="N214"/>
    <mergeCell ref="O214"/>
    <mergeCell ref="P214"/>
    <mergeCell ref="Q214"/>
    <mergeCell ref="R214"/>
    <mergeCell ref="S214"/>
    <mergeCell ref="T214"/>
    <mergeCell ref="A213"/>
    <mergeCell ref="B213"/>
    <mergeCell ref="C213"/>
    <mergeCell ref="D213"/>
    <mergeCell ref="E213"/>
    <mergeCell ref="F213"/>
    <mergeCell ref="G213"/>
    <mergeCell ref="H213"/>
    <mergeCell ref="I213"/>
    <mergeCell ref="J213"/>
    <mergeCell ref="R211"/>
    <mergeCell ref="S211"/>
    <mergeCell ref="T211"/>
    <mergeCell ref="A212"/>
    <mergeCell ref="B212"/>
    <mergeCell ref="C212"/>
    <mergeCell ref="D212"/>
    <mergeCell ref="E212"/>
    <mergeCell ref="F212"/>
    <mergeCell ref="G212"/>
    <mergeCell ref="H212"/>
    <mergeCell ref="I212"/>
    <mergeCell ref="J212"/>
    <mergeCell ref="K212"/>
    <mergeCell ref="L212"/>
    <mergeCell ref="M212"/>
    <mergeCell ref="N212"/>
    <mergeCell ref="O212"/>
    <mergeCell ref="P212"/>
    <mergeCell ref="Q212"/>
    <mergeCell ref="R212"/>
    <mergeCell ref="S212"/>
    <mergeCell ref="T212"/>
    <mergeCell ref="A211"/>
    <mergeCell ref="B211"/>
    <mergeCell ref="C211"/>
    <mergeCell ref="D211"/>
    <mergeCell ref="E211"/>
    <mergeCell ref="F211"/>
    <mergeCell ref="G211"/>
    <mergeCell ref="H211"/>
    <mergeCell ref="I211"/>
    <mergeCell ref="J211"/>
    <mergeCell ref="K211"/>
    <mergeCell ref="L211"/>
    <mergeCell ref="M211"/>
    <mergeCell ref="N211"/>
    <mergeCell ref="O211"/>
    <mergeCell ref="P211"/>
    <mergeCell ref="Q211"/>
    <mergeCell ref="R209"/>
    <mergeCell ref="S209"/>
    <mergeCell ref="T209"/>
    <mergeCell ref="A210"/>
    <mergeCell ref="B210"/>
    <mergeCell ref="C210"/>
    <mergeCell ref="D210"/>
    <mergeCell ref="E210"/>
    <mergeCell ref="F210"/>
    <mergeCell ref="G210"/>
    <mergeCell ref="H210"/>
    <mergeCell ref="I210"/>
    <mergeCell ref="J210"/>
    <mergeCell ref="K210"/>
    <mergeCell ref="L210"/>
    <mergeCell ref="M210"/>
    <mergeCell ref="N210"/>
    <mergeCell ref="O210"/>
    <mergeCell ref="P210"/>
    <mergeCell ref="Q210"/>
    <mergeCell ref="R210"/>
    <mergeCell ref="S210"/>
    <mergeCell ref="T210"/>
    <mergeCell ref="A209"/>
    <mergeCell ref="B209"/>
    <mergeCell ref="C209"/>
    <mergeCell ref="D209"/>
    <mergeCell ref="E209"/>
    <mergeCell ref="F209"/>
    <mergeCell ref="G209"/>
    <mergeCell ref="H209"/>
    <mergeCell ref="I209"/>
    <mergeCell ref="J209"/>
    <mergeCell ref="K209"/>
    <mergeCell ref="L209"/>
    <mergeCell ref="M209"/>
    <mergeCell ref="N209"/>
    <mergeCell ref="O209"/>
    <mergeCell ref="P209"/>
    <mergeCell ref="Q209"/>
    <mergeCell ref="R207"/>
    <mergeCell ref="K207"/>
    <mergeCell ref="L207"/>
    <mergeCell ref="M207"/>
    <mergeCell ref="N207"/>
    <mergeCell ref="O207"/>
    <mergeCell ref="P207"/>
    <mergeCell ref="Q207"/>
    <mergeCell ref="S207"/>
    <mergeCell ref="T207"/>
    <mergeCell ref="A208"/>
    <mergeCell ref="B208"/>
    <mergeCell ref="C208"/>
    <mergeCell ref="D208"/>
    <mergeCell ref="E208"/>
    <mergeCell ref="F208"/>
    <mergeCell ref="G208"/>
    <mergeCell ref="H208"/>
    <mergeCell ref="I208"/>
    <mergeCell ref="J208"/>
    <mergeCell ref="K208"/>
    <mergeCell ref="L208"/>
    <mergeCell ref="M208"/>
    <mergeCell ref="N208"/>
    <mergeCell ref="O208"/>
    <mergeCell ref="P208"/>
    <mergeCell ref="Q208"/>
    <mergeCell ref="R208"/>
    <mergeCell ref="S208"/>
    <mergeCell ref="T208"/>
    <mergeCell ref="A207"/>
    <mergeCell ref="B207"/>
    <mergeCell ref="C207"/>
    <mergeCell ref="D207"/>
    <mergeCell ref="E207"/>
    <mergeCell ref="F207"/>
    <mergeCell ref="G207"/>
    <mergeCell ref="H207"/>
    <mergeCell ref="I207"/>
    <mergeCell ref="J207"/>
    <mergeCell ref="R205"/>
    <mergeCell ref="S205"/>
    <mergeCell ref="T205"/>
    <mergeCell ref="A206"/>
    <mergeCell ref="B206"/>
    <mergeCell ref="C206"/>
    <mergeCell ref="D206"/>
    <mergeCell ref="E206"/>
    <mergeCell ref="F206"/>
    <mergeCell ref="G206"/>
    <mergeCell ref="H206"/>
    <mergeCell ref="I206"/>
    <mergeCell ref="J206"/>
    <mergeCell ref="K206"/>
    <mergeCell ref="L206"/>
    <mergeCell ref="M206"/>
    <mergeCell ref="N206"/>
    <mergeCell ref="O206"/>
    <mergeCell ref="P206"/>
    <mergeCell ref="Q206"/>
    <mergeCell ref="R206"/>
    <mergeCell ref="S206"/>
    <mergeCell ref="T206"/>
    <mergeCell ref="A205"/>
    <mergeCell ref="B205"/>
    <mergeCell ref="C205"/>
    <mergeCell ref="D205"/>
    <mergeCell ref="E205"/>
    <mergeCell ref="F205"/>
    <mergeCell ref="G205"/>
    <mergeCell ref="H205"/>
    <mergeCell ref="I205"/>
    <mergeCell ref="J205"/>
    <mergeCell ref="K205"/>
    <mergeCell ref="L205"/>
    <mergeCell ref="M205"/>
    <mergeCell ref="N205"/>
    <mergeCell ref="O205"/>
    <mergeCell ref="P205"/>
    <mergeCell ref="Q205"/>
    <mergeCell ref="R203"/>
    <mergeCell ref="S203"/>
    <mergeCell ref="T203"/>
    <mergeCell ref="A204"/>
    <mergeCell ref="B204"/>
    <mergeCell ref="C204"/>
    <mergeCell ref="D204"/>
    <mergeCell ref="E204"/>
    <mergeCell ref="F204"/>
    <mergeCell ref="G204"/>
    <mergeCell ref="H204"/>
    <mergeCell ref="I204"/>
    <mergeCell ref="J204"/>
    <mergeCell ref="K204"/>
    <mergeCell ref="L204"/>
    <mergeCell ref="M204"/>
    <mergeCell ref="N204"/>
    <mergeCell ref="O204"/>
    <mergeCell ref="P204"/>
    <mergeCell ref="Q204"/>
    <mergeCell ref="R204"/>
    <mergeCell ref="S204"/>
    <mergeCell ref="T204"/>
    <mergeCell ref="A203"/>
    <mergeCell ref="B203"/>
    <mergeCell ref="C203"/>
    <mergeCell ref="D203"/>
    <mergeCell ref="E203"/>
    <mergeCell ref="F203"/>
    <mergeCell ref="G203"/>
    <mergeCell ref="H203"/>
    <mergeCell ref="I203"/>
    <mergeCell ref="J203"/>
    <mergeCell ref="K203"/>
    <mergeCell ref="L203"/>
    <mergeCell ref="M203"/>
    <mergeCell ref="N203"/>
    <mergeCell ref="O203"/>
    <mergeCell ref="P203"/>
    <mergeCell ref="Q203"/>
    <mergeCell ref="A202"/>
    <mergeCell ref="B202"/>
    <mergeCell ref="C202"/>
    <mergeCell ref="D202"/>
    <mergeCell ref="E202"/>
    <mergeCell ref="F202"/>
    <mergeCell ref="G202"/>
    <mergeCell ref="H202"/>
    <mergeCell ref="I202"/>
    <mergeCell ref="J202"/>
    <mergeCell ref="K202"/>
    <mergeCell ref="L202"/>
    <mergeCell ref="M202"/>
    <mergeCell ref="N202"/>
    <mergeCell ref="O202"/>
    <mergeCell ref="P202"/>
    <mergeCell ref="Q202"/>
    <mergeCell ref="R202"/>
    <mergeCell ref="S202"/>
    <mergeCell ref="T202"/>
    <mergeCell ref="R301"/>
    <mergeCell ref="S301"/>
    <mergeCell ref="T301"/>
    <mergeCell ref="A301"/>
    <mergeCell ref="B301"/>
    <mergeCell ref="C301"/>
    <mergeCell ref="D301"/>
    <mergeCell ref="E301"/>
    <mergeCell ref="F301"/>
    <mergeCell ref="G301"/>
    <mergeCell ref="H301"/>
    <mergeCell ref="I301"/>
    <mergeCell ref="J301"/>
    <mergeCell ref="K301"/>
    <mergeCell ref="L301"/>
    <mergeCell ref="M301"/>
    <mergeCell ref="N301"/>
    <mergeCell ref="O301"/>
    <mergeCell ref="P301"/>
    <mergeCell ref="Q301"/>
    <mergeCell ref="R299"/>
    <mergeCell ref="S299"/>
    <mergeCell ref="T299"/>
    <mergeCell ref="A300"/>
    <mergeCell ref="B300"/>
    <mergeCell ref="C300"/>
    <mergeCell ref="D300"/>
    <mergeCell ref="E300"/>
    <mergeCell ref="F300"/>
    <mergeCell ref="G300"/>
    <mergeCell ref="H300"/>
    <mergeCell ref="I300"/>
    <mergeCell ref="J300"/>
    <mergeCell ref="K300"/>
    <mergeCell ref="L300"/>
    <mergeCell ref="M300"/>
    <mergeCell ref="N300"/>
    <mergeCell ref="O300"/>
    <mergeCell ref="P300"/>
    <mergeCell ref="Q300"/>
    <mergeCell ref="R300"/>
    <mergeCell ref="S300"/>
    <mergeCell ref="T300"/>
    <mergeCell ref="A299"/>
    <mergeCell ref="B299"/>
    <mergeCell ref="C299"/>
    <mergeCell ref="D299"/>
    <mergeCell ref="E299"/>
    <mergeCell ref="F299"/>
    <mergeCell ref="G299"/>
    <mergeCell ref="H299"/>
    <mergeCell ref="I299"/>
    <mergeCell ref="J299"/>
    <mergeCell ref="K299"/>
    <mergeCell ref="L299"/>
    <mergeCell ref="M299"/>
    <mergeCell ref="N299"/>
    <mergeCell ref="O299"/>
    <mergeCell ref="P299"/>
    <mergeCell ref="Q299"/>
    <mergeCell ref="R297"/>
    <mergeCell ref="S297"/>
    <mergeCell ref="T297"/>
    <mergeCell ref="A298"/>
    <mergeCell ref="B298"/>
    <mergeCell ref="C298"/>
    <mergeCell ref="D298"/>
    <mergeCell ref="E298"/>
    <mergeCell ref="F298"/>
    <mergeCell ref="G298"/>
    <mergeCell ref="H298"/>
    <mergeCell ref="I298"/>
    <mergeCell ref="J298"/>
    <mergeCell ref="K298"/>
    <mergeCell ref="L298"/>
    <mergeCell ref="M298"/>
    <mergeCell ref="N298"/>
    <mergeCell ref="O298"/>
    <mergeCell ref="P298"/>
    <mergeCell ref="Q298"/>
    <mergeCell ref="R298"/>
    <mergeCell ref="S298"/>
    <mergeCell ref="T298"/>
    <mergeCell ref="A297"/>
    <mergeCell ref="B297"/>
    <mergeCell ref="C297"/>
    <mergeCell ref="D297"/>
    <mergeCell ref="E297"/>
    <mergeCell ref="F297"/>
    <mergeCell ref="G297"/>
    <mergeCell ref="H297"/>
    <mergeCell ref="I297"/>
    <mergeCell ref="J297"/>
    <mergeCell ref="K297"/>
    <mergeCell ref="L297"/>
    <mergeCell ref="M297"/>
    <mergeCell ref="N297"/>
    <mergeCell ref="O297"/>
    <mergeCell ref="P297"/>
    <mergeCell ref="Q297"/>
    <mergeCell ref="R295"/>
    <mergeCell ref="S295"/>
    <mergeCell ref="T295"/>
    <mergeCell ref="A296"/>
    <mergeCell ref="B296"/>
    <mergeCell ref="C296"/>
    <mergeCell ref="D296"/>
    <mergeCell ref="E296"/>
    <mergeCell ref="F296"/>
    <mergeCell ref="G296"/>
    <mergeCell ref="H296"/>
    <mergeCell ref="I296"/>
    <mergeCell ref="J296"/>
    <mergeCell ref="K296"/>
    <mergeCell ref="L296"/>
    <mergeCell ref="M296"/>
    <mergeCell ref="N296"/>
    <mergeCell ref="O296"/>
    <mergeCell ref="P296"/>
    <mergeCell ref="Q296"/>
    <mergeCell ref="R296"/>
    <mergeCell ref="S296"/>
    <mergeCell ref="T296"/>
    <mergeCell ref="A295"/>
    <mergeCell ref="B295"/>
    <mergeCell ref="C295"/>
    <mergeCell ref="D295"/>
    <mergeCell ref="E295"/>
    <mergeCell ref="F295"/>
    <mergeCell ref="G295"/>
    <mergeCell ref="H295"/>
    <mergeCell ref="I295"/>
    <mergeCell ref="J295"/>
    <mergeCell ref="K295"/>
    <mergeCell ref="L295"/>
    <mergeCell ref="M295"/>
    <mergeCell ref="N295"/>
    <mergeCell ref="O295"/>
    <mergeCell ref="P295"/>
    <mergeCell ref="Q295"/>
    <mergeCell ref="R293"/>
    <mergeCell ref="K293"/>
    <mergeCell ref="L293"/>
    <mergeCell ref="M293"/>
    <mergeCell ref="N293"/>
    <mergeCell ref="O293"/>
    <mergeCell ref="P293"/>
    <mergeCell ref="Q293"/>
    <mergeCell ref="S293"/>
    <mergeCell ref="T293"/>
    <mergeCell ref="A294"/>
    <mergeCell ref="B294"/>
    <mergeCell ref="C294"/>
    <mergeCell ref="D294"/>
    <mergeCell ref="E294"/>
    <mergeCell ref="F294"/>
    <mergeCell ref="G294"/>
    <mergeCell ref="H294"/>
    <mergeCell ref="I294"/>
    <mergeCell ref="J294"/>
    <mergeCell ref="K294"/>
    <mergeCell ref="L294"/>
    <mergeCell ref="M294"/>
    <mergeCell ref="N294"/>
    <mergeCell ref="O294"/>
    <mergeCell ref="P294"/>
    <mergeCell ref="Q294"/>
    <mergeCell ref="R294"/>
    <mergeCell ref="S294"/>
    <mergeCell ref="T294"/>
    <mergeCell ref="A293"/>
    <mergeCell ref="B293"/>
    <mergeCell ref="C293"/>
    <mergeCell ref="D293"/>
    <mergeCell ref="E293"/>
    <mergeCell ref="F293"/>
    <mergeCell ref="G293"/>
    <mergeCell ref="H293"/>
    <mergeCell ref="I293"/>
    <mergeCell ref="J293"/>
    <mergeCell ref="R291"/>
    <mergeCell ref="S291"/>
    <mergeCell ref="T291"/>
    <mergeCell ref="A292"/>
    <mergeCell ref="B292"/>
    <mergeCell ref="C292"/>
    <mergeCell ref="D292"/>
    <mergeCell ref="E292"/>
    <mergeCell ref="F292"/>
    <mergeCell ref="G292"/>
    <mergeCell ref="H292"/>
    <mergeCell ref="I292"/>
    <mergeCell ref="J292"/>
    <mergeCell ref="K292"/>
    <mergeCell ref="L292"/>
    <mergeCell ref="M292"/>
    <mergeCell ref="N292"/>
    <mergeCell ref="O292"/>
    <mergeCell ref="P292"/>
    <mergeCell ref="Q292"/>
    <mergeCell ref="R292"/>
    <mergeCell ref="S292"/>
    <mergeCell ref="T292"/>
    <mergeCell ref="A291"/>
    <mergeCell ref="B291"/>
    <mergeCell ref="C291"/>
    <mergeCell ref="D291"/>
    <mergeCell ref="E291"/>
    <mergeCell ref="F291"/>
    <mergeCell ref="G291"/>
    <mergeCell ref="H291"/>
    <mergeCell ref="I291"/>
    <mergeCell ref="J291"/>
    <mergeCell ref="K291"/>
    <mergeCell ref="L291"/>
    <mergeCell ref="M291"/>
    <mergeCell ref="N291"/>
    <mergeCell ref="O291"/>
    <mergeCell ref="P291"/>
    <mergeCell ref="Q291"/>
    <mergeCell ref="R289"/>
    <mergeCell ref="S289"/>
    <mergeCell ref="T289"/>
    <mergeCell ref="A290"/>
    <mergeCell ref="B290"/>
    <mergeCell ref="C290"/>
    <mergeCell ref="D290"/>
    <mergeCell ref="E290"/>
    <mergeCell ref="F290"/>
    <mergeCell ref="G290"/>
    <mergeCell ref="H290"/>
    <mergeCell ref="I290"/>
    <mergeCell ref="J290"/>
    <mergeCell ref="K290"/>
    <mergeCell ref="L290"/>
    <mergeCell ref="M290"/>
    <mergeCell ref="N290"/>
    <mergeCell ref="O290"/>
    <mergeCell ref="P290"/>
    <mergeCell ref="Q290"/>
    <mergeCell ref="R290"/>
    <mergeCell ref="S290"/>
    <mergeCell ref="T290"/>
    <mergeCell ref="A289"/>
    <mergeCell ref="B289"/>
    <mergeCell ref="C289"/>
    <mergeCell ref="D289"/>
    <mergeCell ref="E289"/>
    <mergeCell ref="F289"/>
    <mergeCell ref="G289"/>
    <mergeCell ref="H289"/>
    <mergeCell ref="I289"/>
    <mergeCell ref="J289"/>
    <mergeCell ref="K289"/>
    <mergeCell ref="L289"/>
    <mergeCell ref="M289"/>
    <mergeCell ref="N289"/>
    <mergeCell ref="O289"/>
    <mergeCell ref="P289"/>
    <mergeCell ref="Q289"/>
    <mergeCell ref="R287"/>
    <mergeCell ref="K287"/>
    <mergeCell ref="L287"/>
    <mergeCell ref="M287"/>
    <mergeCell ref="N287"/>
    <mergeCell ref="O287"/>
    <mergeCell ref="P287"/>
    <mergeCell ref="Q287"/>
    <mergeCell ref="S287"/>
    <mergeCell ref="T287"/>
    <mergeCell ref="A288"/>
    <mergeCell ref="B288"/>
    <mergeCell ref="C288"/>
    <mergeCell ref="D288"/>
    <mergeCell ref="E288"/>
    <mergeCell ref="F288"/>
    <mergeCell ref="G288"/>
    <mergeCell ref="H288"/>
    <mergeCell ref="I288"/>
    <mergeCell ref="J288"/>
    <mergeCell ref="K288"/>
    <mergeCell ref="L288"/>
    <mergeCell ref="M288"/>
    <mergeCell ref="N288"/>
    <mergeCell ref="O288"/>
    <mergeCell ref="P288"/>
    <mergeCell ref="Q288"/>
    <mergeCell ref="R288"/>
    <mergeCell ref="S288"/>
    <mergeCell ref="T288"/>
    <mergeCell ref="A287"/>
    <mergeCell ref="B287"/>
    <mergeCell ref="C287"/>
    <mergeCell ref="D287"/>
    <mergeCell ref="E287"/>
    <mergeCell ref="F287"/>
    <mergeCell ref="G287"/>
    <mergeCell ref="H287"/>
    <mergeCell ref="I287"/>
    <mergeCell ref="J287"/>
    <mergeCell ref="R285"/>
    <mergeCell ref="S285"/>
    <mergeCell ref="T285"/>
    <mergeCell ref="A286"/>
    <mergeCell ref="B286"/>
    <mergeCell ref="C286"/>
    <mergeCell ref="D286"/>
    <mergeCell ref="E286"/>
    <mergeCell ref="F286"/>
    <mergeCell ref="G286"/>
    <mergeCell ref="H286"/>
    <mergeCell ref="I286"/>
    <mergeCell ref="J286"/>
    <mergeCell ref="K286"/>
    <mergeCell ref="L286"/>
    <mergeCell ref="M286"/>
    <mergeCell ref="N286"/>
    <mergeCell ref="O286"/>
    <mergeCell ref="P286"/>
    <mergeCell ref="Q286"/>
    <mergeCell ref="R286"/>
    <mergeCell ref="S286"/>
    <mergeCell ref="T286"/>
    <mergeCell ref="A285"/>
    <mergeCell ref="B285"/>
    <mergeCell ref="C285"/>
    <mergeCell ref="D285"/>
    <mergeCell ref="E285"/>
    <mergeCell ref="F285"/>
    <mergeCell ref="G285"/>
    <mergeCell ref="H285"/>
    <mergeCell ref="I285"/>
    <mergeCell ref="J285"/>
    <mergeCell ref="K285"/>
    <mergeCell ref="L285"/>
    <mergeCell ref="M285"/>
    <mergeCell ref="N285"/>
    <mergeCell ref="O285"/>
    <mergeCell ref="P285"/>
    <mergeCell ref="Q285"/>
    <mergeCell ref="R283"/>
    <mergeCell ref="S283"/>
    <mergeCell ref="T283"/>
    <mergeCell ref="A284"/>
    <mergeCell ref="B284"/>
    <mergeCell ref="C284"/>
    <mergeCell ref="D284"/>
    <mergeCell ref="E284"/>
    <mergeCell ref="F284"/>
    <mergeCell ref="G284"/>
    <mergeCell ref="H284"/>
    <mergeCell ref="I284"/>
    <mergeCell ref="J284"/>
    <mergeCell ref="K284"/>
    <mergeCell ref="L284"/>
    <mergeCell ref="M284"/>
    <mergeCell ref="N284"/>
    <mergeCell ref="O284"/>
    <mergeCell ref="P284"/>
    <mergeCell ref="Q284"/>
    <mergeCell ref="R284"/>
    <mergeCell ref="S284"/>
    <mergeCell ref="T284"/>
    <mergeCell ref="A283"/>
    <mergeCell ref="B283"/>
    <mergeCell ref="C283"/>
    <mergeCell ref="D283"/>
    <mergeCell ref="E283"/>
    <mergeCell ref="F283"/>
    <mergeCell ref="G283"/>
    <mergeCell ref="H283"/>
    <mergeCell ref="I283"/>
    <mergeCell ref="J283"/>
    <mergeCell ref="K283"/>
    <mergeCell ref="L283"/>
    <mergeCell ref="M283"/>
    <mergeCell ref="N283"/>
    <mergeCell ref="O283"/>
    <mergeCell ref="P283"/>
    <mergeCell ref="Q283"/>
    <mergeCell ref="R281"/>
    <mergeCell ref="K281"/>
    <mergeCell ref="L281"/>
    <mergeCell ref="M281"/>
    <mergeCell ref="N281"/>
    <mergeCell ref="O281"/>
    <mergeCell ref="P281"/>
    <mergeCell ref="Q281"/>
    <mergeCell ref="S281"/>
    <mergeCell ref="T281"/>
    <mergeCell ref="A282"/>
    <mergeCell ref="B282"/>
    <mergeCell ref="C282"/>
    <mergeCell ref="D282"/>
    <mergeCell ref="E282"/>
    <mergeCell ref="F282"/>
    <mergeCell ref="G282"/>
    <mergeCell ref="H282"/>
    <mergeCell ref="I282"/>
    <mergeCell ref="J282"/>
    <mergeCell ref="K282"/>
    <mergeCell ref="L282"/>
    <mergeCell ref="M282"/>
    <mergeCell ref="N282"/>
    <mergeCell ref="O282"/>
    <mergeCell ref="P282"/>
    <mergeCell ref="Q282"/>
    <mergeCell ref="R282"/>
    <mergeCell ref="S282"/>
    <mergeCell ref="T282"/>
    <mergeCell ref="A281"/>
    <mergeCell ref="B281"/>
    <mergeCell ref="C281"/>
    <mergeCell ref="D281"/>
    <mergeCell ref="E281"/>
    <mergeCell ref="F281"/>
    <mergeCell ref="G281"/>
    <mergeCell ref="H281"/>
    <mergeCell ref="I281"/>
    <mergeCell ref="J281"/>
    <mergeCell ref="R279"/>
    <mergeCell ref="S279"/>
    <mergeCell ref="T279"/>
    <mergeCell ref="A280"/>
    <mergeCell ref="B280"/>
    <mergeCell ref="C280"/>
    <mergeCell ref="D280"/>
    <mergeCell ref="E280"/>
    <mergeCell ref="F280"/>
    <mergeCell ref="G280"/>
    <mergeCell ref="H280"/>
    <mergeCell ref="I280"/>
    <mergeCell ref="J280"/>
    <mergeCell ref="K280"/>
    <mergeCell ref="L280"/>
    <mergeCell ref="M280"/>
    <mergeCell ref="N280"/>
    <mergeCell ref="O280"/>
    <mergeCell ref="P280"/>
    <mergeCell ref="Q280"/>
    <mergeCell ref="R280"/>
    <mergeCell ref="S280"/>
    <mergeCell ref="T280"/>
    <mergeCell ref="A279"/>
    <mergeCell ref="B279"/>
    <mergeCell ref="C279"/>
    <mergeCell ref="D279"/>
    <mergeCell ref="E279"/>
    <mergeCell ref="F279"/>
    <mergeCell ref="G279"/>
    <mergeCell ref="H279"/>
    <mergeCell ref="I279"/>
    <mergeCell ref="J279"/>
    <mergeCell ref="K279"/>
    <mergeCell ref="L279"/>
    <mergeCell ref="M279"/>
    <mergeCell ref="N279"/>
    <mergeCell ref="O279"/>
    <mergeCell ref="P279"/>
    <mergeCell ref="Q279"/>
    <mergeCell ref="R277"/>
    <mergeCell ref="S277"/>
    <mergeCell ref="T277"/>
    <mergeCell ref="A278"/>
    <mergeCell ref="B278"/>
    <mergeCell ref="C278"/>
    <mergeCell ref="D278"/>
    <mergeCell ref="E278"/>
    <mergeCell ref="F278"/>
    <mergeCell ref="G278"/>
    <mergeCell ref="H278"/>
    <mergeCell ref="I278"/>
    <mergeCell ref="J278"/>
    <mergeCell ref="K278"/>
    <mergeCell ref="L278"/>
    <mergeCell ref="M278"/>
    <mergeCell ref="N278"/>
    <mergeCell ref="O278"/>
    <mergeCell ref="P278"/>
    <mergeCell ref="Q278"/>
    <mergeCell ref="R278"/>
    <mergeCell ref="S278"/>
    <mergeCell ref="T278"/>
    <mergeCell ref="A277"/>
    <mergeCell ref="B277"/>
    <mergeCell ref="C277"/>
    <mergeCell ref="D277"/>
    <mergeCell ref="E277"/>
    <mergeCell ref="F277"/>
    <mergeCell ref="G277"/>
    <mergeCell ref="H277"/>
    <mergeCell ref="I277"/>
    <mergeCell ref="J277"/>
    <mergeCell ref="K277"/>
    <mergeCell ref="L277"/>
    <mergeCell ref="M277"/>
    <mergeCell ref="N277"/>
    <mergeCell ref="O277"/>
    <mergeCell ref="P277"/>
    <mergeCell ref="Q277"/>
    <mergeCell ref="R275"/>
    <mergeCell ref="K275"/>
    <mergeCell ref="L275"/>
    <mergeCell ref="M275"/>
    <mergeCell ref="N275"/>
    <mergeCell ref="O275"/>
    <mergeCell ref="P275"/>
    <mergeCell ref="Q275"/>
    <mergeCell ref="S275"/>
    <mergeCell ref="T275"/>
    <mergeCell ref="A276"/>
    <mergeCell ref="B276"/>
    <mergeCell ref="C276"/>
    <mergeCell ref="D276"/>
    <mergeCell ref="E276"/>
    <mergeCell ref="F276"/>
    <mergeCell ref="G276"/>
    <mergeCell ref="H276"/>
    <mergeCell ref="I276"/>
    <mergeCell ref="J276"/>
    <mergeCell ref="K276"/>
    <mergeCell ref="L276"/>
    <mergeCell ref="M276"/>
    <mergeCell ref="N276"/>
    <mergeCell ref="O276"/>
    <mergeCell ref="P276"/>
    <mergeCell ref="Q276"/>
    <mergeCell ref="R276"/>
    <mergeCell ref="S276"/>
    <mergeCell ref="T276"/>
    <mergeCell ref="A275"/>
    <mergeCell ref="B275"/>
    <mergeCell ref="C275"/>
    <mergeCell ref="D275"/>
    <mergeCell ref="E275"/>
    <mergeCell ref="F275"/>
    <mergeCell ref="G275"/>
    <mergeCell ref="H275"/>
    <mergeCell ref="I275"/>
    <mergeCell ref="J275"/>
    <mergeCell ref="R273"/>
    <mergeCell ref="S273"/>
    <mergeCell ref="T273"/>
    <mergeCell ref="A274"/>
    <mergeCell ref="B274"/>
    <mergeCell ref="C274"/>
    <mergeCell ref="D274"/>
    <mergeCell ref="E274"/>
    <mergeCell ref="F274"/>
    <mergeCell ref="G274"/>
    <mergeCell ref="H274"/>
    <mergeCell ref="I274"/>
    <mergeCell ref="J274"/>
    <mergeCell ref="K274"/>
    <mergeCell ref="L274"/>
    <mergeCell ref="M274"/>
    <mergeCell ref="N274"/>
    <mergeCell ref="O274"/>
    <mergeCell ref="P274"/>
    <mergeCell ref="Q274"/>
    <mergeCell ref="R274"/>
    <mergeCell ref="S274"/>
    <mergeCell ref="T274"/>
    <mergeCell ref="A273"/>
    <mergeCell ref="B273"/>
    <mergeCell ref="C273"/>
    <mergeCell ref="D273"/>
    <mergeCell ref="E273"/>
    <mergeCell ref="F273"/>
    <mergeCell ref="G273"/>
    <mergeCell ref="H273"/>
    <mergeCell ref="I273"/>
    <mergeCell ref="J273"/>
    <mergeCell ref="K273"/>
    <mergeCell ref="L273"/>
    <mergeCell ref="M273"/>
    <mergeCell ref="N273"/>
    <mergeCell ref="O273"/>
    <mergeCell ref="P273"/>
    <mergeCell ref="Q273"/>
    <mergeCell ref="R271"/>
    <mergeCell ref="S271"/>
    <mergeCell ref="T271"/>
    <mergeCell ref="A272"/>
    <mergeCell ref="B272"/>
    <mergeCell ref="C272"/>
    <mergeCell ref="D272"/>
    <mergeCell ref="E272"/>
    <mergeCell ref="F272"/>
    <mergeCell ref="G272"/>
    <mergeCell ref="H272"/>
    <mergeCell ref="I272"/>
    <mergeCell ref="J272"/>
    <mergeCell ref="K272"/>
    <mergeCell ref="L272"/>
    <mergeCell ref="M272"/>
    <mergeCell ref="N272"/>
    <mergeCell ref="O272"/>
    <mergeCell ref="P272"/>
    <mergeCell ref="Q272"/>
    <mergeCell ref="R272"/>
    <mergeCell ref="S272"/>
    <mergeCell ref="T272"/>
    <mergeCell ref="A271"/>
    <mergeCell ref="B271"/>
    <mergeCell ref="C271"/>
    <mergeCell ref="D271"/>
    <mergeCell ref="E271"/>
    <mergeCell ref="F271"/>
    <mergeCell ref="G271"/>
    <mergeCell ref="H271"/>
    <mergeCell ref="I271"/>
    <mergeCell ref="J271"/>
    <mergeCell ref="K271"/>
    <mergeCell ref="L271"/>
    <mergeCell ref="M271"/>
    <mergeCell ref="N271"/>
    <mergeCell ref="O271"/>
    <mergeCell ref="P271"/>
    <mergeCell ref="Q271"/>
    <mergeCell ref="R269"/>
    <mergeCell ref="K269"/>
    <mergeCell ref="L269"/>
    <mergeCell ref="M269"/>
    <mergeCell ref="N269"/>
    <mergeCell ref="O269"/>
    <mergeCell ref="P269"/>
    <mergeCell ref="Q269"/>
    <mergeCell ref="S269"/>
    <mergeCell ref="T269"/>
    <mergeCell ref="A270"/>
    <mergeCell ref="B270"/>
    <mergeCell ref="C270"/>
    <mergeCell ref="D270"/>
    <mergeCell ref="E270"/>
    <mergeCell ref="F270"/>
    <mergeCell ref="G270"/>
    <mergeCell ref="H270"/>
    <mergeCell ref="I270"/>
    <mergeCell ref="J270"/>
    <mergeCell ref="K270"/>
    <mergeCell ref="L270"/>
    <mergeCell ref="M270"/>
    <mergeCell ref="N270"/>
    <mergeCell ref="O270"/>
    <mergeCell ref="P270"/>
    <mergeCell ref="Q270"/>
    <mergeCell ref="R270"/>
    <mergeCell ref="S270"/>
    <mergeCell ref="T270"/>
    <mergeCell ref="A269"/>
    <mergeCell ref="B269"/>
    <mergeCell ref="C269"/>
    <mergeCell ref="D269"/>
    <mergeCell ref="E269"/>
    <mergeCell ref="F269"/>
    <mergeCell ref="G269"/>
    <mergeCell ref="H269"/>
    <mergeCell ref="I269"/>
    <mergeCell ref="J269"/>
    <mergeCell ref="S267"/>
    <mergeCell ref="T267"/>
    <mergeCell ref="A268"/>
    <mergeCell ref="B268"/>
    <mergeCell ref="C268"/>
    <mergeCell ref="D268"/>
    <mergeCell ref="E268"/>
    <mergeCell ref="F268"/>
    <mergeCell ref="G268"/>
    <mergeCell ref="H268"/>
    <mergeCell ref="I268"/>
    <mergeCell ref="J268"/>
    <mergeCell ref="K268"/>
    <mergeCell ref="L268"/>
    <mergeCell ref="M268"/>
    <mergeCell ref="N268"/>
    <mergeCell ref="O268"/>
    <mergeCell ref="P268"/>
    <mergeCell ref="Q268"/>
    <mergeCell ref="R268"/>
    <mergeCell ref="S268"/>
    <mergeCell ref="T268"/>
    <mergeCell ref="A267"/>
    <mergeCell ref="B267"/>
    <mergeCell ref="C267"/>
    <mergeCell ref="D267"/>
    <mergeCell ref="E267"/>
    <mergeCell ref="F267"/>
    <mergeCell ref="G267"/>
    <mergeCell ref="H267"/>
    <mergeCell ref="I267"/>
    <mergeCell ref="S265"/>
    <mergeCell ref="T265"/>
    <mergeCell ref="A266"/>
    <mergeCell ref="B266"/>
    <mergeCell ref="C266"/>
    <mergeCell ref="D266"/>
    <mergeCell ref="E266"/>
    <mergeCell ref="F266"/>
    <mergeCell ref="G266"/>
    <mergeCell ref="H266"/>
    <mergeCell ref="I266"/>
    <mergeCell ref="J266"/>
    <mergeCell ref="K266"/>
    <mergeCell ref="L266"/>
    <mergeCell ref="M266"/>
    <mergeCell ref="N266"/>
    <mergeCell ref="O266"/>
    <mergeCell ref="P266"/>
    <mergeCell ref="Q266"/>
    <mergeCell ref="R266"/>
    <mergeCell ref="S266"/>
    <mergeCell ref="T266"/>
    <mergeCell ref="A265"/>
    <mergeCell ref="O265"/>
    <mergeCell ref="P265"/>
    <mergeCell ref="Q265"/>
    <mergeCell ref="R263"/>
    <mergeCell ref="K263"/>
    <mergeCell ref="L263"/>
    <mergeCell ref="M263"/>
    <mergeCell ref="N263"/>
    <mergeCell ref="O263"/>
    <mergeCell ref="P263"/>
    <mergeCell ref="Q263"/>
    <mergeCell ref="J267"/>
    <mergeCell ref="K267"/>
    <mergeCell ref="L267"/>
    <mergeCell ref="M267"/>
    <mergeCell ref="N267"/>
    <mergeCell ref="O267"/>
    <mergeCell ref="P267"/>
    <mergeCell ref="Q267"/>
    <mergeCell ref="R265"/>
    <mergeCell ref="R267"/>
    <mergeCell ref="G263"/>
    <mergeCell ref="H263"/>
    <mergeCell ref="I263"/>
    <mergeCell ref="J263"/>
    <mergeCell ref="B265"/>
    <mergeCell ref="C265"/>
    <mergeCell ref="D265"/>
    <mergeCell ref="E265"/>
    <mergeCell ref="F265"/>
    <mergeCell ref="G265"/>
    <mergeCell ref="H265"/>
    <mergeCell ref="I265"/>
    <mergeCell ref="J265"/>
    <mergeCell ref="K265"/>
    <mergeCell ref="L265"/>
    <mergeCell ref="M265"/>
    <mergeCell ref="N265"/>
    <mergeCell ref="F261"/>
    <mergeCell ref="G261"/>
    <mergeCell ref="H261"/>
    <mergeCell ref="I261"/>
    <mergeCell ref="S263"/>
    <mergeCell ref="T263"/>
    <mergeCell ref="A264"/>
    <mergeCell ref="B264"/>
    <mergeCell ref="C264"/>
    <mergeCell ref="D264"/>
    <mergeCell ref="E264"/>
    <mergeCell ref="F264"/>
    <mergeCell ref="G264"/>
    <mergeCell ref="H264"/>
    <mergeCell ref="I264"/>
    <mergeCell ref="J264"/>
    <mergeCell ref="K264"/>
    <mergeCell ref="L264"/>
    <mergeCell ref="M264"/>
    <mergeCell ref="N264"/>
    <mergeCell ref="O264"/>
    <mergeCell ref="P264"/>
    <mergeCell ref="Q264"/>
    <mergeCell ref="R264"/>
    <mergeCell ref="S264"/>
    <mergeCell ref="T264"/>
    <mergeCell ref="A263"/>
    <mergeCell ref="B263"/>
    <mergeCell ref="C263"/>
    <mergeCell ref="D263"/>
    <mergeCell ref="E263"/>
    <mergeCell ref="F263"/>
    <mergeCell ref="R260"/>
    <mergeCell ref="S260"/>
    <mergeCell ref="T260"/>
    <mergeCell ref="A259"/>
    <mergeCell ref="R261"/>
    <mergeCell ref="S261"/>
    <mergeCell ref="T261"/>
    <mergeCell ref="A262"/>
    <mergeCell ref="B262"/>
    <mergeCell ref="C262"/>
    <mergeCell ref="D262"/>
    <mergeCell ref="E262"/>
    <mergeCell ref="F262"/>
    <mergeCell ref="G262"/>
    <mergeCell ref="H262"/>
    <mergeCell ref="I262"/>
    <mergeCell ref="J262"/>
    <mergeCell ref="K262"/>
    <mergeCell ref="L262"/>
    <mergeCell ref="M262"/>
    <mergeCell ref="N262"/>
    <mergeCell ref="O262"/>
    <mergeCell ref="P262"/>
    <mergeCell ref="Q262"/>
    <mergeCell ref="R262"/>
    <mergeCell ref="S262"/>
    <mergeCell ref="T262"/>
    <mergeCell ref="A261"/>
    <mergeCell ref="B261"/>
    <mergeCell ref="C261"/>
    <mergeCell ref="D261"/>
    <mergeCell ref="E261"/>
    <mergeCell ref="N257"/>
    <mergeCell ref="O257"/>
    <mergeCell ref="P257"/>
    <mergeCell ref="Q257"/>
    <mergeCell ref="J261"/>
    <mergeCell ref="K261"/>
    <mergeCell ref="L261"/>
    <mergeCell ref="M261"/>
    <mergeCell ref="N261"/>
    <mergeCell ref="O261"/>
    <mergeCell ref="P261"/>
    <mergeCell ref="Q261"/>
    <mergeCell ref="R259"/>
    <mergeCell ref="S259"/>
    <mergeCell ref="T259"/>
    <mergeCell ref="A260"/>
    <mergeCell ref="B260"/>
    <mergeCell ref="C260"/>
    <mergeCell ref="D260"/>
    <mergeCell ref="E260"/>
    <mergeCell ref="F260"/>
    <mergeCell ref="G260"/>
    <mergeCell ref="H260"/>
    <mergeCell ref="I260"/>
    <mergeCell ref="J260"/>
    <mergeCell ref="K260"/>
    <mergeCell ref="L260"/>
    <mergeCell ref="M260"/>
    <mergeCell ref="N260"/>
    <mergeCell ref="O260"/>
    <mergeCell ref="P260"/>
    <mergeCell ref="Q260"/>
    <mergeCell ref="S258"/>
    <mergeCell ref="T258"/>
    <mergeCell ref="A257"/>
    <mergeCell ref="B257"/>
    <mergeCell ref="C257"/>
    <mergeCell ref="D257"/>
    <mergeCell ref="E257"/>
    <mergeCell ref="F257"/>
    <mergeCell ref="G257"/>
    <mergeCell ref="H257"/>
    <mergeCell ref="I257"/>
    <mergeCell ref="J257"/>
    <mergeCell ref="B259"/>
    <mergeCell ref="C259"/>
    <mergeCell ref="D259"/>
    <mergeCell ref="E259"/>
    <mergeCell ref="F259"/>
    <mergeCell ref="G259"/>
    <mergeCell ref="H259"/>
    <mergeCell ref="I259"/>
    <mergeCell ref="J259"/>
    <mergeCell ref="K259"/>
    <mergeCell ref="L259"/>
    <mergeCell ref="M259"/>
    <mergeCell ref="N259"/>
    <mergeCell ref="O259"/>
    <mergeCell ref="P259"/>
    <mergeCell ref="Q259"/>
    <mergeCell ref="R257"/>
    <mergeCell ref="K257"/>
    <mergeCell ref="L257"/>
    <mergeCell ref="M257"/>
    <mergeCell ref="R256"/>
    <mergeCell ref="S256"/>
    <mergeCell ref="T256"/>
    <mergeCell ref="A255"/>
    <mergeCell ref="B255"/>
    <mergeCell ref="C255"/>
    <mergeCell ref="D255"/>
    <mergeCell ref="E255"/>
    <mergeCell ref="F255"/>
    <mergeCell ref="G255"/>
    <mergeCell ref="H255"/>
    <mergeCell ref="I255"/>
    <mergeCell ref="S257"/>
    <mergeCell ref="T257"/>
    <mergeCell ref="A258"/>
    <mergeCell ref="B258"/>
    <mergeCell ref="C258"/>
    <mergeCell ref="D258"/>
    <mergeCell ref="E258"/>
    <mergeCell ref="F258"/>
    <mergeCell ref="G258"/>
    <mergeCell ref="H258"/>
    <mergeCell ref="I258"/>
    <mergeCell ref="J258"/>
    <mergeCell ref="K258"/>
    <mergeCell ref="L258"/>
    <mergeCell ref="M258"/>
    <mergeCell ref="N258"/>
    <mergeCell ref="O258"/>
    <mergeCell ref="P258"/>
    <mergeCell ref="Q258"/>
    <mergeCell ref="R258"/>
    <mergeCell ref="A256"/>
    <mergeCell ref="B256"/>
    <mergeCell ref="C256"/>
    <mergeCell ref="D256"/>
    <mergeCell ref="E256"/>
    <mergeCell ref="F256"/>
    <mergeCell ref="G256"/>
    <mergeCell ref="H256"/>
    <mergeCell ref="I256"/>
    <mergeCell ref="J256"/>
    <mergeCell ref="K256"/>
    <mergeCell ref="L256"/>
    <mergeCell ref="M256"/>
    <mergeCell ref="N256"/>
    <mergeCell ref="O256"/>
    <mergeCell ref="P256"/>
    <mergeCell ref="Q256"/>
    <mergeCell ref="Q255"/>
    <mergeCell ref="R253"/>
    <mergeCell ref="S253"/>
    <mergeCell ref="T253"/>
    <mergeCell ref="A254"/>
    <mergeCell ref="B254"/>
    <mergeCell ref="C254"/>
    <mergeCell ref="D254"/>
    <mergeCell ref="E254"/>
    <mergeCell ref="F254"/>
    <mergeCell ref="G254"/>
    <mergeCell ref="H254"/>
    <mergeCell ref="I254"/>
    <mergeCell ref="J254"/>
    <mergeCell ref="K254"/>
    <mergeCell ref="L254"/>
    <mergeCell ref="M254"/>
    <mergeCell ref="N254"/>
    <mergeCell ref="O254"/>
    <mergeCell ref="P254"/>
    <mergeCell ref="Q254"/>
    <mergeCell ref="R254"/>
    <mergeCell ref="S254"/>
    <mergeCell ref="T254"/>
    <mergeCell ref="A253"/>
    <mergeCell ref="R255"/>
    <mergeCell ref="S255"/>
    <mergeCell ref="T255"/>
    <mergeCell ref="A252"/>
    <mergeCell ref="B252"/>
    <mergeCell ref="C252"/>
    <mergeCell ref="D252"/>
    <mergeCell ref="E252"/>
    <mergeCell ref="F252"/>
    <mergeCell ref="G252"/>
    <mergeCell ref="H252"/>
    <mergeCell ref="I252"/>
    <mergeCell ref="J252"/>
    <mergeCell ref="K252"/>
    <mergeCell ref="L252"/>
    <mergeCell ref="M252"/>
    <mergeCell ref="N252"/>
    <mergeCell ref="O252"/>
    <mergeCell ref="P252"/>
    <mergeCell ref="J255"/>
    <mergeCell ref="K255"/>
    <mergeCell ref="L255"/>
    <mergeCell ref="M255"/>
    <mergeCell ref="N255"/>
    <mergeCell ref="O255"/>
    <mergeCell ref="P255"/>
    <mergeCell ref="Q252"/>
    <mergeCell ref="R252"/>
    <mergeCell ref="S252"/>
    <mergeCell ref="T252"/>
    <mergeCell ref="B253"/>
    <mergeCell ref="C253"/>
    <mergeCell ref="D253"/>
    <mergeCell ref="E253"/>
    <mergeCell ref="F253"/>
    <mergeCell ref="G253"/>
    <mergeCell ref="H253"/>
    <mergeCell ref="I253"/>
    <mergeCell ref="J253"/>
    <mergeCell ref="K253"/>
    <mergeCell ref="L253"/>
    <mergeCell ref="M253"/>
    <mergeCell ref="N253"/>
    <mergeCell ref="O253"/>
    <mergeCell ref="P253"/>
    <mergeCell ref="Q253"/>
  </mergeCells>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
        <v>1672</v>
      </c>
      <c r="F5" s="3425"/>
      <c r="G5" s="3426" t="s">
        <v>1673</v>
      </c>
      <c r="H5" s="3427"/>
      <c r="I5" s="3426" t="s">
        <v>1674</v>
      </c>
      <c r="J5" s="3427"/>
      <c r="K5" s="537"/>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82" t="s">
        <v>1917</v>
      </c>
      <c r="D6" s="3483"/>
      <c r="E6" s="3484" t="s">
        <v>1917</v>
      </c>
      <c r="F6" s="3485"/>
      <c r="G6" s="3482" t="s">
        <v>1917</v>
      </c>
      <c r="H6" s="3483"/>
      <c r="I6" s="3482" t="s">
        <v>1917</v>
      </c>
      <c r="J6" s="3483"/>
      <c r="K6" s="537"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8" t="s">
        <v>1678</v>
      </c>
      <c r="Q7" s="3446"/>
      <c r="R7" s="664" t="s">
        <v>14</v>
      </c>
      <c r="S7" s="665">
        <f t="shared" ref="S7:S15" si="0">F7</f>
        <v>0</v>
      </c>
      <c r="T7" s="664" t="s">
        <v>14</v>
      </c>
      <c r="U7" s="665">
        <f t="shared" ref="U7:U15" si="1">H7</f>
        <v>0</v>
      </c>
      <c r="V7" s="664" t="s">
        <v>14</v>
      </c>
      <c r="W7" s="665">
        <f t="shared" ref="W7:W15" si="2">J7</f>
        <v>0</v>
      </c>
      <c r="X7" s="666"/>
      <c r="Y7" s="3418" t="s">
        <v>1678</v>
      </c>
      <c r="Z7" s="3419"/>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8" t="s">
        <v>1681</v>
      </c>
      <c r="Q8" s="3419"/>
      <c r="R8" s="664" t="s">
        <v>14</v>
      </c>
      <c r="S8" s="665">
        <f t="shared" si="0"/>
        <v>0</v>
      </c>
      <c r="T8" s="664" t="s">
        <v>14</v>
      </c>
      <c r="U8" s="665">
        <f t="shared" si="1"/>
        <v>0</v>
      </c>
      <c r="V8" s="664" t="s">
        <v>14</v>
      </c>
      <c r="W8" s="665">
        <f t="shared" si="2"/>
        <v>0</v>
      </c>
      <c r="X8" s="666"/>
      <c r="Y8" s="3418" t="s">
        <v>1681</v>
      </c>
      <c r="Z8" s="3419"/>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50"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50"/>
      <c r="Q10" s="530" t="str">
        <f t="shared" si="6"/>
        <v>土地使用年限（年）</v>
      </c>
      <c r="R10" s="664" t="s">
        <v>14</v>
      </c>
      <c r="S10" s="665">
        <f t="shared" si="0"/>
        <v>111</v>
      </c>
      <c r="T10" s="664" t="s">
        <v>14</v>
      </c>
      <c r="U10" s="665">
        <f t="shared" si="1"/>
        <v>111</v>
      </c>
      <c r="V10" s="664" t="s">
        <v>14</v>
      </c>
      <c r="W10" s="665">
        <f t="shared" si="2"/>
        <v>111</v>
      </c>
      <c r="X10" s="666"/>
      <c r="Y10" s="3362"/>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50"/>
      <c r="Q11" s="530" t="str">
        <f t="shared" si="6"/>
        <v>容积率</v>
      </c>
      <c r="R11" s="664" t="s">
        <v>14</v>
      </c>
      <c r="S11" s="665" t="e">
        <f t="shared" si="0"/>
        <v>#N/A</v>
      </c>
      <c r="T11" s="664" t="s">
        <v>14</v>
      </c>
      <c r="U11" s="665" t="e">
        <f t="shared" si="1"/>
        <v>#N/A</v>
      </c>
      <c r="V11" s="664" t="s">
        <v>14</v>
      </c>
      <c r="W11" s="665" t="e">
        <f t="shared" si="2"/>
        <v>#N/A</v>
      </c>
      <c r="X11" s="666"/>
      <c r="Y11" s="33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50"/>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50"/>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51" t="s">
        <v>1689</v>
      </c>
      <c r="Q15" s="1263" t="str">
        <f t="shared" si="6"/>
        <v>产业集聚程度</v>
      </c>
      <c r="R15" s="667" t="s">
        <v>14</v>
      </c>
      <c r="S15" s="668">
        <f t="shared" si="0"/>
        <v>100</v>
      </c>
      <c r="T15" s="667" t="s">
        <v>14</v>
      </c>
      <c r="U15" s="668">
        <f t="shared" si="1"/>
        <v>100</v>
      </c>
      <c r="V15" s="667" t="s">
        <v>14</v>
      </c>
      <c r="W15" s="668">
        <f t="shared" si="2"/>
        <v>100</v>
      </c>
      <c r="X15" s="1265"/>
      <c r="Y15" s="3451"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52"/>
      <c r="Q16" s="1263"/>
      <c r="R16" s="667"/>
      <c r="S16" s="668"/>
      <c r="T16" s="667"/>
      <c r="U16" s="668"/>
      <c r="V16" s="667"/>
      <c r="W16" s="668"/>
      <c r="X16" s="1265"/>
      <c r="Y16" s="3452"/>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52"/>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52"/>
      <c r="Q18" s="1263"/>
      <c r="R18" s="667"/>
      <c r="S18" s="668"/>
      <c r="T18" s="667"/>
      <c r="U18" s="668"/>
      <c r="V18" s="667"/>
      <c r="W18" s="668"/>
      <c r="X18" s="1265"/>
      <c r="Y18" s="3452"/>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52"/>
      <c r="Q19" s="1263" t="str">
        <f t="shared" ref="Q19:Q33" si="8">B19</f>
        <v>区域土地利用方向</v>
      </c>
      <c r="R19" s="667" t="s">
        <v>14</v>
      </c>
      <c r="S19" s="668">
        <f>F19</f>
        <v>100</v>
      </c>
      <c r="T19" s="667" t="s">
        <v>14</v>
      </c>
      <c r="U19" s="668">
        <f>H19</f>
        <v>100</v>
      </c>
      <c r="V19" s="667" t="s">
        <v>14</v>
      </c>
      <c r="W19" s="668">
        <f>J19</f>
        <v>100</v>
      </c>
      <c r="X19" s="1265"/>
      <c r="Y19" s="345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52"/>
      <c r="Q20" s="1263"/>
      <c r="R20" s="667"/>
      <c r="S20" s="668"/>
      <c r="T20" s="667"/>
      <c r="U20" s="668"/>
      <c r="V20" s="667"/>
      <c r="W20" s="668"/>
      <c r="X20" s="1265"/>
      <c r="Y20" s="3452"/>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52"/>
      <c r="Q21" s="1263" t="str">
        <f t="shared" si="8"/>
        <v>环境状况</v>
      </c>
      <c r="R21" s="667" t="s">
        <v>14</v>
      </c>
      <c r="S21" s="668">
        <f>F21</f>
        <v>100</v>
      </c>
      <c r="T21" s="667" t="s">
        <v>14</v>
      </c>
      <c r="U21" s="668">
        <f>H21</f>
        <v>100</v>
      </c>
      <c r="V21" s="667" t="s">
        <v>14</v>
      </c>
      <c r="W21" s="668">
        <f>J21</f>
        <v>100</v>
      </c>
      <c r="X21" s="1265"/>
      <c r="Y21" s="345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52"/>
      <c r="Q22" s="1263"/>
      <c r="R22" s="667"/>
      <c r="S22" s="668"/>
      <c r="T22" s="667"/>
      <c r="U22" s="668"/>
      <c r="V22" s="667"/>
      <c r="W22" s="668"/>
      <c r="X22" s="1265"/>
      <c r="Y22" s="3452"/>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52"/>
      <c r="Q23" s="530" t="str">
        <f t="shared" si="8"/>
        <v>公共配套设施</v>
      </c>
      <c r="R23" s="664" t="s">
        <v>14</v>
      </c>
      <c r="S23" s="665">
        <f>F23</f>
        <v>100</v>
      </c>
      <c r="T23" s="664" t="s">
        <v>14</v>
      </c>
      <c r="U23" s="665">
        <f>H23</f>
        <v>100</v>
      </c>
      <c r="V23" s="664" t="s">
        <v>14</v>
      </c>
      <c r="W23" s="665">
        <f>J23</f>
        <v>100</v>
      </c>
      <c r="X23" s="666"/>
      <c r="Y23" s="345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52"/>
      <c r="Q24" s="530"/>
      <c r="R24" s="664"/>
      <c r="S24" s="665"/>
      <c r="T24" s="664"/>
      <c r="U24" s="665"/>
      <c r="V24" s="664"/>
      <c r="W24" s="665"/>
      <c r="X24" s="666"/>
      <c r="Y24" s="3452"/>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52"/>
      <c r="Q25" s="530" t="str">
        <f t="shared" ref="Q25" si="9">B25</f>
        <v>基础设施水平</v>
      </c>
      <c r="R25" s="664" t="s">
        <v>14</v>
      </c>
      <c r="S25" s="665">
        <f>F25</f>
        <v>100</v>
      </c>
      <c r="T25" s="664" t="s">
        <v>14</v>
      </c>
      <c r="U25" s="665">
        <f>H25</f>
        <v>100</v>
      </c>
      <c r="V25" s="664" t="s">
        <v>14</v>
      </c>
      <c r="W25" s="665">
        <f>J25</f>
        <v>100</v>
      </c>
      <c r="X25" s="666"/>
      <c r="Y25" s="345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52"/>
      <c r="Q26" s="530"/>
      <c r="R26" s="664"/>
      <c r="S26" s="665"/>
      <c r="T26" s="664"/>
      <c r="U26" s="665"/>
      <c r="V26" s="664"/>
      <c r="W26" s="665"/>
      <c r="X26" s="666"/>
      <c r="Y26" s="3452"/>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5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2"/>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52"/>
      <c r="Q28" s="1263" t="str">
        <f t="shared" si="8"/>
        <v>毗邻道路的类型与等级</v>
      </c>
      <c r="R28" s="667" t="s">
        <v>14</v>
      </c>
      <c r="S28" s="668">
        <f t="shared" si="10"/>
        <v>100</v>
      </c>
      <c r="T28" s="667" t="s">
        <v>14</v>
      </c>
      <c r="U28" s="668">
        <f t="shared" si="11"/>
        <v>100</v>
      </c>
      <c r="V28" s="667" t="s">
        <v>14</v>
      </c>
      <c r="W28" s="668">
        <f t="shared" si="12"/>
        <v>100</v>
      </c>
      <c r="X28" s="1265"/>
      <c r="Y28" s="345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52"/>
      <c r="Q29" s="1263"/>
      <c r="R29" s="667"/>
      <c r="S29" s="668"/>
      <c r="T29" s="667"/>
      <c r="U29" s="668"/>
      <c r="V29" s="667"/>
      <c r="W29" s="668"/>
      <c r="X29" s="1265"/>
      <c r="Y29" s="3452"/>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52"/>
      <c r="Q30" s="1263" t="str">
        <f t="shared" si="8"/>
        <v>土地级别</v>
      </c>
      <c r="R30" s="667" t="s">
        <v>14</v>
      </c>
      <c r="S30" s="668">
        <f t="shared" si="10"/>
        <v>100</v>
      </c>
      <c r="T30" s="667" t="s">
        <v>14</v>
      </c>
      <c r="U30" s="668">
        <f t="shared" si="11"/>
        <v>100</v>
      </c>
      <c r="V30" s="667" t="s">
        <v>14</v>
      </c>
      <c r="W30" s="668">
        <f t="shared" si="12"/>
        <v>100</v>
      </c>
      <c r="X30" s="1265"/>
      <c r="Y30" s="345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52"/>
      <c r="Q31" s="1263">
        <f t="shared" si="8"/>
        <v>111</v>
      </c>
      <c r="R31" s="667" t="s">
        <v>14</v>
      </c>
      <c r="S31" s="668">
        <f t="shared" si="10"/>
        <v>100</v>
      </c>
      <c r="T31" s="667" t="s">
        <v>14</v>
      </c>
      <c r="U31" s="668">
        <f t="shared" si="11"/>
        <v>100</v>
      </c>
      <c r="V31" s="667" t="s">
        <v>14</v>
      </c>
      <c r="W31" s="668">
        <f t="shared" si="12"/>
        <v>100</v>
      </c>
      <c r="X31" s="1265"/>
      <c r="Y31" s="345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5" t="s">
        <v>1694</v>
      </c>
      <c r="Q32" s="1263">
        <f t="shared" si="8"/>
        <v>111</v>
      </c>
      <c r="R32" s="667" t="s">
        <v>14</v>
      </c>
      <c r="S32" s="668">
        <f t="shared" si="10"/>
        <v>100</v>
      </c>
      <c r="T32" s="667" t="s">
        <v>14</v>
      </c>
      <c r="U32" s="668">
        <f t="shared" si="11"/>
        <v>100</v>
      </c>
      <c r="V32" s="667" t="s">
        <v>14</v>
      </c>
      <c r="W32" s="668">
        <f t="shared" si="12"/>
        <v>100</v>
      </c>
      <c r="X32" s="1265"/>
      <c r="Y32" s="3456"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56"/>
      <c r="Q33" s="1263">
        <f t="shared" si="8"/>
        <v>111</v>
      </c>
      <c r="R33" s="669" t="s">
        <v>14</v>
      </c>
      <c r="S33" s="670">
        <f t="shared" si="10"/>
        <v>100</v>
      </c>
      <c r="T33" s="669" t="s">
        <v>14</v>
      </c>
      <c r="U33" s="670">
        <f t="shared" si="11"/>
        <v>100</v>
      </c>
      <c r="V33" s="669" t="s">
        <v>14</v>
      </c>
      <c r="W33" s="670">
        <f t="shared" si="12"/>
        <v>100</v>
      </c>
      <c r="X33" s="671"/>
      <c r="Y33" s="3456"/>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56"/>
      <c r="Q34" s="1263" t="str">
        <f>B34</f>
        <v>宗地面积</v>
      </c>
      <c r="R34" s="667" t="s">
        <v>14</v>
      </c>
      <c r="S34" s="668" t="e">
        <f t="shared" si="10"/>
        <v>#N/A</v>
      </c>
      <c r="T34" s="667" t="s">
        <v>14</v>
      </c>
      <c r="U34" s="668" t="e">
        <f t="shared" si="11"/>
        <v>#N/A</v>
      </c>
      <c r="V34" s="667" t="s">
        <v>14</v>
      </c>
      <c r="W34" s="668" t="e">
        <f t="shared" si="12"/>
        <v>#N/A</v>
      </c>
      <c r="X34" s="1265"/>
      <c r="Y34" s="3456"/>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56"/>
      <c r="Q35" s="1263" t="str">
        <f t="shared" ref="Q35:Q40" si="14">B35</f>
        <v>宗地形状</v>
      </c>
      <c r="R35" s="667" t="s">
        <v>14</v>
      </c>
      <c r="S35" s="668">
        <f t="shared" si="10"/>
        <v>100</v>
      </c>
      <c r="T35" s="667" t="s">
        <v>14</v>
      </c>
      <c r="U35" s="668">
        <f t="shared" si="11"/>
        <v>100</v>
      </c>
      <c r="V35" s="667" t="s">
        <v>14</v>
      </c>
      <c r="W35" s="668">
        <f t="shared" si="12"/>
        <v>100</v>
      </c>
      <c r="X35" s="1265"/>
      <c r="Y35" s="3456"/>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56"/>
      <c r="Q36" s="1263" t="str">
        <f t="shared" si="14"/>
        <v>宗地开发程度</v>
      </c>
      <c r="R36" s="664" t="s">
        <v>14</v>
      </c>
      <c r="S36" s="665">
        <f t="shared" si="10"/>
        <v>100</v>
      </c>
      <c r="T36" s="664" t="s">
        <v>14</v>
      </c>
      <c r="U36" s="665">
        <f t="shared" si="11"/>
        <v>100</v>
      </c>
      <c r="V36" s="664" t="s">
        <v>14</v>
      </c>
      <c r="W36" s="665">
        <f t="shared" si="12"/>
        <v>100</v>
      </c>
      <c r="X36" s="666"/>
      <c r="Y36" s="3456"/>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56" t="s">
        <v>1694</v>
      </c>
      <c r="Q37" s="1263" t="str">
        <f t="shared" si="14"/>
        <v>工程地质条件</v>
      </c>
      <c r="R37" s="667" t="s">
        <v>14</v>
      </c>
      <c r="S37" s="668">
        <f t="shared" si="10"/>
        <v>100</v>
      </c>
      <c r="T37" s="667" t="s">
        <v>14</v>
      </c>
      <c r="U37" s="668">
        <f t="shared" si="11"/>
        <v>100</v>
      </c>
      <c r="V37" s="667" t="s">
        <v>14</v>
      </c>
      <c r="W37" s="668">
        <f t="shared" si="12"/>
        <v>100</v>
      </c>
      <c r="X37" s="1265"/>
      <c r="Y37" s="3456"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56"/>
      <c r="Q38" s="1263">
        <f t="shared" si="14"/>
        <v>111</v>
      </c>
      <c r="R38" s="667" t="s">
        <v>14</v>
      </c>
      <c r="S38" s="668">
        <f t="shared" si="10"/>
        <v>100</v>
      </c>
      <c r="T38" s="667" t="s">
        <v>14</v>
      </c>
      <c r="U38" s="668">
        <f t="shared" si="11"/>
        <v>100</v>
      </c>
      <c r="V38" s="667" t="s">
        <v>14</v>
      </c>
      <c r="W38" s="668">
        <f t="shared" si="12"/>
        <v>100</v>
      </c>
      <c r="X38" s="1265"/>
      <c r="Y38" s="345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56"/>
      <c r="Q39" s="1263">
        <f t="shared" si="14"/>
        <v>111</v>
      </c>
      <c r="R39" s="667" t="s">
        <v>14</v>
      </c>
      <c r="S39" s="668">
        <f t="shared" si="10"/>
        <v>100</v>
      </c>
      <c r="T39" s="667" t="s">
        <v>14</v>
      </c>
      <c r="U39" s="668">
        <f t="shared" si="11"/>
        <v>100</v>
      </c>
      <c r="V39" s="667" t="s">
        <v>14</v>
      </c>
      <c r="W39" s="668">
        <f t="shared" si="12"/>
        <v>100</v>
      </c>
      <c r="X39" s="1265"/>
      <c r="Y39" s="345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56"/>
      <c r="Q40" s="1263">
        <f t="shared" si="14"/>
        <v>111</v>
      </c>
      <c r="R40" s="669" t="s">
        <v>14</v>
      </c>
      <c r="S40" s="670">
        <f t="shared" si="10"/>
        <v>100</v>
      </c>
      <c r="T40" s="669" t="s">
        <v>14</v>
      </c>
      <c r="U40" s="670">
        <f t="shared" si="11"/>
        <v>100</v>
      </c>
      <c r="V40" s="669" t="s">
        <v>14</v>
      </c>
      <c r="W40" s="670">
        <f t="shared" si="12"/>
        <v>100</v>
      </c>
      <c r="X40" s="671"/>
      <c r="Y40" s="3456"/>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50" t="str">
        <f>A41</f>
        <v>成交单价</v>
      </c>
      <c r="Q41" s="3450"/>
      <c r="R41" s="3445">
        <f>E41</f>
        <v>0</v>
      </c>
      <c r="S41" s="3445"/>
      <c r="T41" s="3445">
        <f>G41</f>
        <v>0</v>
      </c>
      <c r="U41" s="3445"/>
      <c r="V41" s="3445">
        <f>I41</f>
        <v>0</v>
      </c>
      <c r="W41" s="3445"/>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50" t="str">
        <f>A42</f>
        <v>比较价值（元/平方米）</v>
      </c>
      <c r="Q42" s="3450"/>
      <c r="R42" s="3477" t="e">
        <f>ROUND(PRODUCT(R41,AA7:AA40),0)</f>
        <v>#DIV/0!</v>
      </c>
      <c r="S42" s="3477"/>
      <c r="T42" s="3477" t="e">
        <f>ROUND(PRODUCT(T41,AB7:AB40),0)</f>
        <v>#DIV/0!</v>
      </c>
      <c r="U42" s="3477"/>
      <c r="V42" s="3477" t="e">
        <f>ROUND(PRODUCT(V41,AC7:AC40),0)</f>
        <v>#DIV/0!</v>
      </c>
      <c r="W42" s="3477"/>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47" t="str">
        <f>A43</f>
        <v>估价对象XX用房的比较价值（楼面单价，元/平方米）</v>
      </c>
      <c r="Q43" s="3448"/>
      <c r="R43" s="3478" t="e">
        <f>ROUND(IF(D42="简单平均",AVERAGE(R42:W42),R42*F42+T42*H42+V42*J42),0)</f>
        <v>#DIV/0!</v>
      </c>
      <c r="S43" s="3478"/>
      <c r="T43" s="3478"/>
      <c r="U43" s="3478"/>
      <c r="V43" s="3478"/>
      <c r="W43" s="347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33" t="s">
        <v>1885</v>
      </c>
      <c r="H50" s="3479"/>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5090.0099999999984</v>
      </c>
      <c r="F51" s="611" t="e">
        <f t="shared" ref="F51:F60" si="15">ROUND(B51*E51/10000,0)</f>
        <v>#DIV/0!</v>
      </c>
      <c r="G51" s="3432"/>
      <c r="H51" s="345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85</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6666.6000000000076</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89" t="s">
        <v>2082</v>
      </c>
      <c r="D1" s="3490"/>
      <c r="E1" s="3490"/>
      <c r="F1" s="3490"/>
      <c r="G1" s="3490"/>
      <c r="H1" s="3490"/>
      <c r="I1" s="3490"/>
      <c r="J1" s="3490"/>
      <c r="K1" s="3490"/>
      <c r="L1" s="3490"/>
      <c r="M1" s="3490"/>
      <c r="N1" s="3490"/>
      <c r="O1" s="3490"/>
      <c r="P1" s="3490"/>
      <c r="Q1" s="3490"/>
      <c r="R1" s="3490"/>
      <c r="S1" s="3491"/>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86" t="s">
        <v>27</v>
      </c>
      <c r="D22" s="3487"/>
      <c r="E22" s="3487"/>
      <c r="F22" s="3487"/>
      <c r="G22" s="3487"/>
      <c r="H22" s="3487"/>
      <c r="I22" s="3487"/>
      <c r="J22" s="3487"/>
      <c r="K22" s="3487"/>
      <c r="L22" s="3487"/>
      <c r="M22" s="3487"/>
      <c r="N22" s="3487"/>
      <c r="O22" s="3487"/>
      <c r="P22" s="3487"/>
      <c r="Q22" s="3488"/>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99"/>
      <c r="B4" s="3500"/>
      <c r="C4" s="3500"/>
      <c r="D4" s="3501"/>
      <c r="E4" s="3501"/>
      <c r="F4" s="3501"/>
      <c r="G4" s="3501"/>
      <c r="H4" s="3501"/>
      <c r="I4" s="3501"/>
      <c r="J4" s="3502"/>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96" t="s">
        <v>1958</v>
      </c>
      <c r="X8" s="3497"/>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98"/>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9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03" t="s">
        <v>3252</v>
      </c>
      <c r="B20" s="159" t="s">
        <v>1992</v>
      </c>
      <c r="C20" s="3032" t="e">
        <f>ROUND(IF(F21="与级别开发程度一致",0,(G21-E21)/C21),0)</f>
        <v>#DIV/0!</v>
      </c>
      <c r="D20" s="3047" t="s">
        <v>1996</v>
      </c>
      <c r="E20" s="3048"/>
      <c r="F20" s="3509" t="s">
        <v>1993</v>
      </c>
      <c r="G20" s="351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04"/>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45974</v>
      </c>
      <c r="H23" s="3049"/>
      <c r="I23" s="3050" t="str">
        <f>IF(H23="季度增幅（自定义）",SUMIF(N25:N28,E2,O25:O28),"")</f>
        <v/>
      </c>
      <c r="J23" s="3142"/>
      <c r="K23" s="1061"/>
      <c r="L23" s="1897" t="s">
        <v>2002</v>
      </c>
      <c r="M23" s="1241">
        <f>ROUND(SUMIF(地价!B2:G2,E2,地价!B16:G16),0)</f>
        <v>0</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3331</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3257</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3261</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7"/>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3262</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8"/>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8"/>
      <c r="B39" s="1884" t="s">
        <v>3255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05" t="s">
        <v>3290</v>
      </c>
      <c r="B103" s="3505"/>
      <c r="C103" s="3505"/>
      <c r="D103" s="3505"/>
      <c r="E103" s="3505"/>
      <c r="F103" s="3505"/>
      <c r="G103" s="3505"/>
      <c r="H103" s="3505"/>
      <c r="I103" s="3505"/>
      <c r="J103" s="3505"/>
      <c r="K103" s="1667"/>
      <c r="L103" s="1667"/>
      <c r="M103" s="1667"/>
      <c r="N103" s="1667"/>
    </row>
    <row r="104" spans="1:14">
      <c r="A104" s="3506" t="s">
        <v>3291</v>
      </c>
      <c r="B104" s="3506" t="s">
        <v>3292</v>
      </c>
      <c r="C104" s="3091" t="s">
        <v>3293</v>
      </c>
      <c r="D104" s="3092"/>
      <c r="E104" s="3092"/>
      <c r="F104" s="3092"/>
      <c r="G104" s="3092"/>
      <c r="H104" s="3092"/>
      <c r="I104" s="3092"/>
      <c r="J104" s="3093"/>
      <c r="K104" s="3094"/>
      <c r="L104" s="3094"/>
      <c r="M104" s="3094"/>
      <c r="N104" s="3094"/>
    </row>
    <row r="105" spans="1:14">
      <c r="A105" s="3506"/>
      <c r="B105" s="3506"/>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492"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9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9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9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9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93"/>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9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95" t="s">
        <v>3307</v>
      </c>
      <c r="B113" s="3495"/>
      <c r="C113" s="3495"/>
      <c r="D113" s="3495"/>
      <c r="E113" s="3495"/>
      <c r="F113" s="3495"/>
      <c r="G113" s="3495"/>
      <c r="H113" s="3495"/>
      <c r="I113" s="3495"/>
      <c r="J113" s="349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521" t="s">
        <v>2605</v>
      </c>
      <c r="B20" s="3511" t="s">
        <v>2626</v>
      </c>
      <c r="C20" s="3169" t="s">
        <v>2437</v>
      </c>
      <c r="D20" s="3169"/>
      <c r="E20" s="2845">
        <v>1</v>
      </c>
      <c r="F20" s="2846" t="s">
        <v>2438</v>
      </c>
      <c r="G20" s="2846"/>
    </row>
    <row r="21" spans="1:13" ht="19.5" customHeight="1">
      <c r="A21" s="3522"/>
      <c r="B21" s="3512"/>
      <c r="C21" s="2858" t="s">
        <v>2439</v>
      </c>
      <c r="D21" s="2858"/>
      <c r="E21" s="2849">
        <v>1</v>
      </c>
      <c r="F21" s="2846" t="s">
        <v>2440</v>
      </c>
      <c r="G21" s="2846"/>
    </row>
    <row r="22" spans="1:13" ht="19.5" customHeight="1">
      <c r="A22" s="3522"/>
      <c r="B22" s="3512"/>
      <c r="C22" s="2858" t="s">
        <v>2441</v>
      </c>
      <c r="D22" s="2858"/>
      <c r="E22" s="2849">
        <v>0.9</v>
      </c>
      <c r="F22" s="2846" t="s">
        <v>2442</v>
      </c>
      <c r="G22" s="2846"/>
    </row>
    <row r="23" spans="1:13" ht="19.5" customHeight="1">
      <c r="A23" s="3522"/>
      <c r="B23" s="3512"/>
      <c r="C23" s="2858" t="s">
        <v>2443</v>
      </c>
      <c r="D23" s="2858"/>
      <c r="E23" s="2849">
        <v>0.9</v>
      </c>
      <c r="F23" s="2846" t="s">
        <v>2444</v>
      </c>
      <c r="G23" s="2846"/>
    </row>
    <row r="24" spans="1:13" ht="19.5" customHeight="1">
      <c r="A24" s="3522"/>
      <c r="B24" s="3512"/>
      <c r="C24" s="2858" t="s">
        <v>2445</v>
      </c>
      <c r="D24" s="2858"/>
      <c r="E24" s="2849">
        <v>0.8</v>
      </c>
      <c r="F24" s="2846" t="s">
        <v>2446</v>
      </c>
      <c r="G24" s="2846"/>
    </row>
    <row r="25" spans="1:13" ht="19.5" customHeight="1">
      <c r="A25" s="3522"/>
      <c r="B25" s="3512"/>
      <c r="C25" s="2858" t="s">
        <v>2447</v>
      </c>
      <c r="D25" s="2858"/>
      <c r="E25" s="2849">
        <v>0.8</v>
      </c>
      <c r="F25" s="2846"/>
      <c r="G25" s="2846"/>
    </row>
    <row r="26" spans="1:13" ht="19.5" customHeight="1">
      <c r="A26" s="3522"/>
      <c r="B26" s="3512"/>
      <c r="C26" s="2858" t="s">
        <v>3405</v>
      </c>
      <c r="D26" s="2858"/>
      <c r="E26" s="2849">
        <v>0.43</v>
      </c>
      <c r="F26" s="2846"/>
      <c r="G26" s="2846"/>
    </row>
    <row r="27" spans="1:13" ht="19.5" customHeight="1" thickBot="1">
      <c r="A27" s="3523"/>
      <c r="B27" s="3513"/>
      <c r="C27" s="3165" t="s">
        <v>3406</v>
      </c>
      <c r="D27" s="3165"/>
      <c r="E27" s="2852">
        <f>E26*0.9</f>
        <v>0.38700000000000001</v>
      </c>
      <c r="F27" s="2846" t="s">
        <v>2448</v>
      </c>
      <c r="G27" s="2846"/>
    </row>
    <row r="28" spans="1:13" ht="19.5" customHeight="1" thickBot="1">
      <c r="A28" s="3164" t="s">
        <v>2627</v>
      </c>
      <c r="B28" s="3163" t="s">
        <v>2626</v>
      </c>
      <c r="C28" s="3166" t="s">
        <v>2628</v>
      </c>
      <c r="D28" s="3167"/>
      <c r="E28" s="3168">
        <v>1</v>
      </c>
      <c r="F28" s="2846" t="s">
        <v>2449</v>
      </c>
      <c r="G28" s="2846"/>
    </row>
    <row r="29" spans="1:13" ht="19.5" customHeight="1">
      <c r="A29" s="3514" t="s">
        <v>2629</v>
      </c>
      <c r="B29" s="3517" t="s">
        <v>2610</v>
      </c>
      <c r="C29" s="2843" t="s">
        <v>2450</v>
      </c>
      <c r="D29" s="2844"/>
      <c r="E29" s="2845">
        <v>1</v>
      </c>
      <c r="F29" s="2846" t="s">
        <v>2451</v>
      </c>
      <c r="G29" s="2846"/>
    </row>
    <row r="30" spans="1:13" ht="19.5" customHeight="1">
      <c r="A30" s="3515"/>
      <c r="B30" s="3518"/>
      <c r="C30" s="2847" t="s">
        <v>2452</v>
      </c>
      <c r="D30" s="2848"/>
      <c r="E30" s="2849">
        <v>1</v>
      </c>
      <c r="F30" s="2846" t="s">
        <v>2453</v>
      </c>
      <c r="G30" s="2846"/>
    </row>
    <row r="31" spans="1:13" ht="19.5" customHeight="1">
      <c r="A31" s="3515"/>
      <c r="B31" s="3518"/>
      <c r="C31" s="2847" t="s">
        <v>2454</v>
      </c>
      <c r="D31" s="2848"/>
      <c r="E31" s="2849">
        <v>0.8</v>
      </c>
      <c r="F31" s="2846" t="s">
        <v>2455</v>
      </c>
      <c r="G31" s="2846"/>
    </row>
    <row r="32" spans="1:13" ht="19.5" customHeight="1">
      <c r="A32" s="3515"/>
      <c r="B32" s="3518"/>
      <c r="C32" s="2847" t="s">
        <v>2456</v>
      </c>
      <c r="D32" s="2848"/>
      <c r="E32" s="2849">
        <v>0.8</v>
      </c>
      <c r="F32" s="2846" t="s">
        <v>2457</v>
      </c>
      <c r="G32" s="2846"/>
    </row>
    <row r="33" spans="1:7" ht="19.5" customHeight="1">
      <c r="A33" s="3515"/>
      <c r="B33" s="3518"/>
      <c r="C33" s="2847" t="s">
        <v>2458</v>
      </c>
      <c r="D33" s="2848"/>
      <c r="E33" s="2849">
        <v>0.8</v>
      </c>
      <c r="F33" s="2846" t="s">
        <v>2459</v>
      </c>
      <c r="G33" s="2846"/>
    </row>
    <row r="34" spans="1:7" ht="19.5" customHeight="1">
      <c r="A34" s="3515"/>
      <c r="B34" s="3518"/>
      <c r="C34" s="2847" t="s">
        <v>2460</v>
      </c>
      <c r="D34" s="2848"/>
      <c r="E34" s="2849">
        <v>0.7</v>
      </c>
      <c r="F34" s="2846" t="s">
        <v>2461</v>
      </c>
      <c r="G34" s="2846"/>
    </row>
    <row r="35" spans="1:7" ht="19.5" customHeight="1">
      <c r="A35" s="3515"/>
      <c r="B35" s="3518"/>
      <c r="C35" s="2847" t="s">
        <v>2462</v>
      </c>
      <c r="D35" s="2848"/>
      <c r="E35" s="2849">
        <v>0.8</v>
      </c>
      <c r="F35" s="2846" t="s">
        <v>2463</v>
      </c>
      <c r="G35" s="2846"/>
    </row>
    <row r="36" spans="1:7" ht="19.5" customHeight="1">
      <c r="A36" s="3515"/>
      <c r="B36" s="3518"/>
      <c r="C36" s="2847" t="s">
        <v>2464</v>
      </c>
      <c r="D36" s="2848"/>
      <c r="E36" s="2849">
        <v>0.6</v>
      </c>
      <c r="F36" s="2846" t="s">
        <v>2465</v>
      </c>
      <c r="G36" s="2846"/>
    </row>
    <row r="37" spans="1:7" ht="19.5" customHeight="1">
      <c r="A37" s="3515"/>
      <c r="B37" s="3518"/>
      <c r="C37" s="2847" t="s">
        <v>2466</v>
      </c>
      <c r="D37" s="2848"/>
      <c r="E37" s="2849">
        <v>0.2</v>
      </c>
      <c r="F37" s="2846" t="s">
        <v>2467</v>
      </c>
      <c r="G37" s="2846"/>
    </row>
    <row r="38" spans="1:7" ht="19.5" customHeight="1">
      <c r="A38" s="3515"/>
      <c r="B38" s="3518"/>
      <c r="C38" s="2847" t="s">
        <v>2468</v>
      </c>
      <c r="D38" s="2848"/>
      <c r="E38" s="2849">
        <v>0.2</v>
      </c>
      <c r="F38" s="2846" t="s">
        <v>2469</v>
      </c>
      <c r="G38" s="2846"/>
    </row>
    <row r="39" spans="1:7" ht="19.5" customHeight="1">
      <c r="A39" s="3515"/>
      <c r="B39" s="3519" t="s">
        <v>2630</v>
      </c>
      <c r="C39" s="2847" t="s">
        <v>2470</v>
      </c>
      <c r="D39" s="2848"/>
      <c r="E39" s="2849">
        <v>0.6</v>
      </c>
      <c r="F39" s="2846" t="s">
        <v>2471</v>
      </c>
      <c r="G39" s="2846"/>
    </row>
    <row r="40" spans="1:7" ht="19.5" customHeight="1">
      <c r="A40" s="3515"/>
      <c r="B40" s="3518"/>
      <c r="C40" s="2847" t="s">
        <v>2472</v>
      </c>
      <c r="D40" s="2848"/>
      <c r="E40" s="2849">
        <v>0.6</v>
      </c>
      <c r="F40" s="2846" t="s">
        <v>2473</v>
      </c>
      <c r="G40" s="2846"/>
    </row>
    <row r="41" spans="1:7" ht="19.5" customHeight="1" thickBot="1">
      <c r="A41" s="3516"/>
      <c r="B41" s="3520"/>
      <c r="C41" s="2850" t="s">
        <v>2474</v>
      </c>
      <c r="D41" s="2851"/>
      <c r="E41" s="2852">
        <v>0.6</v>
      </c>
      <c r="F41" s="2846" t="s">
        <v>2475</v>
      </c>
      <c r="G41" s="2846"/>
    </row>
    <row r="42" spans="1:7" ht="19.5" customHeight="1" thickBot="1">
      <c r="A42" s="2853" t="s">
        <v>2607</v>
      </c>
      <c r="B42" s="2854" t="s">
        <v>2607</v>
      </c>
      <c r="C42" s="2855" t="s">
        <v>2631</v>
      </c>
      <c r="D42" s="2856"/>
      <c r="E42" s="2857">
        <v>1</v>
      </c>
      <c r="F42" s="2846" t="s">
        <v>2476</v>
      </c>
      <c r="G42" s="2846"/>
    </row>
    <row r="43" spans="1:7" ht="19.5" customHeight="1">
      <c r="A43" s="3521" t="s">
        <v>2608</v>
      </c>
      <c r="B43" s="3517" t="s">
        <v>2632</v>
      </c>
      <c r="C43" s="2843" t="s">
        <v>2477</v>
      </c>
      <c r="D43" s="2844"/>
      <c r="E43" s="2845">
        <v>1</v>
      </c>
      <c r="F43" s="2846" t="s">
        <v>2478</v>
      </c>
      <c r="G43" s="2846"/>
    </row>
    <row r="44" spans="1:7" ht="19.5" customHeight="1">
      <c r="A44" s="3522"/>
      <c r="B44" s="3518"/>
      <c r="C44" s="2847" t="s">
        <v>2479</v>
      </c>
      <c r="D44" s="2848"/>
      <c r="E44" s="2849">
        <v>1</v>
      </c>
      <c r="F44" s="2846" t="s">
        <v>2480</v>
      </c>
      <c r="G44" s="2846"/>
    </row>
    <row r="45" spans="1:7" ht="19.5" customHeight="1">
      <c r="A45" s="3522"/>
      <c r="B45" s="3524"/>
      <c r="C45" s="2847" t="s">
        <v>2481</v>
      </c>
      <c r="D45" s="2848"/>
      <c r="E45" s="2849">
        <v>1.5</v>
      </c>
      <c r="F45" s="2846" t="s">
        <v>2482</v>
      </c>
      <c r="G45" s="2846"/>
    </row>
    <row r="46" spans="1:7" ht="19.5" customHeight="1">
      <c r="A46" s="3522"/>
      <c r="B46" s="2858" t="s">
        <v>2633</v>
      </c>
      <c r="C46" s="2847" t="s">
        <v>2634</v>
      </c>
      <c r="D46" s="2848"/>
      <c r="E46" s="2849">
        <v>2</v>
      </c>
      <c r="F46" s="2846" t="s">
        <v>2483</v>
      </c>
      <c r="G46" s="2846"/>
    </row>
    <row r="47" spans="1:7" ht="19.5" customHeight="1">
      <c r="A47" s="3522"/>
      <c r="B47" s="3519" t="s">
        <v>2635</v>
      </c>
      <c r="C47" s="2847" t="s">
        <v>2484</v>
      </c>
      <c r="D47" s="2848"/>
      <c r="E47" s="2849">
        <v>1</v>
      </c>
      <c r="F47" s="2846" t="s">
        <v>2485</v>
      </c>
      <c r="G47" s="2846"/>
    </row>
    <row r="48" spans="1:7" ht="19.5" customHeight="1">
      <c r="A48" s="3522"/>
      <c r="B48" s="3518"/>
      <c r="C48" s="2847" t="s">
        <v>2486</v>
      </c>
      <c r="D48" s="2848"/>
      <c r="E48" s="2849">
        <v>1</v>
      </c>
      <c r="F48" s="2846" t="s">
        <v>2487</v>
      </c>
      <c r="G48" s="2846"/>
    </row>
    <row r="49" spans="1:7" ht="19.5" customHeight="1">
      <c r="A49" s="3522"/>
      <c r="B49" s="3518"/>
      <c r="C49" s="2847" t="s">
        <v>2488</v>
      </c>
      <c r="D49" s="2848"/>
      <c r="E49" s="2849">
        <v>1</v>
      </c>
      <c r="F49" s="2846" t="s">
        <v>2489</v>
      </c>
      <c r="G49" s="2846"/>
    </row>
    <row r="50" spans="1:7" ht="19.5" customHeight="1">
      <c r="A50" s="3522"/>
      <c r="B50" s="3518"/>
      <c r="C50" s="2847" t="s">
        <v>2490</v>
      </c>
      <c r="D50" s="2848"/>
      <c r="E50" s="2849">
        <v>1</v>
      </c>
      <c r="F50" s="2846" t="s">
        <v>2491</v>
      </c>
      <c r="G50" s="2846"/>
    </row>
    <row r="51" spans="1:7" ht="19.5" customHeight="1">
      <c r="A51" s="3522"/>
      <c r="B51" s="3518"/>
      <c r="C51" s="2847" t="s">
        <v>2492</v>
      </c>
      <c r="D51" s="2848"/>
      <c r="E51" s="2849">
        <v>1</v>
      </c>
      <c r="F51" s="2846" t="s">
        <v>2493</v>
      </c>
      <c r="G51" s="2846"/>
    </row>
    <row r="52" spans="1:7" ht="19.5" customHeight="1">
      <c r="A52" s="3522"/>
      <c r="B52" s="3518"/>
      <c r="C52" s="2847" t="s">
        <v>2494</v>
      </c>
      <c r="D52" s="2848"/>
      <c r="E52" s="2849">
        <v>1</v>
      </c>
      <c r="F52" s="2846" t="s">
        <v>2495</v>
      </c>
      <c r="G52" s="2846"/>
    </row>
    <row r="53" spans="1:7" ht="19.5" customHeight="1" thickBot="1">
      <c r="A53" s="3523"/>
      <c r="B53" s="3520"/>
      <c r="C53" s="2850" t="s">
        <v>2496</v>
      </c>
      <c r="D53" s="2851"/>
      <c r="E53" s="2852">
        <v>1</v>
      </c>
      <c r="F53" s="2846" t="s">
        <v>2497</v>
      </c>
      <c r="G53" s="2846"/>
    </row>
    <row r="54" spans="1:7" ht="19.5" customHeight="1">
      <c r="A54" s="2859"/>
      <c r="B54" s="2859"/>
      <c r="C54" s="2859"/>
      <c r="D54" s="2859"/>
      <c r="E54" s="2859"/>
      <c r="F54" s="2859"/>
      <c r="G54" s="2859"/>
    </row>
    <row r="56" spans="1:7" ht="19.5" customHeight="1">
      <c r="A56" s="2860"/>
      <c r="B56" s="2832" t="s">
        <v>2636</v>
      </c>
      <c r="C56" s="2832" t="s">
        <v>2636</v>
      </c>
      <c r="D56" s="2832" t="s">
        <v>2636</v>
      </c>
      <c r="E56" s="2835" t="s">
        <v>2636</v>
      </c>
      <c r="F56" s="2835" t="s">
        <v>2637</v>
      </c>
      <c r="G56" s="2835" t="s">
        <v>2638</v>
      </c>
    </row>
    <row r="57" spans="1:7" ht="19.5" customHeight="1">
      <c r="A57" s="2861"/>
      <c r="B57" s="2835" t="s">
        <v>2605</v>
      </c>
      <c r="C57" s="2835" t="s">
        <v>2605</v>
      </c>
      <c r="D57" s="2835" t="s">
        <v>2605</v>
      </c>
      <c r="E57" s="2832" t="s">
        <v>2606</v>
      </c>
      <c r="F57" s="2832" t="s">
        <v>2608</v>
      </c>
      <c r="G57" s="2832" t="s">
        <v>2639</v>
      </c>
    </row>
    <row r="58" spans="1:7" ht="19.5" customHeight="1">
      <c r="A58" s="2862"/>
      <c r="B58" s="2832">
        <v>1</v>
      </c>
      <c r="C58" s="2832">
        <v>2</v>
      </c>
      <c r="D58" s="2832">
        <v>3</v>
      </c>
      <c r="E58" s="2863" t="s">
        <v>2640</v>
      </c>
      <c r="F58" s="2863" t="s">
        <v>2640</v>
      </c>
      <c r="G58" s="2863" t="s">
        <v>2640</v>
      </c>
    </row>
    <row r="59" spans="1:7" ht="19.5" customHeight="1">
      <c r="A59" s="2864" t="s">
        <v>2593</v>
      </c>
      <c r="B59" s="2832">
        <v>0.7</v>
      </c>
      <c r="C59" s="2832">
        <v>0.4</v>
      </c>
      <c r="D59" s="2832">
        <v>0.3</v>
      </c>
      <c r="E59" s="2863">
        <v>0.3</v>
      </c>
      <c r="F59" s="2832">
        <v>0.3</v>
      </c>
      <c r="G59" s="2832">
        <v>0.2</v>
      </c>
    </row>
    <row r="60" spans="1:7" ht="19.5" customHeight="1">
      <c r="A60" s="2864" t="s">
        <v>2594</v>
      </c>
      <c r="B60" s="2832">
        <v>0.7</v>
      </c>
      <c r="C60" s="2832">
        <v>0.4</v>
      </c>
      <c r="D60" s="2832">
        <v>0.3</v>
      </c>
      <c r="E60" s="2832">
        <v>0.3</v>
      </c>
      <c r="F60" s="2832">
        <v>0.3</v>
      </c>
      <c r="G60" s="2832">
        <v>0.2</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0.6</v>
      </c>
      <c r="C64" s="2832">
        <v>0.3</v>
      </c>
      <c r="D64" s="2832">
        <v>0.25</v>
      </c>
      <c r="E64" s="2832">
        <v>0.25</v>
      </c>
      <c r="F64" s="2832">
        <v>0.25</v>
      </c>
      <c r="G64" s="2832">
        <v>0.15</v>
      </c>
    </row>
    <row r="65" spans="1:7" ht="19.5" customHeight="1">
      <c r="A65" s="2864" t="s">
        <v>2599</v>
      </c>
      <c r="B65" s="2832">
        <v>0.6</v>
      </c>
      <c r="C65" s="2832">
        <v>0.3</v>
      </c>
      <c r="D65" s="2832">
        <v>0.25</v>
      </c>
      <c r="E65" s="2832">
        <v>0.25</v>
      </c>
      <c r="F65" s="2832">
        <v>0.25</v>
      </c>
      <c r="G65" s="2832">
        <v>0.15</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69" spans="1:7" ht="19.5" customHeight="1">
      <c r="A69" s="2864" t="s">
        <v>2603</v>
      </c>
      <c r="B69" s="2832">
        <v>0.5</v>
      </c>
      <c r="C69" s="2832">
        <v>0.2</v>
      </c>
      <c r="D69" s="2832">
        <v>0.2</v>
      </c>
      <c r="E69" s="2832">
        <v>0.2</v>
      </c>
      <c r="F69" s="2832">
        <v>0.2</v>
      </c>
      <c r="G69" s="2832">
        <v>0.1</v>
      </c>
    </row>
    <row r="70" spans="1:7" ht="19.5" customHeight="1">
      <c r="A70" s="2864" t="s">
        <v>2604</v>
      </c>
      <c r="B70" s="2832">
        <v>0.5</v>
      </c>
      <c r="C70" s="2832">
        <v>0.2</v>
      </c>
      <c r="D70" s="2832">
        <v>0.2</v>
      </c>
      <c r="E70" s="2832">
        <v>0.2</v>
      </c>
      <c r="F70" s="2832">
        <v>0.2</v>
      </c>
      <c r="G70" s="2832">
        <v>0.1</v>
      </c>
    </row>
    <row r="72" spans="1:7" ht="19.5" customHeight="1">
      <c r="A72" s="2846"/>
      <c r="B72" s="2865"/>
      <c r="C72" s="2865"/>
      <c r="D72" s="2865" t="s">
        <v>2641</v>
      </c>
      <c r="E72" s="2865"/>
      <c r="F72" s="2865"/>
    </row>
    <row r="73" spans="1:7" ht="19.5" customHeight="1">
      <c r="A73" s="2858" t="s">
        <v>2642</v>
      </c>
      <c r="B73" s="2858" t="s">
        <v>2643</v>
      </c>
      <c r="C73" s="2858" t="s">
        <v>2644</v>
      </c>
      <c r="D73" s="2858" t="s">
        <v>2645</v>
      </c>
      <c r="E73" s="2858" t="s">
        <v>2646</v>
      </c>
      <c r="F73" s="2858" t="s">
        <v>2647</v>
      </c>
    </row>
    <row r="74" spans="1:7" ht="13.5">
      <c r="A74" s="2858"/>
      <c r="B74" s="2858"/>
      <c r="C74" s="2858" t="s">
        <v>2648</v>
      </c>
      <c r="D74" s="2858"/>
      <c r="E74" s="2858" t="s">
        <v>2619</v>
      </c>
      <c r="F74" s="2858" t="s">
        <v>2619</v>
      </c>
    </row>
    <row r="75" spans="1:7" ht="13.5">
      <c r="A75" s="2858">
        <v>1</v>
      </c>
      <c r="B75" s="3519" t="s">
        <v>2649</v>
      </c>
      <c r="C75" s="2832" t="s">
        <v>2650</v>
      </c>
      <c r="D75" s="2832" t="s">
        <v>2651</v>
      </c>
      <c r="E75" s="2858">
        <v>0.2</v>
      </c>
      <c r="F75" s="2858">
        <v>25</v>
      </c>
    </row>
    <row r="76" spans="1:7" ht="24">
      <c r="A76" s="2858">
        <v>2</v>
      </c>
      <c r="B76" s="3518"/>
      <c r="C76" s="2832" t="s">
        <v>2652</v>
      </c>
      <c r="D76" s="2832" t="s">
        <v>2653</v>
      </c>
      <c r="E76" s="2858">
        <v>0.2</v>
      </c>
      <c r="F76" s="2858">
        <v>25</v>
      </c>
    </row>
    <row r="77" spans="1:7" ht="24">
      <c r="A77" s="2858">
        <v>3</v>
      </c>
      <c r="B77" s="3518"/>
      <c r="C77" s="2832" t="s">
        <v>2654</v>
      </c>
      <c r="D77" s="2832" t="s">
        <v>2655</v>
      </c>
      <c r="E77" s="2858">
        <v>0.2</v>
      </c>
      <c r="F77" s="2858">
        <v>25</v>
      </c>
    </row>
    <row r="78" spans="1:7" ht="13.5">
      <c r="A78" s="2858">
        <v>4</v>
      </c>
      <c r="B78" s="3518"/>
      <c r="C78" s="2832" t="s">
        <v>2656</v>
      </c>
      <c r="D78" s="2832" t="s">
        <v>2657</v>
      </c>
      <c r="E78" s="2858">
        <v>0.15</v>
      </c>
      <c r="F78" s="2858">
        <v>20</v>
      </c>
    </row>
    <row r="79" spans="1:7" ht="24">
      <c r="A79" s="2858">
        <v>5</v>
      </c>
      <c r="B79" s="3518"/>
      <c r="C79" s="2832" t="s">
        <v>2658</v>
      </c>
      <c r="D79" s="2832" t="s">
        <v>2659</v>
      </c>
      <c r="E79" s="2858">
        <v>0.15</v>
      </c>
      <c r="F79" s="2858">
        <v>20</v>
      </c>
    </row>
    <row r="80" spans="1:7" ht="24">
      <c r="A80" s="2858">
        <v>6</v>
      </c>
      <c r="B80" s="3518"/>
      <c r="C80" s="2832" t="s">
        <v>2660</v>
      </c>
      <c r="D80" s="2832" t="s">
        <v>2661</v>
      </c>
      <c r="E80" s="2858">
        <v>0.15</v>
      </c>
      <c r="F80" s="2858">
        <v>20</v>
      </c>
    </row>
    <row r="81" spans="1:6" ht="24">
      <c r="A81" s="2858">
        <v>7</v>
      </c>
      <c r="B81" s="3518"/>
      <c r="C81" s="2832" t="s">
        <v>2662</v>
      </c>
      <c r="D81" s="2832" t="s">
        <v>2663</v>
      </c>
      <c r="E81" s="2858">
        <v>0.15</v>
      </c>
      <c r="F81" s="2858">
        <v>20</v>
      </c>
    </row>
    <row r="82" spans="1:6" ht="24">
      <c r="A82" s="2858">
        <v>8</v>
      </c>
      <c r="B82" s="3518"/>
      <c r="C82" s="2832" t="s">
        <v>2664</v>
      </c>
      <c r="D82" s="2832" t="s">
        <v>2665</v>
      </c>
      <c r="E82" s="2858">
        <v>0.1</v>
      </c>
      <c r="F82" s="2858">
        <v>15</v>
      </c>
    </row>
    <row r="83" spans="1:6" ht="24">
      <c r="A83" s="2858">
        <v>9</v>
      </c>
      <c r="B83" s="3518"/>
      <c r="C83" s="2832" t="s">
        <v>2666</v>
      </c>
      <c r="D83" s="2832" t="s">
        <v>2667</v>
      </c>
      <c r="E83" s="2858">
        <v>0.1</v>
      </c>
      <c r="F83" s="2858">
        <v>15</v>
      </c>
    </row>
    <row r="84" spans="1:6" ht="24">
      <c r="A84" s="2858">
        <v>10</v>
      </c>
      <c r="B84" s="3518"/>
      <c r="C84" s="2832" t="s">
        <v>2668</v>
      </c>
      <c r="D84" s="2832" t="s">
        <v>2669</v>
      </c>
      <c r="E84" s="2858">
        <v>0.1</v>
      </c>
      <c r="F84" s="2858">
        <v>15</v>
      </c>
    </row>
    <row r="85" spans="1:6" ht="24">
      <c r="A85" s="2858">
        <v>11</v>
      </c>
      <c r="B85" s="3518"/>
      <c r="C85" s="2832" t="s">
        <v>2670</v>
      </c>
      <c r="D85" s="2832" t="s">
        <v>2671</v>
      </c>
      <c r="E85" s="2858">
        <v>0.1</v>
      </c>
      <c r="F85" s="2858">
        <v>15</v>
      </c>
    </row>
    <row r="86" spans="1:6" ht="24">
      <c r="A86" s="2858">
        <v>12</v>
      </c>
      <c r="B86" s="3518"/>
      <c r="C86" s="2832" t="s">
        <v>2672</v>
      </c>
      <c r="D86" s="2832" t="s">
        <v>2673</v>
      </c>
      <c r="E86" s="2858">
        <v>0.1</v>
      </c>
      <c r="F86" s="2858">
        <v>15</v>
      </c>
    </row>
    <row r="87" spans="1:6" ht="13.5">
      <c r="A87" s="2858">
        <v>13</v>
      </c>
      <c r="B87" s="3518"/>
      <c r="C87" s="2832" t="s">
        <v>2674</v>
      </c>
      <c r="D87" s="2832" t="s">
        <v>2675</v>
      </c>
      <c r="E87" s="2858">
        <v>0.1</v>
      </c>
      <c r="F87" s="2858">
        <v>15</v>
      </c>
    </row>
    <row r="88" spans="1:6" ht="13.5">
      <c r="A88" s="2858">
        <v>14</v>
      </c>
      <c r="B88" s="3518"/>
      <c r="C88" s="2832" t="s">
        <v>2676</v>
      </c>
      <c r="D88" s="2832" t="s">
        <v>2677</v>
      </c>
      <c r="E88" s="2858">
        <v>0.1</v>
      </c>
      <c r="F88" s="2858">
        <v>15</v>
      </c>
    </row>
    <row r="89" spans="1:6" ht="13.5">
      <c r="A89" s="2858">
        <v>15</v>
      </c>
      <c r="B89" s="3518"/>
      <c r="C89" s="2832" t="s">
        <v>2678</v>
      </c>
      <c r="D89" s="2832" t="s">
        <v>2679</v>
      </c>
      <c r="E89" s="2858">
        <v>0.1</v>
      </c>
      <c r="F89" s="2858">
        <v>15</v>
      </c>
    </row>
    <row r="90" spans="1:6" ht="24">
      <c r="A90" s="2858">
        <v>16</v>
      </c>
      <c r="B90" s="3518"/>
      <c r="C90" s="2832" t="s">
        <v>2680</v>
      </c>
      <c r="D90" s="2832" t="s">
        <v>2681</v>
      </c>
      <c r="E90" s="2858">
        <v>0.1</v>
      </c>
      <c r="F90" s="2858">
        <v>15</v>
      </c>
    </row>
    <row r="91" spans="1:6" ht="24">
      <c r="A91" s="2858">
        <v>17</v>
      </c>
      <c r="B91" s="3524"/>
      <c r="C91" s="2832" t="s">
        <v>2682</v>
      </c>
      <c r="D91" s="2832" t="s">
        <v>2683</v>
      </c>
      <c r="E91" s="2858">
        <v>0.1</v>
      </c>
      <c r="F91" s="2858">
        <v>15</v>
      </c>
    </row>
    <row r="92" spans="1:6" ht="13.5">
      <c r="A92" s="2858">
        <v>18</v>
      </c>
      <c r="B92" s="3519" t="s">
        <v>2684</v>
      </c>
      <c r="C92" s="2832" t="s">
        <v>2685</v>
      </c>
      <c r="D92" s="2832" t="s">
        <v>2686</v>
      </c>
      <c r="E92" s="2858">
        <v>0.2</v>
      </c>
      <c r="F92" s="2858">
        <v>25</v>
      </c>
    </row>
    <row r="93" spans="1:6" ht="24">
      <c r="A93" s="2858">
        <v>19</v>
      </c>
      <c r="B93" s="3518"/>
      <c r="C93" s="2832" t="s">
        <v>2687</v>
      </c>
      <c r="D93" s="2832" t="s">
        <v>2688</v>
      </c>
      <c r="E93" s="2858">
        <v>0.2</v>
      </c>
      <c r="F93" s="2858">
        <v>25</v>
      </c>
    </row>
    <row r="94" spans="1:6" ht="13.5">
      <c r="A94" s="2858">
        <v>20</v>
      </c>
      <c r="B94" s="3518"/>
      <c r="C94" s="2832" t="s">
        <v>2689</v>
      </c>
      <c r="D94" s="2832" t="s">
        <v>2690</v>
      </c>
      <c r="E94" s="2858">
        <v>0.15</v>
      </c>
      <c r="F94" s="2858">
        <v>20</v>
      </c>
    </row>
    <row r="95" spans="1:6" ht="13.5">
      <c r="A95" s="2858">
        <v>21</v>
      </c>
      <c r="B95" s="3518"/>
      <c r="C95" s="2832" t="s">
        <v>2691</v>
      </c>
      <c r="D95" s="2832" t="s">
        <v>2692</v>
      </c>
      <c r="E95" s="2858">
        <v>0.15</v>
      </c>
      <c r="F95" s="2858">
        <v>20</v>
      </c>
    </row>
    <row r="96" spans="1:6" ht="13.5">
      <c r="A96" s="2858">
        <v>22</v>
      </c>
      <c r="B96" s="3518"/>
      <c r="C96" s="2832" t="s">
        <v>2693</v>
      </c>
      <c r="D96" s="2832" t="s">
        <v>2694</v>
      </c>
      <c r="E96" s="2858">
        <v>0.15</v>
      </c>
      <c r="F96" s="2858">
        <v>20</v>
      </c>
    </row>
    <row r="97" spans="1:6" ht="36">
      <c r="A97" s="2858">
        <v>23</v>
      </c>
      <c r="B97" s="3518"/>
      <c r="C97" s="2832" t="s">
        <v>2695</v>
      </c>
      <c r="D97" s="2832" t="s">
        <v>2696</v>
      </c>
      <c r="E97" s="2858">
        <v>0.15</v>
      </c>
      <c r="F97" s="2858">
        <v>20</v>
      </c>
    </row>
    <row r="98" spans="1:6" ht="13.5">
      <c r="A98" s="2858">
        <v>24</v>
      </c>
      <c r="B98" s="3518"/>
      <c r="C98" s="2832" t="s">
        <v>2697</v>
      </c>
      <c r="D98" s="2832" t="s">
        <v>2698</v>
      </c>
      <c r="E98" s="2858">
        <v>0.1</v>
      </c>
      <c r="F98" s="2858">
        <v>15</v>
      </c>
    </row>
    <row r="99" spans="1:6" ht="13.5">
      <c r="A99" s="2858">
        <v>25</v>
      </c>
      <c r="B99" s="3518"/>
      <c r="C99" s="2832" t="s">
        <v>2699</v>
      </c>
      <c r="D99" s="2832" t="s">
        <v>2700</v>
      </c>
      <c r="E99" s="2858">
        <v>0.1</v>
      </c>
      <c r="F99" s="2858">
        <v>15</v>
      </c>
    </row>
    <row r="100" spans="1:6" ht="24">
      <c r="A100" s="2858">
        <v>26</v>
      </c>
      <c r="B100" s="3518"/>
      <c r="C100" s="2832" t="s">
        <v>2701</v>
      </c>
      <c r="D100" s="2832" t="s">
        <v>2702</v>
      </c>
      <c r="E100" s="2858">
        <v>0.1</v>
      </c>
      <c r="F100" s="2858">
        <v>15</v>
      </c>
    </row>
    <row r="101" spans="1:6" ht="24">
      <c r="A101" s="2858">
        <v>27</v>
      </c>
      <c r="B101" s="3518"/>
      <c r="C101" s="2832" t="s">
        <v>2703</v>
      </c>
      <c r="D101" s="2832" t="s">
        <v>2704</v>
      </c>
      <c r="E101" s="2858">
        <v>0.1</v>
      </c>
      <c r="F101" s="2858">
        <v>15</v>
      </c>
    </row>
    <row r="102" spans="1:6" ht="13.5">
      <c r="A102" s="2858">
        <v>28</v>
      </c>
      <c r="B102" s="3518"/>
      <c r="C102" s="2832" t="s">
        <v>2705</v>
      </c>
      <c r="D102" s="2832" t="s">
        <v>2706</v>
      </c>
      <c r="E102" s="2858">
        <v>0.1</v>
      </c>
      <c r="F102" s="2858">
        <v>15</v>
      </c>
    </row>
    <row r="103" spans="1:6" ht="13.5">
      <c r="A103" s="2858">
        <v>29</v>
      </c>
      <c r="B103" s="3518"/>
      <c r="C103" s="2832" t="s">
        <v>2707</v>
      </c>
      <c r="D103" s="2832" t="s">
        <v>2708</v>
      </c>
      <c r="E103" s="2858">
        <v>0.1</v>
      </c>
      <c r="F103" s="2858">
        <v>15</v>
      </c>
    </row>
    <row r="104" spans="1:6" ht="13.5">
      <c r="A104" s="2858">
        <v>30</v>
      </c>
      <c r="B104" s="3518"/>
      <c r="C104" s="2832" t="s">
        <v>2709</v>
      </c>
      <c r="D104" s="2832" t="s">
        <v>2710</v>
      </c>
      <c r="E104" s="2858">
        <v>0.1</v>
      </c>
      <c r="F104" s="2858">
        <v>15</v>
      </c>
    </row>
    <row r="105" spans="1:6" ht="24">
      <c r="A105" s="2858">
        <v>31</v>
      </c>
      <c r="B105" s="3518"/>
      <c r="C105" s="2832" t="s">
        <v>2711</v>
      </c>
      <c r="D105" s="2832" t="s">
        <v>2712</v>
      </c>
      <c r="E105" s="2858">
        <v>0.1</v>
      </c>
      <c r="F105" s="2858">
        <v>15</v>
      </c>
    </row>
    <row r="106" spans="1:6" ht="24">
      <c r="A106" s="2858">
        <v>32</v>
      </c>
      <c r="B106" s="3518"/>
      <c r="C106" s="2832" t="s">
        <v>2713</v>
      </c>
      <c r="D106" s="2832" t="s">
        <v>2714</v>
      </c>
      <c r="E106" s="2858">
        <v>0.1</v>
      </c>
      <c r="F106" s="2858">
        <v>15</v>
      </c>
    </row>
    <row r="107" spans="1:6" ht="24">
      <c r="A107" s="2858">
        <v>33</v>
      </c>
      <c r="B107" s="3518"/>
      <c r="C107" s="2832" t="s">
        <v>2715</v>
      </c>
      <c r="D107" s="2832" t="s">
        <v>2716</v>
      </c>
      <c r="E107" s="2858">
        <v>0.1</v>
      </c>
      <c r="F107" s="2858">
        <v>15</v>
      </c>
    </row>
    <row r="108" spans="1:6" ht="24">
      <c r="A108" s="2858">
        <v>34</v>
      </c>
      <c r="B108" s="3524"/>
      <c r="C108" s="2832" t="s">
        <v>2717</v>
      </c>
      <c r="D108" s="2832" t="s">
        <v>2718</v>
      </c>
      <c r="E108" s="2858">
        <v>0.1</v>
      </c>
      <c r="F108" s="2858">
        <v>15</v>
      </c>
    </row>
    <row r="109" spans="1:6" ht="24">
      <c r="A109" s="2858">
        <v>35</v>
      </c>
      <c r="B109" s="3519" t="s">
        <v>2719</v>
      </c>
      <c r="C109" s="2858" t="s">
        <v>2720</v>
      </c>
      <c r="D109" s="2832" t="s">
        <v>2721</v>
      </c>
      <c r="E109" s="2858">
        <v>0.15</v>
      </c>
      <c r="F109" s="2858">
        <v>20</v>
      </c>
    </row>
    <row r="110" spans="1:6" ht="13.5">
      <c r="A110" s="2858">
        <v>36</v>
      </c>
      <c r="B110" s="3518"/>
      <c r="C110" s="2858" t="s">
        <v>2722</v>
      </c>
      <c r="D110" s="2832" t="s">
        <v>2723</v>
      </c>
      <c r="E110" s="2858">
        <v>0.15</v>
      </c>
      <c r="F110" s="2858">
        <v>20</v>
      </c>
    </row>
    <row r="111" spans="1:6" ht="13.5">
      <c r="A111" s="2858">
        <v>37</v>
      </c>
      <c r="B111" s="3518"/>
      <c r="C111" s="2858" t="s">
        <v>2724</v>
      </c>
      <c r="D111" s="2832" t="s">
        <v>2725</v>
      </c>
      <c r="E111" s="2858">
        <v>0.15</v>
      </c>
      <c r="F111" s="2858">
        <v>20</v>
      </c>
    </row>
    <row r="112" spans="1:6" ht="13.5">
      <c r="A112" s="2858">
        <v>38</v>
      </c>
      <c r="B112" s="3518"/>
      <c r="C112" s="2858" t="s">
        <v>2726</v>
      </c>
      <c r="D112" s="2832" t="s">
        <v>2727</v>
      </c>
      <c r="E112" s="2858">
        <v>0.1</v>
      </c>
      <c r="F112" s="2858">
        <v>15</v>
      </c>
    </row>
    <row r="113" spans="1:6" ht="24">
      <c r="A113" s="2858">
        <v>39</v>
      </c>
      <c r="B113" s="3518"/>
      <c r="C113" s="2858" t="s">
        <v>2728</v>
      </c>
      <c r="D113" s="2832" t="s">
        <v>2729</v>
      </c>
      <c r="E113" s="2858">
        <v>0.1</v>
      </c>
      <c r="F113" s="2858">
        <v>15</v>
      </c>
    </row>
    <row r="114" spans="1:6" ht="24">
      <c r="A114" s="2858">
        <v>40</v>
      </c>
      <c r="B114" s="3524"/>
      <c r="C114" s="2858" t="s">
        <v>2730</v>
      </c>
      <c r="D114" s="2832" t="s">
        <v>2731</v>
      </c>
      <c r="E114" s="2858">
        <v>0.1</v>
      </c>
      <c r="F114" s="2858">
        <v>15</v>
      </c>
    </row>
    <row r="115" spans="1:6" ht="13.5">
      <c r="A115" s="2858">
        <v>41</v>
      </c>
      <c r="B115" s="3512" t="s">
        <v>2732</v>
      </c>
      <c r="C115" s="2858" t="s">
        <v>2733</v>
      </c>
      <c r="D115" s="2832" t="s">
        <v>2734</v>
      </c>
      <c r="E115" s="2858">
        <v>0.1</v>
      </c>
      <c r="F115" s="2858">
        <v>15</v>
      </c>
    </row>
    <row r="116" spans="1:6" ht="13.5">
      <c r="A116" s="2858">
        <v>42</v>
      </c>
      <c r="B116" s="3512"/>
      <c r="C116" s="2858" t="s">
        <v>2735</v>
      </c>
      <c r="D116" s="2832" t="s">
        <v>2736</v>
      </c>
      <c r="E116" s="2858">
        <v>0.1</v>
      </c>
      <c r="F116" s="2858">
        <v>15</v>
      </c>
    </row>
    <row r="117" spans="1:6" ht="24">
      <c r="A117" s="2858">
        <v>43</v>
      </c>
      <c r="B117" s="3512"/>
      <c r="C117" s="2858" t="s">
        <v>2737</v>
      </c>
      <c r="D117" s="2832" t="s">
        <v>2738</v>
      </c>
      <c r="E117" s="2858">
        <v>0.1</v>
      </c>
      <c r="F117" s="2858">
        <v>15</v>
      </c>
    </row>
    <row r="118" spans="1:6" ht="13.5">
      <c r="A118" s="2858">
        <v>44</v>
      </c>
      <c r="B118" s="3519" t="s">
        <v>2739</v>
      </c>
      <c r="C118" s="2858" t="s">
        <v>2740</v>
      </c>
      <c r="D118" s="2832" t="s">
        <v>2741</v>
      </c>
      <c r="E118" s="2858">
        <v>0.1</v>
      </c>
      <c r="F118" s="2858">
        <v>15</v>
      </c>
    </row>
    <row r="119" spans="1:6" ht="24">
      <c r="A119" s="2858">
        <v>45</v>
      </c>
      <c r="B119" s="3524"/>
      <c r="C119" s="2832" t="s">
        <v>2742</v>
      </c>
      <c r="D119" s="2832" t="s">
        <v>2743</v>
      </c>
      <c r="E119" s="2858">
        <v>0.1</v>
      </c>
      <c r="F119" s="2858">
        <v>15</v>
      </c>
    </row>
    <row r="120" spans="1:6" ht="24">
      <c r="A120" s="2858">
        <v>46</v>
      </c>
      <c r="B120" s="3519" t="s">
        <v>2744</v>
      </c>
      <c r="C120" s="2858" t="s">
        <v>2745</v>
      </c>
      <c r="D120" s="2832" t="s">
        <v>2746</v>
      </c>
      <c r="E120" s="2858">
        <v>0.1</v>
      </c>
      <c r="F120" s="2858">
        <v>15</v>
      </c>
    </row>
    <row r="121" spans="1:6" ht="24">
      <c r="A121" s="2858">
        <v>47</v>
      </c>
      <c r="B121" s="3524"/>
      <c r="C121" s="2858" t="s">
        <v>2747</v>
      </c>
      <c r="D121" s="2832" t="s">
        <v>2748</v>
      </c>
      <c r="E121" s="2858">
        <v>0.1</v>
      </c>
      <c r="F121" s="2858">
        <v>15</v>
      </c>
    </row>
    <row r="122" spans="1:6" ht="13.5">
      <c r="A122" s="2858">
        <v>48</v>
      </c>
      <c r="B122" s="3519" t="s">
        <v>2749</v>
      </c>
      <c r="C122" s="2858" t="s">
        <v>2750</v>
      </c>
      <c r="D122" s="2832" t="s">
        <v>2751</v>
      </c>
      <c r="E122" s="2858">
        <v>0.1</v>
      </c>
      <c r="F122" s="2858">
        <v>15</v>
      </c>
    </row>
    <row r="123" spans="1:6" ht="13.5">
      <c r="A123" s="2858">
        <v>49</v>
      </c>
      <c r="B123" s="3524"/>
      <c r="C123" s="2858" t="s">
        <v>2752</v>
      </c>
      <c r="D123" s="2832" t="s">
        <v>2753</v>
      </c>
      <c r="E123" s="2858">
        <v>0.1</v>
      </c>
      <c r="F123" s="2858">
        <v>15</v>
      </c>
    </row>
    <row r="124" spans="1:6" ht="24">
      <c r="A124" s="2858">
        <v>50</v>
      </c>
      <c r="B124" s="3512" t="s">
        <v>2754</v>
      </c>
      <c r="C124" s="2858" t="s">
        <v>2755</v>
      </c>
      <c r="D124" s="2832" t="s">
        <v>2756</v>
      </c>
      <c r="E124" s="2858">
        <v>0.1</v>
      </c>
      <c r="F124" s="2858">
        <v>15</v>
      </c>
    </row>
    <row r="125" spans="1:6" ht="24">
      <c r="A125" s="2858">
        <v>51</v>
      </c>
      <c r="B125" s="3512"/>
      <c r="C125" s="2858" t="s">
        <v>2757</v>
      </c>
      <c r="D125" s="2832" t="s">
        <v>2758</v>
      </c>
      <c r="E125" s="2858">
        <v>0.1</v>
      </c>
      <c r="F125" s="2858">
        <v>15</v>
      </c>
    </row>
    <row r="126" spans="1:6" ht="24">
      <c r="A126" s="2858">
        <v>52</v>
      </c>
      <c r="B126" s="3512" t="s">
        <v>2759</v>
      </c>
      <c r="C126" s="2858" t="s">
        <v>2760</v>
      </c>
      <c r="D126" s="2832" t="s">
        <v>2761</v>
      </c>
      <c r="E126" s="2858">
        <v>0.1</v>
      </c>
      <c r="F126" s="2858">
        <v>15</v>
      </c>
    </row>
    <row r="127" spans="1:6" ht="24">
      <c r="A127" s="2858">
        <v>53</v>
      </c>
      <c r="B127" s="3512"/>
      <c r="C127" s="2858" t="s">
        <v>2762</v>
      </c>
      <c r="D127" s="2832" t="s">
        <v>2763</v>
      </c>
      <c r="E127" s="2858">
        <v>0.1</v>
      </c>
      <c r="F127" s="2858">
        <v>15</v>
      </c>
    </row>
    <row r="128" spans="1:6" ht="13.5">
      <c r="A128" s="2858">
        <v>54</v>
      </c>
      <c r="B128" s="2858" t="s">
        <v>2764</v>
      </c>
      <c r="C128" s="2858" t="s">
        <v>2765</v>
      </c>
      <c r="D128" s="2832" t="s">
        <v>2766</v>
      </c>
      <c r="E128" s="2858">
        <v>0.1</v>
      </c>
      <c r="F128" s="2858">
        <v>15</v>
      </c>
    </row>
    <row r="129" spans="1:6" ht="13.5">
      <c r="A129" s="2858">
        <v>55</v>
      </c>
      <c r="B129" s="3512" t="s">
        <v>2767</v>
      </c>
      <c r="C129" s="2858" t="s">
        <v>2768</v>
      </c>
      <c r="D129" s="2832" t="s">
        <v>2769</v>
      </c>
      <c r="E129" s="2858">
        <v>0.1</v>
      </c>
      <c r="F129" s="2858">
        <v>15</v>
      </c>
    </row>
    <row r="130" spans="1:6" ht="13.5">
      <c r="A130" s="2858">
        <v>56</v>
      </c>
      <c r="B130" s="3512"/>
      <c r="C130" s="2858" t="s">
        <v>2770</v>
      </c>
      <c r="D130" s="2832" t="s">
        <v>2771</v>
      </c>
      <c r="E130" s="2858">
        <v>0.1</v>
      </c>
      <c r="F130" s="2858">
        <v>15</v>
      </c>
    </row>
    <row r="131" spans="1:6" ht="24">
      <c r="A131" s="2858">
        <v>57</v>
      </c>
      <c r="B131" s="3512"/>
      <c r="C131" s="2858" t="s">
        <v>2772</v>
      </c>
      <c r="D131" s="2832" t="s">
        <v>2773</v>
      </c>
      <c r="E131" s="2858">
        <v>0.1</v>
      </c>
      <c r="F131" s="2858">
        <v>15</v>
      </c>
    </row>
    <row r="132" spans="1:6" ht="24">
      <c r="A132" s="2858">
        <v>58</v>
      </c>
      <c r="B132" s="3512" t="s">
        <v>2774</v>
      </c>
      <c r="C132" s="2858" t="s">
        <v>2775</v>
      </c>
      <c r="D132" s="2832" t="s">
        <v>2776</v>
      </c>
      <c r="E132" s="2858">
        <v>0.1</v>
      </c>
      <c r="F132" s="2858">
        <v>15</v>
      </c>
    </row>
    <row r="133" spans="1:6" ht="13.5">
      <c r="A133" s="2858">
        <v>59</v>
      </c>
      <c r="B133" s="3512"/>
      <c r="C133" s="2858" t="s">
        <v>2777</v>
      </c>
      <c r="D133" s="2832" t="s">
        <v>2778</v>
      </c>
      <c r="E133" s="2858">
        <v>0.1</v>
      </c>
      <c r="F133" s="2858">
        <v>15</v>
      </c>
    </row>
    <row r="134" spans="1:6" ht="13.5">
      <c r="A134" s="2858">
        <v>60</v>
      </c>
      <c r="B134" s="3519" t="s">
        <v>2779</v>
      </c>
      <c r="C134" s="2858" t="s">
        <v>2780</v>
      </c>
      <c r="D134" s="2832" t="s">
        <v>2781</v>
      </c>
      <c r="E134" s="2858">
        <v>0.1</v>
      </c>
      <c r="F134" s="2858">
        <v>15</v>
      </c>
    </row>
    <row r="135" spans="1:6" ht="13.5">
      <c r="A135" s="2858">
        <v>61</v>
      </c>
      <c r="B135" s="3524"/>
      <c r="C135" s="2858" t="s">
        <v>2782</v>
      </c>
      <c r="D135" s="2832" t="s">
        <v>2783</v>
      </c>
      <c r="E135" s="2858">
        <v>0.1</v>
      </c>
      <c r="F135" s="2858">
        <v>15</v>
      </c>
    </row>
    <row r="136" spans="1:6" ht="24">
      <c r="A136" s="2858">
        <v>62</v>
      </c>
      <c r="B136" s="2858" t="s">
        <v>2784</v>
      </c>
      <c r="C136" s="2858" t="s">
        <v>2785</v>
      </c>
      <c r="D136" s="2832" t="s">
        <v>2786</v>
      </c>
      <c r="E136" s="2858">
        <v>0.1</v>
      </c>
      <c r="F136" s="2858">
        <v>15</v>
      </c>
    </row>
    <row r="137" spans="1:6" ht="13.5">
      <c r="A137" s="2858">
        <v>63</v>
      </c>
      <c r="B137" s="3512" t="s">
        <v>2787</v>
      </c>
      <c r="C137" s="2858" t="s">
        <v>2788</v>
      </c>
      <c r="D137" s="2832" t="s">
        <v>2789</v>
      </c>
      <c r="E137" s="2858">
        <v>0.1</v>
      </c>
      <c r="F137" s="2858">
        <v>15</v>
      </c>
    </row>
    <row r="138" spans="1:6" ht="13.5">
      <c r="A138" s="2858">
        <v>64</v>
      </c>
      <c r="B138" s="3512"/>
      <c r="C138" s="2858" t="s">
        <v>2790</v>
      </c>
      <c r="D138" s="2832" t="s">
        <v>2791</v>
      </c>
      <c r="E138" s="2858">
        <v>0.1</v>
      </c>
      <c r="F138" s="2858">
        <v>15</v>
      </c>
    </row>
    <row r="139" spans="1:6" ht="13.5">
      <c r="A139" s="2858">
        <v>65</v>
      </c>
      <c r="B139" s="2858" t="s">
        <v>2792</v>
      </c>
      <c r="C139" s="2858" t="s">
        <v>2793</v>
      </c>
      <c r="D139" s="2832" t="s">
        <v>2794</v>
      </c>
      <c r="E139" s="2858">
        <v>0.1</v>
      </c>
      <c r="F139" s="2858">
        <v>15</v>
      </c>
    </row>
    <row r="140" spans="1:6" ht="13.5">
      <c r="A140" s="2858"/>
      <c r="B140" s="2858"/>
      <c r="C140" s="2858"/>
      <c r="D140" s="2858"/>
      <c r="E140" s="2858" t="s">
        <v>2795</v>
      </c>
      <c r="F140" s="2858"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5" t="str">
        <f>IF(项目基本情况!B9="房地产市场价值","估价结果一览表","结果表-2")</f>
        <v>估价结果一览表</v>
      </c>
      <c r="B1" s="3215"/>
      <c r="C1" s="3215"/>
      <c r="D1" s="3215"/>
      <c r="E1" s="3215"/>
      <c r="F1" s="3215"/>
      <c r="G1" s="3215"/>
      <c r="H1" s="3215"/>
      <c r="I1" s="3215"/>
    </row>
    <row r="2" spans="1:9" ht="30" customHeight="1" thickTop="1">
      <c r="A2" s="3216" t="s">
        <v>927</v>
      </c>
      <c r="B2" s="3216" t="s">
        <v>928</v>
      </c>
      <c r="C2" s="3216" t="s">
        <v>929</v>
      </c>
      <c r="D2" s="3216" t="str">
        <f>'结果表-1层商业'!D116</f>
        <v>出让国有建设用地使用权价值</v>
      </c>
      <c r="E2" s="3216"/>
      <c r="F2" s="3216" t="str">
        <f>'结果表-1层商业'!F116</f>
        <v>在建建筑物价值</v>
      </c>
      <c r="G2" s="3216"/>
      <c r="H2" s="3216" t="str">
        <f>IF(项目基本情况!B9="房地产市场价值","房地产市场价值","房地产价值")</f>
        <v>房地产市场价值</v>
      </c>
      <c r="I2" s="3216"/>
    </row>
    <row r="3" spans="1:9" ht="15">
      <c r="A3" s="3217"/>
      <c r="B3" s="3217"/>
      <c r="C3" s="3217"/>
      <c r="D3" s="801" t="s">
        <v>924</v>
      </c>
      <c r="E3" s="801" t="s">
        <v>930</v>
      </c>
      <c r="F3" s="801" t="s">
        <v>924</v>
      </c>
      <c r="G3" s="801" t="s">
        <v>925</v>
      </c>
      <c r="H3" s="801" t="s">
        <v>924</v>
      </c>
      <c r="I3" s="801" t="s">
        <v>925</v>
      </c>
    </row>
    <row r="4" spans="1:9" ht="15">
      <c r="A4" s="1403" t="str">
        <f>项目基本情况!S2</f>
        <v>房地产</v>
      </c>
      <c r="B4" s="801">
        <f>项目基本情况!C17</f>
        <v>11841.610000000006</v>
      </c>
      <c r="C4" s="801">
        <f>项目基本情况!C18</f>
        <v>0</v>
      </c>
      <c r="D4" s="801" t="e">
        <f ca="1">'结果表-1层商业'!D118</f>
        <v>#REF!</v>
      </c>
      <c r="E4" s="801" t="e">
        <f ca="1">'结果表-1层商业'!E118</f>
        <v>#REF!</v>
      </c>
      <c r="F4" s="801" t="e">
        <f ca="1">'结果表-1层商业'!F118</f>
        <v>#REF!</v>
      </c>
      <c r="G4" s="801" t="e">
        <f ca="1">'结果表-1层商业'!G118</f>
        <v>#REF!</v>
      </c>
      <c r="H4" s="801" t="e">
        <f ca="1">'结果表-1层商业'!H118</f>
        <v>#REF!</v>
      </c>
      <c r="I4" s="801" t="e">
        <f ca="1">'结果表-1层商业'!I118</f>
        <v>#REF!</v>
      </c>
    </row>
    <row r="5" spans="1:9" ht="30" customHeight="1">
      <c r="A5" s="3217" t="s">
        <v>926</v>
      </c>
      <c r="B5" s="3217"/>
      <c r="C5" s="3217"/>
      <c r="D5" s="3217" t="e">
        <f ca="1">'结果表-1层商业'!D119</f>
        <v>#REF!</v>
      </c>
      <c r="E5" s="3217"/>
      <c r="F5" s="3217" t="e">
        <f ca="1">'结果表-1层商业'!F119</f>
        <v>#REF!</v>
      </c>
      <c r="G5" s="3217"/>
      <c r="H5" s="3217" t="e">
        <f ca="1">'结果表-1层商业'!H119</f>
        <v>#REF!</v>
      </c>
      <c r="I5" s="3217"/>
    </row>
    <row r="6" spans="1:9" ht="15.75">
      <c r="A6" s="3218" t="str">
        <f>'结果表-1层商业'!A120</f>
        <v/>
      </c>
      <c r="B6" s="3218"/>
      <c r="C6" s="3218"/>
      <c r="D6" s="3218">
        <f>'结果表-1层商业'!D120</f>
        <v>0</v>
      </c>
      <c r="E6" s="3218"/>
      <c r="F6" s="3218"/>
      <c r="G6" s="3218"/>
      <c r="H6" s="3218"/>
      <c r="I6" s="3218"/>
    </row>
    <row r="7" spans="1:9" ht="15">
      <c r="A7" s="3217" t="s">
        <v>926</v>
      </c>
      <c r="B7" s="3217"/>
      <c r="C7" s="3217"/>
      <c r="D7" s="3219" t="str">
        <f>'结果表-1层商业'!D121</f>
        <v>零元整</v>
      </c>
      <c r="E7" s="3220"/>
      <c r="F7" s="3220"/>
      <c r="G7" s="3220"/>
      <c r="H7" s="3220"/>
      <c r="I7" s="3221"/>
    </row>
    <row r="8" spans="1:9" ht="15.75">
      <c r="A8" s="3218" t="str">
        <f>'结果表-1层商业'!A122</f>
        <v/>
      </c>
      <c r="B8" s="3218"/>
      <c r="C8" s="3218"/>
      <c r="D8" s="3218" t="e">
        <f ca="1">'结果表-1层商业'!D122</f>
        <v>#REF!</v>
      </c>
      <c r="E8" s="3218"/>
      <c r="F8" s="3218"/>
      <c r="G8" s="3218"/>
      <c r="H8" s="3218"/>
      <c r="I8" s="3218"/>
    </row>
    <row r="9" spans="1:9" ht="15">
      <c r="A9" s="3217" t="s">
        <v>926</v>
      </c>
      <c r="B9" s="3217"/>
      <c r="C9" s="3217"/>
      <c r="D9" s="3217" t="e">
        <f ca="1">'结果表-1层商业'!D123</f>
        <v>#REF!</v>
      </c>
      <c r="E9" s="3217"/>
      <c r="F9" s="3217"/>
      <c r="G9" s="3217"/>
      <c r="H9" s="3217"/>
      <c r="I9" s="3217"/>
    </row>
    <row r="10" spans="1:9" ht="15.75">
      <c r="A10" s="3218" t="str">
        <f>'结果表-1层商业'!A124</f>
        <v/>
      </c>
      <c r="B10" s="3218"/>
      <c r="C10" s="3218"/>
      <c r="D10" s="3218" t="str">
        <f>'结果表-1层商业'!D124</f>
        <v>——</v>
      </c>
      <c r="E10" s="3218"/>
      <c r="F10" s="3218"/>
      <c r="G10" s="3218"/>
      <c r="H10" s="3218"/>
      <c r="I10" s="3218"/>
    </row>
    <row r="11" spans="1:9" ht="15">
      <c r="A11" s="3217" t="s">
        <v>926</v>
      </c>
      <c r="B11" s="3217"/>
      <c r="C11" s="3217"/>
      <c r="D11" s="3217" t="e">
        <f>'结果表-1层商业'!D125</f>
        <v>#VALUE!</v>
      </c>
      <c r="E11" s="3217"/>
      <c r="F11" s="3217"/>
      <c r="G11" s="3217"/>
      <c r="H11" s="3217"/>
      <c r="I11" s="3217"/>
    </row>
    <row r="12" spans="1:9" ht="15.75">
      <c r="A12" s="3218" t="str">
        <f>'结果表-1层商业'!A126</f>
        <v/>
      </c>
      <c r="B12" s="3218"/>
      <c r="C12" s="3218"/>
      <c r="D12" s="3218" t="str">
        <f>'结果表-1层商业'!D126</f>
        <v>——</v>
      </c>
      <c r="E12" s="3218"/>
      <c r="F12" s="3218"/>
      <c r="G12" s="3218"/>
      <c r="H12" s="3218"/>
      <c r="I12" s="3218"/>
    </row>
    <row r="13" spans="1:9" ht="15.75" thickBot="1">
      <c r="A13" s="3222" t="s">
        <v>926</v>
      </c>
      <c r="B13" s="3222"/>
      <c r="C13" s="3222"/>
      <c r="D13" s="3222" t="e">
        <f>'结果表-1层商业'!D127</f>
        <v>#VALUE!</v>
      </c>
      <c r="E13" s="3222"/>
      <c r="F13" s="3222"/>
      <c r="G13" s="3222"/>
      <c r="H13" s="3222"/>
      <c r="I13" s="3222"/>
    </row>
    <row r="14" spans="1:9" ht="15" thickTop="1">
      <c r="A14" s="3223" t="s">
        <v>931</v>
      </c>
      <c r="B14" s="3223"/>
      <c r="C14" s="3223"/>
      <c r="D14" s="3223"/>
      <c r="E14" s="3223"/>
      <c r="F14" s="3223"/>
      <c r="G14" s="3223"/>
      <c r="H14" s="3223"/>
      <c r="I14" s="3223"/>
    </row>
    <row r="16" spans="1:9" ht="18.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30489</v>
      </c>
      <c r="C2" s="2" t="s">
        <v>106</v>
      </c>
      <c r="D2" s="191"/>
      <c r="E2" s="191"/>
      <c r="F2" s="191"/>
      <c r="G2" s="191"/>
    </row>
    <row r="3" spans="1:7" s="192" customFormat="1" ht="18" customHeight="1" thickBot="1">
      <c r="A3" s="195" t="s">
        <v>58</v>
      </c>
      <c r="B3" s="196">
        <f ca="1">ROUND(B2*10000/'数据-汇总表'!E3,0)</f>
        <v>25747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246</v>
      </c>
      <c r="F9" s="213"/>
      <c r="G9" s="218"/>
    </row>
    <row r="10" spans="1:7" s="206" customFormat="1" ht="13.5" customHeight="1">
      <c r="A10" s="733" t="s">
        <v>356</v>
      </c>
      <c r="B10" s="216" t="s">
        <v>67</v>
      </c>
      <c r="C10" s="217">
        <f>ROUND(D10*E10/10000,0)</f>
        <v>291</v>
      </c>
      <c r="D10" s="795">
        <f>'数据-汇总表'!E6</f>
        <v>11841.610000000006</v>
      </c>
      <c r="E10" s="217">
        <f>'数据-取费表'!B28</f>
        <v>246</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237</v>
      </c>
      <c r="D19" s="204">
        <f>'数据-汇总表'!E3</f>
        <v>11841.610000000006</v>
      </c>
      <c r="E19" s="203">
        <f>'数据-取费表'!B31</f>
        <v>200</v>
      </c>
      <c r="F19" s="223"/>
      <c r="G19" s="1" t="s">
        <v>436</v>
      </c>
    </row>
    <row r="20" spans="1:7" s="206" customFormat="1" ht="13.5" customHeight="1">
      <c r="A20" s="731" t="s">
        <v>419</v>
      </c>
      <c r="B20" s="202" t="s">
        <v>77</v>
      </c>
      <c r="C20" s="224">
        <f>ROUND((C5+C19)*F20,0)</f>
        <v>208</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1332</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1474</v>
      </c>
      <c r="D27" s="227">
        <f>C29</f>
        <v>2.0999999999999999E-3</v>
      </c>
      <c r="E27" s="228" t="s">
        <v>99</v>
      </c>
      <c r="F27" s="238">
        <f>'数据-取费表'!Q16</f>
        <v>7.0000000000000007E-2</v>
      </c>
      <c r="G27" s="239" t="s">
        <v>431</v>
      </c>
    </row>
    <row r="28" spans="1:7" s="206" customFormat="1" ht="13.5" customHeight="1">
      <c r="A28" s="734" t="s">
        <v>349</v>
      </c>
      <c r="B28" s="240" t="s">
        <v>424</v>
      </c>
      <c r="C28" s="241">
        <f>ROUND((C5+C19+C20)*F27*'数据-取费表'!B21/'数据-取费表'!B20,0)</f>
        <v>1474</v>
      </c>
      <c r="D28" s="227"/>
      <c r="E28" s="228"/>
      <c r="F28" s="238"/>
      <c r="G28" s="239"/>
    </row>
    <row r="29" spans="1:7" s="206" customFormat="1" ht="13.5" customHeight="1">
      <c r="A29" s="734" t="s">
        <v>347</v>
      </c>
      <c r="B29" s="240" t="s">
        <v>425</v>
      </c>
      <c r="C29" s="230">
        <f>ROUND(C21*F27*'数据-取费表'!B21/'数据-取费表'!B20,4)</f>
        <v>2.0999999999999999E-3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4227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3678</v>
      </c>
      <c r="D34" s="209"/>
      <c r="E34" s="212"/>
      <c r="F34" s="249">
        <f>IF('数据-取费表'!B24=0,1,'数据-取费表'!N16)</f>
        <v>1</v>
      </c>
      <c r="G34" s="211" t="s">
        <v>89</v>
      </c>
    </row>
    <row r="35" spans="1:7" ht="13.5" customHeight="1">
      <c r="A35" s="734" t="s">
        <v>351</v>
      </c>
      <c r="B35" s="207" t="s">
        <v>33</v>
      </c>
      <c r="C35" s="212">
        <f>ROUND(C34*F35,0)</f>
        <v>184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291</v>
      </c>
      <c r="D37" s="209">
        <f>'数据-汇总表'!E3</f>
        <v>11841.610000000006</v>
      </c>
      <c r="E37" s="241">
        <f>'数据-取费表'!B35</f>
        <v>246</v>
      </c>
      <c r="F37" s="251"/>
      <c r="G37" s="253" t="s">
        <v>92</v>
      </c>
    </row>
    <row r="38" spans="1:7" ht="13.5" customHeight="1">
      <c r="A38" s="734" t="s">
        <v>354</v>
      </c>
      <c r="B38" s="207" t="s">
        <v>36</v>
      </c>
      <c r="C38" s="212">
        <f>ROUND(C34*F38,0)</f>
        <v>74</v>
      </c>
      <c r="D38" s="212"/>
      <c r="E38" s="212"/>
      <c r="F38" s="251">
        <f>'数据-取费表'!B36</f>
        <v>0.02</v>
      </c>
      <c r="G38" s="211" t="s">
        <v>90</v>
      </c>
    </row>
    <row r="39" spans="1:7" s="206" customFormat="1" ht="13.5" customHeight="1">
      <c r="A39" s="731" t="s">
        <v>338</v>
      </c>
      <c r="B39" s="202" t="s">
        <v>77</v>
      </c>
      <c r="C39" s="224">
        <f>ROUND(C33*F20,0)</f>
        <v>42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132</v>
      </c>
      <c r="D42" s="230"/>
      <c r="E42" s="230"/>
      <c r="F42" s="231"/>
      <c r="G42" s="3386" t="s">
        <v>94</v>
      </c>
    </row>
    <row r="43" spans="1:7" ht="13.5" customHeight="1">
      <c r="A43" s="734" t="s">
        <v>347</v>
      </c>
      <c r="B43" s="207" t="s">
        <v>426</v>
      </c>
      <c r="C43" s="230">
        <f ca="1">ROUND(IF('数据-取费表'!B22&lt;=1,C39*F22*'数据-取费表'!B21/2,C39*(POWER((1+F22),'数据-取费表'!B21/2)-1)),0)</f>
        <v>1</v>
      </c>
      <c r="D43" s="230"/>
      <c r="E43" s="230"/>
      <c r="F43" s="231"/>
      <c r="G43" s="3387"/>
    </row>
    <row r="44" spans="1:7" ht="13.5" customHeight="1">
      <c r="A44" s="734" t="s">
        <v>348</v>
      </c>
      <c r="B44" s="207" t="s">
        <v>428</v>
      </c>
      <c r="C44" s="230">
        <f ca="1">ROUND(IF('数据-取费表'!B22&lt;=1,C40*F22*'数据-取费表'!B21/2,C40*(POWER((1+F22),'数据-取费表'!B21/2)-1)),4)</f>
        <v>8.9999999999999998E-4</v>
      </c>
      <c r="D44" s="230"/>
      <c r="E44" s="230"/>
      <c r="F44" s="231"/>
      <c r="G44" s="3388"/>
    </row>
    <row r="45" spans="1:7" s="206" customFormat="1" ht="13.5" customHeight="1">
      <c r="A45" s="731" t="s">
        <v>341</v>
      </c>
      <c r="B45" s="236" t="s">
        <v>85</v>
      </c>
      <c r="C45" s="237">
        <f>C46</f>
        <v>299</v>
      </c>
      <c r="D45" s="227">
        <f>C47</f>
        <v>2.0999999999999999E-3</v>
      </c>
      <c r="E45" s="228" t="s">
        <v>102</v>
      </c>
      <c r="F45" s="238"/>
      <c r="G45" s="239" t="s">
        <v>434</v>
      </c>
    </row>
    <row r="46" spans="1:7" s="206" customFormat="1" ht="13.5" customHeight="1">
      <c r="A46" s="734" t="s">
        <v>349</v>
      </c>
      <c r="B46" s="240" t="s">
        <v>427</v>
      </c>
      <c r="C46" s="241">
        <f>ROUND((C33+C39)*F27,0)</f>
        <v>299</v>
      </c>
      <c r="D46" s="255"/>
      <c r="E46" s="228"/>
      <c r="F46" s="238"/>
      <c r="G46" s="239"/>
    </row>
    <row r="47" spans="1:7" s="206" customFormat="1" ht="13.5" customHeight="1">
      <c r="A47" s="734" t="s">
        <v>347</v>
      </c>
      <c r="B47" s="240" t="s">
        <v>429</v>
      </c>
      <c r="C47" s="230">
        <f>ROUND(C40*F27,4)</f>
        <v>2.0999999999999999E-3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5145</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4373</v>
      </c>
      <c r="D51" s="224"/>
      <c r="E51" s="224"/>
      <c r="F51" s="256"/>
      <c r="G51" s="226" t="s">
        <v>37</v>
      </c>
    </row>
    <row r="52" spans="1:7" s="200" customFormat="1" ht="16.5" thickBot="1">
      <c r="A52" s="257" t="s">
        <v>38</v>
      </c>
      <c r="B52" s="258"/>
      <c r="C52" s="259">
        <f ca="1">C31+C51</f>
        <v>30489</v>
      </c>
      <c r="D52" s="258"/>
      <c r="E52" s="258"/>
      <c r="F52" s="258"/>
      <c r="G52" s="260"/>
    </row>
    <row r="55" spans="1:7" ht="15">
      <c r="B55" s="262" t="s">
        <v>39</v>
      </c>
      <c r="C55" s="263"/>
    </row>
    <row r="56" spans="1:7">
      <c r="B56" s="265" t="s">
        <v>40</v>
      </c>
      <c r="C56" s="266">
        <f ca="1">ROUND(C51/C52,3)</f>
        <v>0.14299999999999999</v>
      </c>
    </row>
    <row r="57" spans="1:7">
      <c r="B57" s="265" t="s">
        <v>41</v>
      </c>
      <c r="C57" s="267">
        <f ca="1">1-C56</f>
        <v>0.85699999999999998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25" t="s">
        <v>3179</v>
      </c>
      <c r="B1" s="3525"/>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26" t="s">
        <v>3230</v>
      </c>
      <c r="B1" s="3526"/>
      <c r="C1" s="3526"/>
      <c r="D1" s="3526"/>
      <c r="E1" s="3526"/>
      <c r="F1" s="3527"/>
    </row>
    <row r="2" spans="1:6" ht="14.25">
      <c r="A2" s="3003" t="s">
        <v>3231</v>
      </c>
    </row>
    <row r="3" spans="1:6" ht="14.25">
      <c r="A3" s="3003" t="s">
        <v>3232</v>
      </c>
      <c r="F3" s="3004" t="s">
        <v>3233</v>
      </c>
    </row>
    <row r="4" spans="1:6">
      <c r="A4" s="3005" t="s">
        <v>671</v>
      </c>
      <c r="B4" s="3005" t="s">
        <v>672</v>
      </c>
      <c r="C4" s="3005" t="s">
        <v>21</v>
      </c>
      <c r="D4" s="3005" t="s">
        <v>673</v>
      </c>
      <c r="E4" s="3005" t="s">
        <v>3</v>
      </c>
      <c r="F4" s="3005" t="s">
        <v>3234</v>
      </c>
    </row>
    <row r="5" spans="1:6">
      <c r="A5" s="3006" t="s">
        <v>674</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45974</v>
      </c>
      <c r="B1" s="2930" t="s">
        <v>3374</v>
      </c>
      <c r="C1" s="2931"/>
      <c r="D1" s="2931"/>
      <c r="E1" s="2931"/>
      <c r="F1" s="2931"/>
      <c r="G1" s="2931"/>
      <c r="H1" s="2931"/>
      <c r="I1" s="2931"/>
      <c r="J1" s="2897"/>
      <c r="K1" s="2931" t="s">
        <v>453</v>
      </c>
      <c r="L1" s="2931"/>
      <c r="M1" s="2931"/>
      <c r="N1" s="2931"/>
      <c r="O1" s="2931"/>
      <c r="P1" s="2931"/>
      <c r="Q1" s="2897"/>
      <c r="R1" s="3528" t="s">
        <v>455</v>
      </c>
      <c r="S1" s="3529"/>
      <c r="T1" s="3529"/>
      <c r="U1" s="3529"/>
      <c r="V1" s="3529"/>
      <c r="W1" s="3529"/>
      <c r="X1" s="2897"/>
      <c r="Y1" s="3528" t="s">
        <v>456</v>
      </c>
      <c r="Z1" s="3529"/>
      <c r="AA1" s="3529"/>
      <c r="AB1" s="3529"/>
      <c r="AC1" s="3529"/>
      <c r="AD1" s="3529"/>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3399</v>
      </c>
      <c r="AG2" t="s">
        <v>672</v>
      </c>
      <c r="AH2" t="s">
        <v>21</v>
      </c>
      <c r="AI2" t="s">
        <v>3400</v>
      </c>
      <c r="AJ2" t="s">
        <v>3</v>
      </c>
      <c r="AK2" t="s">
        <v>3401</v>
      </c>
      <c r="AM2" t="s">
        <v>3399</v>
      </c>
      <c r="AN2" t="s">
        <v>672</v>
      </c>
      <c r="AO2" t="s">
        <v>21</v>
      </c>
      <c r="AP2" t="s">
        <v>3400</v>
      </c>
      <c r="AQ2" t="s">
        <v>3</v>
      </c>
      <c r="AR2" t="s">
        <v>3401</v>
      </c>
    </row>
    <row r="3" spans="1:44" s="2887" customFormat="1" ht="12.75">
      <c r="A3" s="2885" t="s">
        <v>2817</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3398</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3412</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3413</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3403</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3372</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3371</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3377</v>
      </c>
    </row>
    <row r="27" spans="1:44">
      <c r="I27" s="1405" t="s">
        <v>2823</v>
      </c>
    </row>
    <row r="29" spans="1:44" s="2009" customFormat="1" ht="12.75">
      <c r="B29" s="2930" t="s">
        <v>3375</v>
      </c>
      <c r="C29" s="2931"/>
      <c r="D29" s="2931"/>
      <c r="E29" s="2931"/>
      <c r="F29" s="2931"/>
      <c r="G29" s="2931"/>
      <c r="H29" s="2931"/>
      <c r="I29" s="2931"/>
      <c r="J29" s="2897"/>
      <c r="K29" s="2931" t="s">
        <v>2824</v>
      </c>
      <c r="L29" s="2931"/>
      <c r="M29" s="2931"/>
      <c r="N29" s="2931"/>
      <c r="O29" s="2931"/>
      <c r="P29" s="2931"/>
      <c r="Q29" s="2897"/>
      <c r="R29" s="3528" t="s">
        <v>2825</v>
      </c>
      <c r="S29" s="3529"/>
      <c r="T29" s="3529"/>
      <c r="U29" s="3529"/>
      <c r="V29" s="3529"/>
      <c r="W29" s="3529"/>
      <c r="X29" s="2897"/>
      <c r="Y29" s="3528" t="s">
        <v>2826</v>
      </c>
      <c r="Z29" s="3529"/>
      <c r="AA29" s="3529"/>
      <c r="AB29" s="3529"/>
      <c r="AC29" s="3529"/>
      <c r="AD29" s="3529"/>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672</v>
      </c>
      <c r="AH30" t="s">
        <v>21</v>
      </c>
      <c r="AI30" t="s">
        <v>3400</v>
      </c>
      <c r="AJ30"/>
      <c r="AK30" t="s">
        <v>3401</v>
      </c>
      <c r="AN30" t="s">
        <v>672</v>
      </c>
      <c r="AO30" t="s">
        <v>21</v>
      </c>
      <c r="AP30" t="s">
        <v>3400</v>
      </c>
      <c r="AQ30"/>
      <c r="AR30" t="s">
        <v>3401</v>
      </c>
    </row>
    <row r="31" spans="1:44" s="2887" customFormat="1" ht="12.75">
      <c r="A31" s="2885" t="s">
        <v>2832</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3398</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3414</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3413</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3402</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3403</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3373</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3" t="s">
        <v>451</v>
      </c>
      <c r="C1" s="3533"/>
      <c r="D1" s="3533"/>
      <c r="E1" s="3533"/>
      <c r="F1" s="3533"/>
      <c r="G1" s="3529" t="s">
        <v>452</v>
      </c>
      <c r="H1" s="3529"/>
      <c r="I1" s="3529"/>
      <c r="J1" s="3529"/>
      <c r="K1" s="3529"/>
      <c r="L1" s="3529"/>
      <c r="N1" s="3529" t="s">
        <v>453</v>
      </c>
      <c r="O1" s="3529"/>
      <c r="P1" s="3529"/>
      <c r="Q1" s="3529"/>
      <c r="S1" s="3529" t="s">
        <v>454</v>
      </c>
      <c r="T1" s="3529"/>
      <c r="U1" s="3529"/>
      <c r="V1" s="3529"/>
      <c r="X1" s="3528" t="s">
        <v>455</v>
      </c>
      <c r="Y1" s="3529"/>
      <c r="Z1" s="3529"/>
      <c r="AA1" s="3529"/>
      <c r="AB1" s="3529"/>
      <c r="AD1" s="3528" t="s">
        <v>456</v>
      </c>
      <c r="AE1" s="3529"/>
      <c r="AF1" s="3529"/>
      <c r="AG1" s="3529"/>
      <c r="AH1" s="3529"/>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3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3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3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3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3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3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53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3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3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3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53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3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3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53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3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3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53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3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3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53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3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3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53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3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3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53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3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3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53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3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3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53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3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3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530">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31">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31">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32">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530">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31">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31">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3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41" t="s">
        <v>2837</v>
      </c>
      <c r="B1" s="3541"/>
      <c r="C1" s="3541"/>
      <c r="D1" s="3541"/>
      <c r="E1" s="3541"/>
      <c r="F1" s="3541"/>
      <c r="G1" s="3542"/>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39"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40"/>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45974</v>
      </c>
      <c r="D1" s="1217" t="s">
        <v>602</v>
      </c>
      <c r="E1" s="1212">
        <f>'数据-取费表'!B22</f>
        <v>2</v>
      </c>
      <c r="F1" s="1217" t="s">
        <v>603</v>
      </c>
      <c r="G1" s="1213">
        <f ca="1">IF(OR(C1&lt;C27,E1&lt;=1),INDIRECT("d"&amp;$K$1)/100,ROUND((D5+(E1-C5)*(D7-D5)/(C7-C5))/100,4))</f>
        <v>3.1300000000000001E-2</v>
      </c>
      <c r="H1" s="1217" t="s">
        <v>633</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6">
        <v>45797</v>
      </c>
      <c r="D13" s="1201">
        <v>3</v>
      </c>
      <c r="E13" s="1201">
        <v>3</v>
      </c>
      <c r="F13" s="1201">
        <f t="shared" ref="F13:F18" si="0">D13</f>
        <v>3</v>
      </c>
      <c r="G13" s="1201">
        <f t="shared" ref="G13:G18" si="1">D13</f>
        <v>3</v>
      </c>
      <c r="H13" s="1201">
        <v>3.5</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632</v>
      </c>
      <c r="J70" s="1205" t="s">
        <v>632</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4" t="s">
        <v>948</v>
      </c>
      <c r="B1" s="3224"/>
      <c r="C1" s="3224"/>
      <c r="D1" s="3224"/>
    </row>
    <row r="2" spans="1:4" ht="18">
      <c r="A2" s="3225" t="s">
        <v>932</v>
      </c>
      <c r="B2" s="3225"/>
      <c r="C2" s="3225"/>
      <c r="D2" s="3225"/>
    </row>
    <row r="3" spans="1:4" ht="18.75">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8">
      <c r="A6" s="3225" t="s">
        <v>938</v>
      </c>
      <c r="B6" s="3225"/>
      <c r="C6" s="3225"/>
      <c r="D6" s="3225"/>
    </row>
    <row r="7" spans="1:4" ht="18.75">
      <c r="A7" s="1407" t="s">
        <v>933</v>
      </c>
      <c r="B7" s="1409" t="s">
        <v>939</v>
      </c>
      <c r="C7" s="1407" t="s">
        <v>935</v>
      </c>
      <c r="D7" s="1407" t="s">
        <v>936</v>
      </c>
    </row>
    <row r="8" spans="1:4" ht="56.25" customHeight="1">
      <c r="A8" s="1413" t="s">
        <v>390</v>
      </c>
      <c r="B8" s="1413" t="s">
        <v>0</v>
      </c>
      <c r="C8" s="1410"/>
      <c r="D8" s="1411" t="s">
        <v>937</v>
      </c>
    </row>
    <row r="10" spans="1:4" ht="18.75">
      <c r="A10" s="1414" t="s">
        <v>940</v>
      </c>
    </row>
    <row r="11" spans="1:4" ht="30" customHeight="1">
      <c r="A11" s="3226" t="s">
        <v>941</v>
      </c>
      <c r="B11" s="3227"/>
      <c r="C11" s="3227"/>
      <c r="D11" s="3227"/>
    </row>
    <row r="12" spans="1:4" ht="15.75">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8"/>
      <c r="C12" s="3228"/>
      <c r="D12" s="3228"/>
    </row>
    <row r="13" spans="1:4" ht="30" customHeight="1">
      <c r="A13" s="3227" t="str">
        <f>IF(项目基本情况!B8="抵押","3.抵押双方在办理抵押登记手续时，应使用本公司出具的正式《房地产评估报告》，特提醒报告使用者注意。","——")</f>
        <v>——</v>
      </c>
      <c r="B13" s="3228"/>
      <c r="C13" s="3228"/>
      <c r="D13" s="3228"/>
    </row>
    <row r="14" spans="1:4" ht="15.75" customHeight="1">
      <c r="A14" s="3227" t="str">
        <f>IF(项目基本情况!B8="抵押","4.本次评估估价师所知悉的法定优先受偿款情况说明如下：","——")</f>
        <v>——</v>
      </c>
      <c r="B14" s="3228"/>
      <c r="C14" s="3228"/>
      <c r="D14" s="3228"/>
    </row>
    <row r="15" spans="1:4" ht="42" customHeight="1">
      <c r="A15" s="3227" t="str">
        <f>IF(项目基本情况!B8="抵押","（1）"&amp;CONCATENATE(项目基本情况!L20,项目基本情况!L21,项目基本情况!L22),"——")</f>
        <v>——</v>
      </c>
      <c r="B15" s="3227"/>
      <c r="C15" s="3227"/>
      <c r="D15" s="3227"/>
    </row>
    <row r="16" spans="1:4" ht="30" customHeight="1">
      <c r="A16" s="3230" t="s">
        <v>942</v>
      </c>
      <c r="B16" s="3230"/>
      <c r="C16" s="3230"/>
      <c r="D16" s="3230"/>
    </row>
    <row r="17" spans="1:4" ht="144" customHeight="1">
      <c r="A17" s="3230" t="s">
        <v>943</v>
      </c>
      <c r="B17" s="3230"/>
      <c r="C17" s="3230"/>
      <c r="D17" s="3230"/>
    </row>
    <row r="18" spans="1:4" ht="15.75" customHeight="1">
      <c r="A18" s="3227" t="str">
        <f>IF(项目基本情况!B8="抵押",'结果表-1层商业'!K120,"——")</f>
        <v>——</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31"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spans="1:4" ht="18.75" customHeight="1">
      <c r="A22" s="3232" t="s">
        <v>944</v>
      </c>
      <c r="B22" s="3232"/>
      <c r="C22" s="3232"/>
      <c r="D22" s="3232"/>
    </row>
    <row r="23" spans="1:4">
      <c r="A23" s="1415"/>
      <c r="B23" s="459"/>
      <c r="C23" s="459"/>
      <c r="D23" s="459"/>
    </row>
    <row r="24" spans="1:4">
      <c r="A24" s="1415"/>
      <c r="B24" s="459"/>
      <c r="C24" s="459"/>
      <c r="D24" s="459"/>
    </row>
    <row r="25" spans="1:4" ht="18.75">
      <c r="A25" s="1416" t="s">
        <v>945</v>
      </c>
    </row>
    <row r="26" spans="1:4" ht="18">
      <c r="A26" s="1387"/>
    </row>
    <row r="27" spans="1:4" ht="18.75">
      <c r="A27" s="1387" t="s">
        <v>946</v>
      </c>
    </row>
    <row r="30" spans="1:4" ht="18.75">
      <c r="D30" s="1416" t="s">
        <v>947</v>
      </c>
    </row>
    <row r="31" spans="1:4" ht="13.5" customHeight="1">
      <c r="C31" s="3229">
        <v>42551</v>
      </c>
      <c r="D31" s="32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3.5">
      <c r="A15" s="3238" t="s">
        <v>955</v>
      </c>
      <c r="B15" s="3233" t="s">
        <v>109</v>
      </c>
      <c r="C15" s="3234"/>
    </row>
    <row r="16" spans="1:7" ht="13.5">
      <c r="A16" s="3239"/>
      <c r="B16" s="3233" t="s">
        <v>42</v>
      </c>
      <c r="C16" s="3234"/>
    </row>
    <row r="17" spans="1:3" ht="13.5">
      <c r="A17" s="3239"/>
      <c r="B17" s="3236" t="s">
        <v>956</v>
      </c>
      <c r="C17" s="1429" t="s">
        <v>955</v>
      </c>
    </row>
    <row r="18" spans="1:3" ht="13.5">
      <c r="A18" s="3239"/>
      <c r="B18" s="3236"/>
      <c r="C18" s="1429" t="s">
        <v>957</v>
      </c>
    </row>
    <row r="19" spans="1:3" ht="13.5">
      <c r="A19" s="3239"/>
      <c r="B19" s="3236"/>
      <c r="C19" s="1429" t="s">
        <v>958</v>
      </c>
    </row>
    <row r="20" spans="1:3" ht="13.5">
      <c r="A20" s="3240"/>
      <c r="B20" s="3235" t="s">
        <v>959</v>
      </c>
      <c r="C20" s="3234"/>
    </row>
    <row r="21" spans="1:3" ht="13.5">
      <c r="A21" s="1430" t="s">
        <v>960</v>
      </c>
      <c r="B21" s="1431"/>
      <c r="C21" s="1432"/>
    </row>
    <row r="22" spans="1:3" ht="13.5">
      <c r="A22" s="3237" t="s">
        <v>961</v>
      </c>
      <c r="B22" s="3235" t="s">
        <v>962</v>
      </c>
      <c r="C22" s="3234"/>
    </row>
    <row r="23" spans="1:3" ht="13.5">
      <c r="A23" s="3237"/>
      <c r="B23" s="3235" t="s">
        <v>963</v>
      </c>
      <c r="C23" s="3234"/>
    </row>
    <row r="24" spans="1:3" ht="13.5">
      <c r="A24" s="3237"/>
      <c r="B24" s="3235" t="s">
        <v>964</v>
      </c>
      <c r="C24" s="3234"/>
    </row>
    <row r="25" spans="1:3" ht="13.5">
      <c r="A25" s="3237"/>
      <c r="B25" s="3236" t="s">
        <v>965</v>
      </c>
      <c r="C25" s="1429" t="s">
        <v>966</v>
      </c>
    </row>
    <row r="26" spans="1:3" ht="13.5">
      <c r="A26" s="3237"/>
      <c r="B26" s="3236"/>
      <c r="C26" s="1429" t="s">
        <v>967</v>
      </c>
    </row>
    <row r="27" spans="1:3" ht="13.5">
      <c r="A27" s="3237"/>
      <c r="B27" s="3236"/>
      <c r="C27" s="1429" t="s">
        <v>968</v>
      </c>
    </row>
    <row r="28" spans="1:3" ht="13.5">
      <c r="A28" s="3237"/>
      <c r="B28" s="3236"/>
      <c r="C28" s="1429" t="s">
        <v>969</v>
      </c>
    </row>
    <row r="29" spans="1:3" ht="13.5">
      <c r="A29" s="3237"/>
      <c r="B29" s="3236"/>
      <c r="C29" s="1429" t="s">
        <v>970</v>
      </c>
    </row>
    <row r="30" spans="1:3" ht="13.5">
      <c r="A30" s="3237"/>
      <c r="B30" s="3236"/>
      <c r="C30" s="1429" t="s">
        <v>971</v>
      </c>
    </row>
    <row r="31" spans="1:3" ht="13.5">
      <c r="A31" s="3237"/>
      <c r="B31" s="3236"/>
      <c r="C31" s="1429" t="s">
        <v>972</v>
      </c>
    </row>
    <row r="32" spans="1:3" ht="13.5">
      <c r="A32" s="3237"/>
      <c r="B32" s="3236"/>
      <c r="C32" s="1429" t="s">
        <v>973</v>
      </c>
    </row>
    <row r="33" spans="1:3" ht="13.5">
      <c r="A33" s="3237"/>
      <c r="B33" s="3236"/>
      <c r="C33" s="1429" t="s">
        <v>974</v>
      </c>
    </row>
    <row r="34" spans="1:3">
      <c r="A34" s="1433" t="s">
        <v>49</v>
      </c>
    </row>
    <row r="37" spans="1:3">
      <c r="A37" s="1433" t="s">
        <v>975</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46006</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1" t="s">
        <v>2158</v>
      </c>
      <c r="B17" s="3241"/>
      <c r="C17" s="3241"/>
      <c r="D17" s="3241"/>
      <c r="E17" s="3241"/>
      <c r="F17" s="3241"/>
      <c r="G17" s="3241"/>
      <c r="H17" s="3241"/>
    </row>
    <row r="18" spans="1:8" ht="24" customHeight="1">
      <c r="A18" s="3242" t="s">
        <v>2159</v>
      </c>
      <c r="B18" s="3242"/>
      <c r="C18" s="3242"/>
      <c r="D18" s="2160"/>
      <c r="E18" s="3243" t="s">
        <v>2160</v>
      </c>
      <c r="F18" s="3242"/>
      <c r="G18" s="3242"/>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163</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最终结果</vt:lpstr>
      <vt:lpstr>结果表-1层商业</vt:lpstr>
      <vt:lpstr>成本法</vt:lpstr>
      <vt:lpstr>假设开发法</vt:lpstr>
      <vt:lpstr>收益法</vt:lpstr>
      <vt:lpstr>收益法 (元)-商业</vt:lpstr>
      <vt:lpstr>收益法-酒店模型</vt:lpstr>
      <vt:lpstr>比较法-商业</vt:lpstr>
      <vt:lpstr>市场售价案例</vt:lpstr>
      <vt:lpstr>结果表-办公</vt:lpstr>
      <vt:lpstr>收益法 (元)-办公</vt:lpstr>
      <vt:lpstr>比较法-办公</vt:lpstr>
      <vt:lpstr>结果表-车位</vt:lpstr>
      <vt:lpstr>收益法 (元)-车位</vt:lpstr>
      <vt:lpstr>比较法-车位</vt:lpstr>
      <vt:lpstr>结果表-仓储</vt:lpstr>
      <vt:lpstr>收益法 (元)-仓储</vt:lpstr>
      <vt:lpstr>比较法-仓储</vt:lpstr>
      <vt:lpstr>收益法（汇总）</vt:lpstr>
      <vt:lpstr>比较法-住宅</vt:lpstr>
      <vt:lpstr>比较法-工业</vt:lpstr>
      <vt:lpstr>权属信息</vt:lpstr>
      <vt:lpstr>租金案例</vt:lpstr>
      <vt:lpstr>成本法 (元)-商业</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(元)-商业'!Print_Area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'结果表-办公'!Print_Area</vt:lpstr>
      <vt:lpstr>'结果表-仓储'!Print_Area</vt:lpstr>
      <vt:lpstr>'结果表-车位'!Print_Area</vt:lpstr>
      <vt:lpstr>收益法!Print_Area</vt:lpstr>
      <vt:lpstr>'收益法 (元)-办公'!Print_Area</vt:lpstr>
      <vt:lpstr>'收益法 (元)-仓储'!Print_Area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2025-12-15T07:58:04Z</dcterms:modified>
</cp:coreProperties>
</file>