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B3A6D77A-D174-4E3E-8030-6E919BDBB4BA}" xr6:coauthVersionLast="47" xr6:coauthVersionMax="47" xr10:uidLastSave="{00000000-0000-0000-0000-000000000000}"/>
  <bookViews>
    <workbookView xWindow="-120" yWindow="-120" windowWidth="38640" windowHeight="212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最终结果" sheetId="82" r:id="rId18"/>
    <sheet name="结果表-1层商业" sheetId="9" r:id="rId19"/>
    <sheet name="成本法" sheetId="68" state="hidden" r:id="rId20"/>
    <sheet name="假设开发法" sheetId="12" state="hidden" r:id="rId21"/>
    <sheet name="收益法" sheetId="15" state="hidden" r:id="rId22"/>
    <sheet name="收益法 (元)-商业" sheetId="67" r:id="rId23"/>
    <sheet name="收益法-酒店模型" sheetId="77" state="hidden" r:id="rId24"/>
    <sheet name="比较法-商业" sheetId="33" r:id="rId25"/>
    <sheet name="市场售价案例" sheetId="87" r:id="rId26"/>
    <sheet name="结果表-办公" sheetId="88" r:id="rId27"/>
    <sheet name="收益法 (元)-办公" sheetId="84" r:id="rId28"/>
    <sheet name="比较法-办公" sheetId="34" r:id="rId29"/>
    <sheet name="结果表-车位" sheetId="89" r:id="rId30"/>
    <sheet name="收益法 (元)-车位" sheetId="85" r:id="rId31"/>
    <sheet name="比较法-车位" sheetId="35" r:id="rId32"/>
    <sheet name="结果表-仓储" sheetId="91" r:id="rId33"/>
    <sheet name="收益法 (元)-仓储" sheetId="86" r:id="rId34"/>
    <sheet name="比较法-仓储" sheetId="36" r:id="rId35"/>
    <sheet name="收益法（汇总）" sheetId="70" state="hidden" r:id="rId36"/>
    <sheet name="比较法-住宅" sheetId="21" state="hidden" r:id="rId37"/>
    <sheet name="比较法-工业" sheetId="37" state="hidden" r:id="rId38"/>
    <sheet name="权属信息" sheetId="83" r:id="rId39"/>
    <sheet name="租金案例" sheetId="80" r:id="rId40"/>
    <sheet name="成本法 (元)-商业" sheetId="69" state="hidden" r:id="rId41"/>
    <sheet name="土地比较法-住宅、综合" sheetId="39" state="hidden" r:id="rId42"/>
    <sheet name="土地案例" sheetId="81" r:id="rId43"/>
    <sheet name="土地比较法-工业" sheetId="40" state="hidden"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28" hidden="1">'比较法-办公'!$A$1:$L$50</definedName>
    <definedName name="_xlnm._FilterDatabase" localSheetId="34" hidden="1">'比较法-仓储'!$A$1:$L$37</definedName>
    <definedName name="_xlnm._FilterDatabase" localSheetId="31" hidden="1">'比较法-车位'!$A$1:$L$39</definedName>
    <definedName name="_xlnm._FilterDatabase" localSheetId="37" hidden="1">'比较法-工业'!$A$1:$L$43</definedName>
    <definedName name="_xlnm._FilterDatabase" localSheetId="24"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1" hidden="1">'土地比较法-住宅、综合'!$A$1:$L$48</definedName>
    <definedName name="_xlnm._FilterDatabase" localSheetId="11" hidden="1">项目基本情况!$A$42:$N$42</definedName>
    <definedName name="_xlnm._FilterDatabase" localSheetId="17" hidden="1">最终结果!$A$1:$BF$107</definedName>
    <definedName name="_xlnm.Print_Area" localSheetId="28">'比较法-办公'!$A$1:$K$55,'比较法-办公'!$A$58:$M$132</definedName>
    <definedName name="_xlnm.Print_Area" localSheetId="34">'比较法-仓储'!$A$1:$K$42,'比较法-仓储'!$A$45:$M$96</definedName>
    <definedName name="_xlnm.Print_Area" localSheetId="31">'比较法-车位'!$A$1:$K$44,'比较法-车位'!$A$47:$M$102</definedName>
    <definedName name="_xlnm.Print_Area" localSheetId="37">'比较法-工业'!$A$1:$K$48,'比较法-工业'!$A$51:$M$113</definedName>
    <definedName name="_xlnm.Print_Area" localSheetId="24">'比较法-商业'!$A$1:$K$54,'比较法-商业'!$A$57:$M$131</definedName>
    <definedName name="_xlnm.Print_Area" localSheetId="36">'比较法-住宅'!$A$1:$K$54,'比较法-住宅'!$A$57:$M$131</definedName>
    <definedName name="_xlnm.Print_Area" localSheetId="19">成本法!$A$1:$G$57</definedName>
    <definedName name="_xlnm.Print_Area" localSheetId="40">'成本法 (元)-商业'!$A$1:$G$57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8">'结果表-1层商业'!$A$1:$I$127</definedName>
    <definedName name="_xlnm.Print_Area" localSheetId="26">'结果表-办公'!$A$1:$I$127</definedName>
    <definedName name="_xlnm.Print_Area" localSheetId="32">'结果表-仓储'!$A$1:$I$127</definedName>
    <definedName name="_xlnm.Print_Area" localSheetId="29">'结果表-车位'!$A$1:$I$127</definedName>
    <definedName name="_xlnm.Print_Area" localSheetId="21">收益法!$A$1:$F$43,收益法!$H$3:$M$29,收益法!$A$46:$F$71,收益法!$I$46:$N$65</definedName>
    <definedName name="_xlnm.Print_Area" localSheetId="27">'收益法 (元)-办公'!$A$1:$F$43,'收益法 (元)-办公'!$H$3:$M$29,'收益法 (元)-办公'!$A$45:$F$71,'收益法 (元)-办公'!$I$46:$N$65</definedName>
    <definedName name="_xlnm.Print_Area" localSheetId="33">'收益法 (元)-仓储'!$A$1:$F$43,'收益法 (元)-仓储'!$H$3:$M$29,'收益法 (元)-仓储'!$A$45:$F$71,'收益法 (元)-仓储'!$I$46:$N$65</definedName>
    <definedName name="_xlnm.Print_Area" localSheetId="30">'收益法 (元)-车位'!$A$1:$F$43,'收益法 (元)-车位'!$H$3:$M$29,'收益法 (元)-车位'!$A$45:$F$71,'收益法 (元)-车位'!$I$46:$N$65</definedName>
    <definedName name="_xlnm.Print_Area" localSheetId="22">'收益法 (元)-商业'!$A$1:$F$43,'收益法 (元)-商业'!$H$3:$M$29,'收益法 (元)-商业'!$A$45:$F$71,'收益法 (元)-商业'!$I$46:$N$65</definedName>
    <definedName name="_xlnm.Print_Area" localSheetId="35">'收益法（汇总）'!$A$1:$F$13</definedName>
    <definedName name="_xlnm.Print_Area" localSheetId="13">'数据-汇总表'!$A$1:$P$32</definedName>
    <definedName name="_xlnm.Print_Area" localSheetId="43">'土地比较法-工业'!$A$1:$K$61,'土地比较法-工业'!$A$64:$M$121</definedName>
    <definedName name="_xlnm.Print_Area" localSheetId="4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5" i="82" l="1"/>
  <c r="U5" i="82"/>
  <c r="L137" i="80"/>
  <c r="E88" i="36"/>
  <c r="F88" i="36"/>
  <c r="G88" i="36" s="1"/>
  <c r="D88" i="36"/>
  <c r="I35" i="36"/>
  <c r="I5" i="35"/>
  <c r="G5" i="35"/>
  <c r="E5" i="35"/>
  <c r="E105" i="34"/>
  <c r="D105" i="34"/>
  <c r="B36" i="87"/>
  <c r="O2" i="87"/>
  <c r="O35" i="87"/>
  <c r="B3" i="87"/>
  <c r="I5" i="33"/>
  <c r="G5" i="33"/>
  <c r="E5" i="33"/>
  <c r="B15" i="74"/>
  <c r="B16" i="74"/>
  <c r="B17" i="74"/>
  <c r="B14" i="74"/>
  <c r="S47" i="82"/>
  <c r="S46" i="82"/>
  <c r="S45" i="82"/>
  <c r="S44" i="82"/>
  <c r="S43" i="82"/>
  <c r="R40" i="82"/>
  <c r="Q40" i="82"/>
  <c r="R38" i="82"/>
  <c r="Q38" i="82"/>
  <c r="R27" i="82"/>
  <c r="Q27" i="82"/>
  <c r="V24" i="82"/>
  <c r="U24" i="82"/>
  <c r="T24" i="82"/>
  <c r="S24" i="82"/>
  <c r="R24" i="82"/>
  <c r="Q24" i="82"/>
  <c r="P46" i="36"/>
  <c r="Q46" i="36" s="1"/>
  <c r="R46" i="36" s="1"/>
  <c r="S46" i="36" s="1"/>
  <c r="T46" i="36" s="1"/>
  <c r="U46" i="36" s="1"/>
  <c r="V46" i="36" s="1"/>
  <c r="W46" i="36" s="1"/>
  <c r="X46" i="36" s="1"/>
  <c r="Y46" i="36" s="1"/>
  <c r="Z46" i="36" s="1"/>
  <c r="AA46" i="36" s="1"/>
  <c r="AB46" i="36" s="1"/>
  <c r="AC46" i="36" s="1"/>
  <c r="I7" i="36"/>
  <c r="G7" i="36"/>
  <c r="I5" i="36"/>
  <c r="G5" i="36"/>
  <c r="E5" i="36"/>
  <c r="E7" i="36"/>
  <c r="E35" i="36"/>
  <c r="G35" i="36"/>
  <c r="I37" i="35"/>
  <c r="G37" i="35"/>
  <c r="E37" i="35"/>
  <c r="A126" i="91"/>
  <c r="A124" i="91"/>
  <c r="A122" i="91"/>
  <c r="A120" i="91"/>
  <c r="A118" i="91"/>
  <c r="E111" i="91"/>
  <c r="H112" i="91" s="1"/>
  <c r="H109" i="91"/>
  <c r="D124" i="91" s="1"/>
  <c r="D125" i="91" s="1"/>
  <c r="E109" i="91"/>
  <c r="E107" i="91"/>
  <c r="H106" i="91"/>
  <c r="H105" i="91"/>
  <c r="H104" i="91"/>
  <c r="H103" i="91"/>
  <c r="D120" i="91" s="1"/>
  <c r="D101" i="91"/>
  <c r="C101" i="91"/>
  <c r="D93" i="91"/>
  <c r="C91" i="91"/>
  <c r="E90" i="91"/>
  <c r="D89" i="91"/>
  <c r="C89" i="91" s="1"/>
  <c r="C87" i="91" s="1"/>
  <c r="D78" i="91"/>
  <c r="H77" i="91"/>
  <c r="D77" i="91"/>
  <c r="C77" i="91"/>
  <c r="C76" i="91"/>
  <c r="C74" i="91"/>
  <c r="D68" i="91"/>
  <c r="F59" i="91"/>
  <c r="E59" i="91"/>
  <c r="N55" i="91" s="1"/>
  <c r="N56" i="91"/>
  <c r="M56" i="91"/>
  <c r="K56" i="91"/>
  <c r="J56" i="91"/>
  <c r="F56" i="91"/>
  <c r="O55" i="91"/>
  <c r="K55" i="91"/>
  <c r="J55" i="91"/>
  <c r="J57" i="91" s="1"/>
  <c r="J59" i="91" s="1"/>
  <c r="J61" i="91" s="1"/>
  <c r="I55" i="91"/>
  <c r="F55" i="91"/>
  <c r="O54" i="91"/>
  <c r="N54" i="91"/>
  <c r="F54" i="91"/>
  <c r="O53" i="91"/>
  <c r="N53" i="91"/>
  <c r="F53" i="91"/>
  <c r="F52" i="91"/>
  <c r="M49" i="91"/>
  <c r="L66" i="91" s="1"/>
  <c r="M66" i="91" s="1"/>
  <c r="K49" i="91"/>
  <c r="F48" i="91"/>
  <c r="O52" i="91" s="1"/>
  <c r="E48" i="91"/>
  <c r="N52" i="91" s="1"/>
  <c r="D48" i="91"/>
  <c r="M52" i="91" s="1"/>
  <c r="M47" i="91"/>
  <c r="F33" i="91"/>
  <c r="D27" i="91"/>
  <c r="C25" i="91"/>
  <c r="C24" i="91"/>
  <c r="C17" i="91"/>
  <c r="D14" i="91"/>
  <c r="D17" i="91" s="1"/>
  <c r="L4" i="91"/>
  <c r="K4" i="91"/>
  <c r="A2" i="91"/>
  <c r="H1" i="91"/>
  <c r="A126" i="89"/>
  <c r="A124" i="89"/>
  <c r="A122" i="89"/>
  <c r="A120" i="89"/>
  <c r="A118" i="89"/>
  <c r="E111" i="89"/>
  <c r="H112" i="89" s="1"/>
  <c r="E109" i="89"/>
  <c r="H109" i="89" s="1"/>
  <c r="E107" i="89"/>
  <c r="H106" i="89"/>
  <c r="H105" i="89"/>
  <c r="H104" i="89"/>
  <c r="H103" i="89"/>
  <c r="D120" i="89" s="1"/>
  <c r="D101" i="89"/>
  <c r="C101" i="89"/>
  <c r="D93" i="89"/>
  <c r="C91" i="89"/>
  <c r="E90" i="89"/>
  <c r="D89" i="89"/>
  <c r="C89" i="89" s="1"/>
  <c r="C87" i="89" s="1"/>
  <c r="D78" i="89"/>
  <c r="H77" i="89"/>
  <c r="D77" i="89"/>
  <c r="C77" i="89"/>
  <c r="C76" i="89"/>
  <c r="C74" i="89"/>
  <c r="D68" i="89"/>
  <c r="F59" i="89"/>
  <c r="E59" i="89"/>
  <c r="N55" i="89" s="1"/>
  <c r="N56" i="89"/>
  <c r="M56" i="89"/>
  <c r="K56" i="89"/>
  <c r="J56" i="89"/>
  <c r="F56" i="89"/>
  <c r="O54" i="89" s="1"/>
  <c r="O55" i="89"/>
  <c r="K55" i="89"/>
  <c r="J55" i="89"/>
  <c r="J57" i="89" s="1"/>
  <c r="J59" i="89" s="1"/>
  <c r="J61" i="89" s="1"/>
  <c r="I55" i="89"/>
  <c r="F55" i="89"/>
  <c r="O53" i="89" s="1"/>
  <c r="N54" i="89"/>
  <c r="F54" i="89"/>
  <c r="N53" i="89"/>
  <c r="F53" i="89"/>
  <c r="F52" i="89"/>
  <c r="K49" i="89"/>
  <c r="F48" i="89"/>
  <c r="O52" i="89" s="1"/>
  <c r="E48" i="89"/>
  <c r="N52" i="89" s="1"/>
  <c r="D48" i="89"/>
  <c r="M52" i="89" s="1"/>
  <c r="M47" i="89"/>
  <c r="F33" i="89"/>
  <c r="D27" i="89"/>
  <c r="C25" i="89"/>
  <c r="C24" i="89"/>
  <c r="C17" i="89"/>
  <c r="C18" i="89" s="1"/>
  <c r="D18" i="89" s="1"/>
  <c r="D14" i="89"/>
  <c r="D17" i="89" s="1"/>
  <c r="L4" i="89"/>
  <c r="K4" i="89"/>
  <c r="A2" i="89"/>
  <c r="H1" i="89"/>
  <c r="D35" i="91"/>
  <c r="D34" i="91"/>
  <c r="D35" i="89"/>
  <c r="D34" i="89"/>
  <c r="C18" i="91" l="1"/>
  <c r="D18" i="91" s="1"/>
  <c r="C92" i="91"/>
  <c r="C94" i="91"/>
  <c r="D121" i="91"/>
  <c r="K120" i="91"/>
  <c r="L65" i="91"/>
  <c r="M65" i="91" s="1"/>
  <c r="H111" i="91"/>
  <c r="D126" i="91" s="1"/>
  <c r="D127" i="91" s="1"/>
  <c r="L67" i="91"/>
  <c r="M67" i="91" s="1"/>
  <c r="L68" i="91"/>
  <c r="M68" i="91" s="1"/>
  <c r="L63" i="91"/>
  <c r="M63" i="91" s="1"/>
  <c r="M69" i="91" s="1"/>
  <c r="N69" i="91" s="1"/>
  <c r="L64" i="91"/>
  <c r="M64" i="91" s="1"/>
  <c r="H110" i="91"/>
  <c r="D121" i="89"/>
  <c r="K120" i="89"/>
  <c r="D124" i="89"/>
  <c r="D125" i="89" s="1"/>
  <c r="H110" i="89"/>
  <c r="M49" i="89"/>
  <c r="C92" i="89"/>
  <c r="C94" i="89"/>
  <c r="H111" i="89"/>
  <c r="D126" i="89" s="1"/>
  <c r="D127" i="89" s="1"/>
  <c r="I34" i="34"/>
  <c r="G34" i="34"/>
  <c r="E34" i="34"/>
  <c r="C34" i="34"/>
  <c r="G5" i="34"/>
  <c r="E5" i="34"/>
  <c r="P59" i="34"/>
  <c r="Q59" i="34" s="1"/>
  <c r="R59" i="34" s="1"/>
  <c r="S59" i="34" s="1"/>
  <c r="T59" i="34" s="1"/>
  <c r="U59" i="34" s="1"/>
  <c r="V59" i="34" s="1"/>
  <c r="W59" i="34" s="1"/>
  <c r="X59" i="34" s="1"/>
  <c r="Y59" i="34" s="1"/>
  <c r="Z59" i="34" s="1"/>
  <c r="G7" i="34"/>
  <c r="E7" i="34"/>
  <c r="G48" i="34"/>
  <c r="E48" i="34"/>
  <c r="A126" i="88"/>
  <c r="A124" i="88"/>
  <c r="A122" i="88"/>
  <c r="A120" i="88"/>
  <c r="A118" i="88"/>
  <c r="E111" i="88"/>
  <c r="H112" i="88" s="1"/>
  <c r="H109" i="88"/>
  <c r="D124" i="88" s="1"/>
  <c r="D125" i="88" s="1"/>
  <c r="E109" i="88"/>
  <c r="E107" i="88"/>
  <c r="H106" i="88"/>
  <c r="H105" i="88"/>
  <c r="H104" i="88"/>
  <c r="H103" i="88"/>
  <c r="D120" i="88" s="1"/>
  <c r="D101" i="88"/>
  <c r="C101" i="88"/>
  <c r="D93" i="88"/>
  <c r="C91" i="88"/>
  <c r="E90" i="88"/>
  <c r="D89" i="88"/>
  <c r="C89" i="88" s="1"/>
  <c r="C87" i="88" s="1"/>
  <c r="D78" i="88"/>
  <c r="H77" i="88"/>
  <c r="D77" i="88"/>
  <c r="C77" i="88"/>
  <c r="C76" i="88"/>
  <c r="C74" i="88"/>
  <c r="D68" i="88"/>
  <c r="F59" i="88"/>
  <c r="E59" i="88"/>
  <c r="J57" i="88"/>
  <c r="J59" i="88" s="1"/>
  <c r="J61" i="88" s="1"/>
  <c r="N56" i="88"/>
  <c r="M56" i="88"/>
  <c r="K56" i="88"/>
  <c r="J56" i="88"/>
  <c r="F56" i="88"/>
  <c r="O55" i="88"/>
  <c r="N55" i="88"/>
  <c r="K55" i="88"/>
  <c r="J55" i="88"/>
  <c r="I55" i="88"/>
  <c r="F55" i="88"/>
  <c r="O54" i="88"/>
  <c r="N54" i="88"/>
  <c r="F54" i="88"/>
  <c r="O53" i="88"/>
  <c r="N53" i="88"/>
  <c r="F53" i="88"/>
  <c r="F52" i="88"/>
  <c r="M49" i="88"/>
  <c r="L66" i="88" s="1"/>
  <c r="M66" i="88" s="1"/>
  <c r="K49" i="88"/>
  <c r="F48" i="88"/>
  <c r="O52" i="88" s="1"/>
  <c r="E48" i="88"/>
  <c r="N52" i="88" s="1"/>
  <c r="D48" i="88"/>
  <c r="M52" i="88" s="1"/>
  <c r="M47" i="88"/>
  <c r="F33" i="88"/>
  <c r="D27" i="88"/>
  <c r="C25" i="88"/>
  <c r="C24" i="88"/>
  <c r="C17" i="88"/>
  <c r="D14" i="88"/>
  <c r="D17" i="88" s="1"/>
  <c r="L4" i="88"/>
  <c r="K4" i="88"/>
  <c r="A2" i="88"/>
  <c r="H1" i="88"/>
  <c r="D14" i="9"/>
  <c r="E33" i="33"/>
  <c r="I47" i="33"/>
  <c r="G47" i="33"/>
  <c r="E47" i="33"/>
  <c r="I7" i="33"/>
  <c r="G7" i="33"/>
  <c r="E7" i="33"/>
  <c r="F19" i="6"/>
  <c r="C33" i="33" s="1"/>
  <c r="L136" i="80"/>
  <c r="L135" i="80"/>
  <c r="D34" i="88"/>
  <c r="D35" i="88"/>
  <c r="L66" i="89" l="1"/>
  <c r="M66" i="89" s="1"/>
  <c r="L64" i="89"/>
  <c r="M64" i="89" s="1"/>
  <c r="L68" i="89"/>
  <c r="M68" i="89" s="1"/>
  <c r="L67" i="89"/>
  <c r="M67" i="89" s="1"/>
  <c r="L65" i="89"/>
  <c r="M65" i="89" s="1"/>
  <c r="L63" i="89"/>
  <c r="M63" i="89" s="1"/>
  <c r="M69" i="89" s="1"/>
  <c r="N69" i="89" s="1"/>
  <c r="C18" i="88"/>
  <c r="D18" i="88" s="1"/>
  <c r="D121" i="88"/>
  <c r="K120" i="88"/>
  <c r="C92" i="88"/>
  <c r="C94" i="88"/>
  <c r="L63" i="88"/>
  <c r="M63" i="88" s="1"/>
  <c r="M69" i="88" s="1"/>
  <c r="N69" i="88" s="1"/>
  <c r="L65" i="88"/>
  <c r="M65" i="88" s="1"/>
  <c r="H111" i="88"/>
  <c r="D126" i="88" s="1"/>
  <c r="D127" i="88" s="1"/>
  <c r="L67" i="88"/>
  <c r="M67" i="88" s="1"/>
  <c r="L68" i="88"/>
  <c r="M68" i="88" s="1"/>
  <c r="L64" i="88"/>
  <c r="M64" i="88" s="1"/>
  <c r="H110" i="88"/>
  <c r="E117" i="39"/>
  <c r="F117" i="39" s="1"/>
  <c r="G117" i="39" s="1"/>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s="1"/>
  <c r="F59" i="86"/>
  <c r="Q58" i="86"/>
  <c r="Q51" i="86"/>
  <c r="J50" i="86"/>
  <c r="M47" i="86"/>
  <c r="D46" i="86"/>
  <c r="F34" i="86"/>
  <c r="F62" i="86" s="1"/>
  <c r="F33" i="86"/>
  <c r="F61" i="86" s="1"/>
  <c r="F31" i="86"/>
  <c r="F23" i="86"/>
  <c r="D24" i="86" s="1"/>
  <c r="D23" i="86"/>
  <c r="F21" i="86"/>
  <c r="M20" i="86"/>
  <c r="F20" i="86"/>
  <c r="M19" i="86"/>
  <c r="F18" i="86"/>
  <c r="M17" i="86"/>
  <c r="F17" i="86"/>
  <c r="F15" i="86"/>
  <c r="Q72" i="85"/>
  <c r="Q59" i="85"/>
  <c r="K59" i="85"/>
  <c r="P74" i="85" s="1"/>
  <c r="F59" i="85"/>
  <c r="Q58" i="85"/>
  <c r="Q51" i="85"/>
  <c r="J50" i="85"/>
  <c r="M47" i="85"/>
  <c r="D46" i="85"/>
  <c r="F34" i="85"/>
  <c r="F62" i="85" s="1"/>
  <c r="F33" i="85"/>
  <c r="F61" i="85" s="1"/>
  <c r="F31" i="85"/>
  <c r="F23" i="85"/>
  <c r="D24" i="85" s="1"/>
  <c r="D23" i="85"/>
  <c r="F21" i="85"/>
  <c r="M20" i="85"/>
  <c r="F20" i="85"/>
  <c r="M19" i="85"/>
  <c r="F18" i="85"/>
  <c r="M17" i="85"/>
  <c r="F17" i="85"/>
  <c r="F15" i="85"/>
  <c r="Y7" i="1"/>
  <c r="Y8" i="1"/>
  <c r="Y9" i="1"/>
  <c r="Y6" i="1"/>
  <c r="N9" i="1"/>
  <c r="N8" i="1"/>
  <c r="N7" i="1"/>
  <c r="N21" i="1"/>
  <c r="X4" i="82"/>
  <c r="X3" i="82"/>
  <c r="J9" i="1"/>
  <c r="J8" i="1"/>
  <c r="I8" i="1"/>
  <c r="I9" i="1" s="1"/>
  <c r="H8" i="1"/>
  <c r="H9" i="1" s="1"/>
  <c r="J7" i="1"/>
  <c r="I7" i="1"/>
  <c r="H7" i="1"/>
  <c r="K13" i="3"/>
  <c r="I13" i="3"/>
  <c r="F23" i="6" s="1"/>
  <c r="U7" i="82"/>
  <c r="S7" i="82"/>
  <c r="T7" i="82"/>
  <c r="U3" i="82"/>
  <c r="V3" i="82"/>
  <c r="W3" i="82"/>
  <c r="T3" i="82"/>
  <c r="D22" i="85" l="1"/>
  <c r="D22" i="86"/>
  <c r="P61" i="86"/>
  <c r="J51" i="86"/>
  <c r="P61" i="85"/>
  <c r="J51" i="85"/>
  <c r="B3" i="4"/>
  <c r="Q72" i="84"/>
  <c r="Q59" i="84"/>
  <c r="K59" i="84"/>
  <c r="P74" i="84" s="1"/>
  <c r="Q58" i="84"/>
  <c r="Q51" i="84"/>
  <c r="J50" i="84"/>
  <c r="M47" i="84"/>
  <c r="D46" i="84"/>
  <c r="F34" i="84"/>
  <c r="F62" i="84" s="1"/>
  <c r="F33" i="84"/>
  <c r="F61" i="84" s="1"/>
  <c r="F23" i="84"/>
  <c r="D24" i="84" s="1"/>
  <c r="D23" i="84"/>
  <c r="F21" i="84"/>
  <c r="M20" i="84"/>
  <c r="F20" i="84"/>
  <c r="M19" i="84"/>
  <c r="F18" i="84"/>
  <c r="F17" i="84"/>
  <c r="F15" i="84"/>
  <c r="O63" i="83"/>
  <c r="O62" i="83"/>
  <c r="G62" i="83"/>
  <c r="W61" i="83"/>
  <c r="O61" i="83"/>
  <c r="G61" i="83"/>
  <c r="W60" i="83"/>
  <c r="O60" i="83"/>
  <c r="G60" i="83"/>
  <c r="F51" i="83"/>
  <c r="S14" i="82"/>
  <c r="R14" i="82"/>
  <c r="S13" i="82"/>
  <c r="R13" i="82"/>
  <c r="S12" i="82"/>
  <c r="O13" i="3" s="1"/>
  <c r="G22" i="6" s="1"/>
  <c r="R12" i="82"/>
  <c r="S9" i="82"/>
  <c r="R9" i="82"/>
  <c r="S8" i="82"/>
  <c r="F20" i="6" s="1"/>
  <c r="R8" i="82"/>
  <c r="R7" i="82"/>
  <c r="S4" i="82"/>
  <c r="R4" i="82"/>
  <c r="S3" i="82"/>
  <c r="R3" i="82"/>
  <c r="D22" i="84" l="1"/>
  <c r="R17" i="82"/>
  <c r="T17" i="82" s="1"/>
  <c r="R15" i="82"/>
  <c r="T15" i="82" s="1"/>
  <c r="M13" i="3"/>
  <c r="G21" i="6" s="1"/>
  <c r="R16" i="82"/>
  <c r="T16" i="82" s="1"/>
  <c r="P61" i="84"/>
  <c r="J51" i="84"/>
  <c r="T18" i="82" l="1"/>
  <c r="V19" i="82" s="1"/>
  <c r="F31" i="84"/>
  <c r="E27" i="45"/>
  <c r="M17" i="84" l="1"/>
  <c r="F59" i="8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6" i="79"/>
  <c r="AD34" i="79"/>
  <c r="AD38" i="79"/>
  <c r="AD37"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F27" i="71"/>
  <c r="F26"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L493" i="3" s="1"/>
  <c r="BP493" i="3"/>
  <c r="BR493" i="3"/>
  <c r="BS493" i="3"/>
  <c r="BT493" i="3"/>
  <c r="BT5" i="3" s="1"/>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D5" i="3" s="1"/>
  <c r="BE496" i="3"/>
  <c r="BF496" i="3"/>
  <c r="BG496" i="3"/>
  <c r="BH496" i="3"/>
  <c r="BH5" i="3" s="1"/>
  <c r="BI496" i="3"/>
  <c r="BJ496" i="3"/>
  <c r="BK496" i="3"/>
  <c r="BM496" i="3"/>
  <c r="BM5"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AZ510" i="3" s="1"/>
  <c r="BE510" i="3"/>
  <c r="BF510" i="3"/>
  <c r="BG510" i="3"/>
  <c r="BH510" i="3"/>
  <c r="BI510" i="3"/>
  <c r="BJ510" i="3"/>
  <c r="BK510" i="3"/>
  <c r="BM510" i="3"/>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c r="F36" i="39"/>
  <c r="S36" i="39" s="1"/>
  <c r="H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F36" i="34"/>
  <c r="J35" i="34"/>
  <c r="H39" i="33"/>
  <c r="AB39" i="33"/>
  <c r="F26" i="33"/>
  <c r="AA26" i="33"/>
  <c r="U35" i="33"/>
  <c r="S40" i="33"/>
  <c r="W39" i="33"/>
  <c r="H39" i="37"/>
  <c r="AB39" i="37" s="1"/>
  <c r="S27" i="35"/>
  <c r="F11" i="40"/>
  <c r="AA11" i="40"/>
  <c r="H11" i="40"/>
  <c r="AB11" i="40"/>
  <c r="W8" i="40"/>
  <c r="AB39" i="40"/>
  <c r="U9" i="40"/>
  <c r="S34" i="40"/>
  <c r="U38"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J15" i="34"/>
  <c r="W15" i="34" s="1"/>
  <c r="H15" i="34"/>
  <c r="AB15" i="34" s="1"/>
  <c r="W8" i="34"/>
  <c r="J28" i="34"/>
  <c r="F41" i="33"/>
  <c r="AA41" i="33" s="1"/>
  <c r="S38" i="33"/>
  <c r="F32" i="33"/>
  <c r="AA32" i="33" s="1"/>
  <c r="J19" i="33"/>
  <c r="AC19"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F29" i="35"/>
  <c r="S29" i="35" s="1"/>
  <c r="H29" i="35"/>
  <c r="AB29" i="35" s="1"/>
  <c r="H33" i="37"/>
  <c r="F33" i="37"/>
  <c r="AA33" i="37" s="1"/>
  <c r="U34" i="37"/>
  <c r="S34" i="37"/>
  <c r="AA34" i="37"/>
  <c r="J43" i="34"/>
  <c r="AB42" i="34"/>
  <c r="J40" i="34"/>
  <c r="H38" i="34"/>
  <c r="AB38" i="34" s="1"/>
  <c r="J36" i="34"/>
  <c r="W36" i="34" s="1"/>
  <c r="H25" i="34"/>
  <c r="AB25" i="34" s="1"/>
  <c r="J25" i="34"/>
  <c r="AC25" i="34" s="1"/>
  <c r="AB23" i="34"/>
  <c r="F23" i="34"/>
  <c r="AA23" i="34"/>
  <c r="J19" i="34"/>
  <c r="AC19" i="34" s="1"/>
  <c r="F17" i="34"/>
  <c r="AA17" i="34" s="1"/>
  <c r="J17" i="34"/>
  <c r="W17" i="34" s="1"/>
  <c r="S41"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H30" i="21"/>
  <c r="AB30" i="21" s="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H27" i="21"/>
  <c r="AB27" i="2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s="1"/>
  <c r="F13" i="34"/>
  <c r="AA13" i="34" s="1"/>
  <c r="J29" i="34"/>
  <c r="W29" i="34" s="1"/>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c r="H13" i="35"/>
  <c r="U13" i="35" s="1"/>
  <c r="W25" i="35"/>
  <c r="F25" i="35"/>
  <c r="S25" i="35" s="1"/>
  <c r="H25" i="35"/>
  <c r="AB25" i="35" s="1"/>
  <c r="J35" i="35"/>
  <c r="AC35" i="35" s="1"/>
  <c r="F35" i="35"/>
  <c r="AA35" i="35" s="1"/>
  <c r="H35" i="35"/>
  <c r="J25" i="36"/>
  <c r="W25" i="36"/>
  <c r="F25" i="36"/>
  <c r="S25" i="36" s="1"/>
  <c r="H25" i="36"/>
  <c r="AB25" i="36"/>
  <c r="H13" i="37"/>
  <c r="AB13" i="37" s="1"/>
  <c r="F28" i="37"/>
  <c r="AA28" i="37" s="1"/>
  <c r="J28" i="37"/>
  <c r="AC28" i="37" s="1"/>
  <c r="H28" i="37"/>
  <c r="H38" i="37"/>
  <c r="AB38" i="37"/>
  <c r="F38" i="37"/>
  <c r="S38" i="37" s="1"/>
  <c r="F43" i="39"/>
  <c r="AA43" i="39" s="1"/>
  <c r="H43" i="39"/>
  <c r="J14" i="39"/>
  <c r="AC14" i="39" s="1"/>
  <c r="F12" i="40"/>
  <c r="S12" i="40"/>
  <c r="H12" i="40"/>
  <c r="AB12" i="40" s="1"/>
  <c r="H30" i="40"/>
  <c r="AB30" i="40"/>
  <c r="F33" i="40"/>
  <c r="AA33" i="40" s="1"/>
  <c r="H33" i="40"/>
  <c r="U33" i="40"/>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S11" i="36"/>
  <c r="AB46" i="34"/>
  <c r="S45" i="33"/>
  <c r="AB45" i="33"/>
  <c r="BA586" i="3"/>
  <c r="F17" i="21"/>
  <c r="AA17" i="21" s="1"/>
  <c r="H17" i="21"/>
  <c r="AB17" i="21" s="1"/>
  <c r="F15" i="21"/>
  <c r="S15" i="21" s="1"/>
  <c r="J41" i="39"/>
  <c r="W41" i="39" s="1"/>
  <c r="W44" i="39"/>
  <c r="S35" i="39"/>
  <c r="G544" i="3"/>
  <c r="G536" i="3"/>
  <c r="G532" i="3"/>
  <c r="G531" i="3"/>
  <c r="G528" i="3"/>
  <c r="G523" i="3"/>
  <c r="G514" i="3"/>
  <c r="G508" i="3"/>
  <c r="G500" i="3"/>
  <c r="G584" i="3"/>
  <c r="G580" i="3"/>
  <c r="G576" i="3"/>
  <c r="G572" i="3"/>
  <c r="G568" i="3"/>
  <c r="G564" i="3"/>
  <c r="G554" i="3"/>
  <c r="BL584" i="3"/>
  <c r="AZ584" i="3" s="1"/>
  <c r="BL580" i="3"/>
  <c r="BL576" i="3"/>
  <c r="BL572" i="3"/>
  <c r="BL568" i="3"/>
  <c r="BL538" i="3"/>
  <c r="BL516" i="3"/>
  <c r="BL494" i="3"/>
  <c r="BL582" i="3"/>
  <c r="BL578" i="3"/>
  <c r="BL574" i="3"/>
  <c r="BL570" i="3"/>
  <c r="BL540" i="3"/>
  <c r="G529" i="3"/>
  <c r="BL528" i="3"/>
  <c r="BL510" i="3"/>
  <c r="G493" i="3"/>
  <c r="BA584" i="3"/>
  <c r="BA582" i="3"/>
  <c r="AZ582" i="3" s="1"/>
  <c r="BA580" i="3"/>
  <c r="AZ580" i="3" s="1"/>
  <c r="BA578" i="3"/>
  <c r="BA576" i="3"/>
  <c r="BA574" i="3"/>
  <c r="BA572" i="3"/>
  <c r="BA570" i="3"/>
  <c r="BA566" i="3"/>
  <c r="BA552" i="3"/>
  <c r="BA542" i="3"/>
  <c r="BA536" i="3"/>
  <c r="BA520" i="3"/>
  <c r="BA504" i="3"/>
  <c r="BA496" i="3"/>
  <c r="BA583" i="3"/>
  <c r="BA581" i="3"/>
  <c r="BA579" i="3"/>
  <c r="BA577" i="3"/>
  <c r="BA575" i="3"/>
  <c r="AZ575" i="3" s="1"/>
  <c r="BA573" i="3"/>
  <c r="BA571" i="3"/>
  <c r="BA567" i="3"/>
  <c r="BA563" i="3"/>
  <c r="BA547" i="3"/>
  <c r="BA537" i="3"/>
  <c r="BA527" i="3"/>
  <c r="BA513" i="3"/>
  <c r="BA501"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c r="BQ573" i="3"/>
  <c r="BL573" i="3" s="1"/>
  <c r="BQ571" i="3"/>
  <c r="BL571" i="3" s="1"/>
  <c r="BQ569" i="3"/>
  <c r="BL569" i="3" s="1"/>
  <c r="BQ567" i="3"/>
  <c r="BL567" i="3"/>
  <c r="BQ565" i="3"/>
  <c r="BQ563" i="3"/>
  <c r="BL563" i="3"/>
  <c r="BQ561" i="3"/>
  <c r="BQ559" i="3"/>
  <c r="G555" i="3"/>
  <c r="G547" i="3"/>
  <c r="G545" i="3"/>
  <c r="G539" i="3"/>
  <c r="G537" i="3"/>
  <c r="BQ555" i="3"/>
  <c r="BQ553" i="3"/>
  <c r="BQ551" i="3"/>
  <c r="BQ549" i="3"/>
  <c r="BQ547" i="3"/>
  <c r="BL547" i="3" s="1"/>
  <c r="AZ547" i="3" s="1"/>
  <c r="BQ545" i="3"/>
  <c r="BQ543" i="3"/>
  <c r="BQ541" i="3"/>
  <c r="BQ539" i="3"/>
  <c r="BQ537" i="3"/>
  <c r="BQ535" i="3"/>
  <c r="BQ533" i="3"/>
  <c r="BQ531" i="3"/>
  <c r="BQ529" i="3"/>
  <c r="BQ527" i="3"/>
  <c r="BQ525" i="3"/>
  <c r="BQ523" i="3"/>
  <c r="AC521" i="3"/>
  <c r="G521" i="3"/>
  <c r="BQ521" i="3"/>
  <c r="G519" i="3"/>
  <c r="G517" i="3"/>
  <c r="G515" i="3"/>
  <c r="G511" i="3"/>
  <c r="BQ519" i="3"/>
  <c r="BQ517" i="3"/>
  <c r="BQ515" i="3"/>
  <c r="BL515" i="3" s="1"/>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s="1"/>
  <c r="H23" i="37"/>
  <c r="AB23" i="37"/>
  <c r="J32" i="37"/>
  <c r="AC32" i="37" s="1"/>
  <c r="F36" i="37"/>
  <c r="AA36" i="37"/>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9" i="21"/>
  <c r="AB38" i="21"/>
  <c r="F43" i="33"/>
  <c r="AA43" i="33"/>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79" i="3"/>
  <c r="AZ176" i="3"/>
  <c r="AZ120" i="3"/>
  <c r="G530" i="3"/>
  <c r="G522" i="3"/>
  <c r="G516" i="3"/>
  <c r="G50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62"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AZ387" i="3" s="1"/>
  <c r="BL388" i="3"/>
  <c r="G389" i="3"/>
  <c r="BA391" i="3"/>
  <c r="BL392" i="3"/>
  <c r="AZ392" i="3" s="1"/>
  <c r="G393" i="3"/>
  <c r="AZ283" i="3"/>
  <c r="BO5" i="3"/>
  <c r="BJ5" i="3"/>
  <c r="BF5" i="3"/>
  <c r="AZ325" i="3"/>
  <c r="AC5" i="3"/>
  <c r="G538" i="3"/>
  <c r="G502" i="3"/>
  <c r="BP5" i="3"/>
  <c r="BK5" i="3"/>
  <c r="BG5" i="3"/>
  <c r="G17" i="3"/>
  <c r="BA17" i="3"/>
  <c r="BA15" i="3"/>
  <c r="AZ15" i="3" s="1"/>
  <c r="AZ380" i="3"/>
  <c r="G509" i="3"/>
  <c r="U36" i="40"/>
  <c r="F83" i="43"/>
  <c r="H85" i="43" s="1"/>
  <c r="F50" i="43"/>
  <c r="H54" i="43" s="1"/>
  <c r="F72" i="43"/>
  <c r="H75" i="43" s="1"/>
  <c r="U17" i="39"/>
  <c r="U43" i="21"/>
  <c r="U35" i="21"/>
  <c r="AC35" i="21"/>
  <c r="AZ563" i="3"/>
  <c r="W37" i="37"/>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4" i="36"/>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AZ271" i="3"/>
  <c r="AZ280" i="3"/>
  <c r="AZ74" i="3"/>
  <c r="F23" i="39"/>
  <c r="AA23" i="39"/>
  <c r="H27" i="36"/>
  <c r="U27" i="36" s="1"/>
  <c r="H33" i="34"/>
  <c r="U33" i="34"/>
  <c r="F32" i="37"/>
  <c r="AA32" i="37"/>
  <c r="H96" i="37"/>
  <c r="I96" i="37" s="1"/>
  <c r="J96" i="37" s="1"/>
  <c r="K96" i="37" s="1"/>
  <c r="L96" i="37" s="1"/>
  <c r="M96" i="37" s="1"/>
  <c r="F20" i="36"/>
  <c r="AA20" i="36" s="1"/>
  <c r="J33" i="34"/>
  <c r="H23" i="39"/>
  <c r="U23" i="39" s="1"/>
  <c r="D48" i="9"/>
  <c r="M52" i="9" s="1"/>
  <c r="K9" i="1"/>
  <c r="M9" i="1" s="1"/>
  <c r="D93" i="9"/>
  <c r="AC26" i="33"/>
  <c r="W26" i="33"/>
  <c r="AC27" i="34"/>
  <c r="AB34" i="36"/>
  <c r="U34" i="36"/>
  <c r="AB33" i="36"/>
  <c r="U33" i="36"/>
  <c r="AC12" i="39"/>
  <c r="W12" i="39"/>
  <c r="AC39" i="40"/>
  <c r="W39" i="40"/>
  <c r="AZ412" i="3"/>
  <c r="AZ433" i="3"/>
  <c r="W12" i="33"/>
  <c r="AC12" i="33"/>
  <c r="AA32" i="36"/>
  <c r="S32" i="36"/>
  <c r="AZ437" i="3"/>
  <c r="BL14" i="3"/>
  <c r="U30" i="33"/>
  <c r="AC13" i="34"/>
  <c r="AA47" i="34"/>
  <c r="S19" i="39"/>
  <c r="F12" i="33"/>
  <c r="H12" i="39"/>
  <c r="AB12" i="39" s="1"/>
  <c r="F39" i="40"/>
  <c r="S39" i="40" s="1"/>
  <c r="AZ286" i="3"/>
  <c r="AZ189" i="3"/>
  <c r="B12" i="1"/>
  <c r="E12" i="1" s="1"/>
  <c r="B10" i="1"/>
  <c r="E10" i="1" s="1"/>
  <c r="K12" i="1"/>
  <c r="M12" i="1" s="1"/>
  <c r="S13" i="1"/>
  <c r="AR13" i="1" s="1"/>
  <c r="R13" i="1"/>
  <c r="J51" i="67"/>
  <c r="C42" i="1"/>
  <c r="AA34" i="33"/>
  <c r="B41" i="1"/>
  <c r="F30" i="11" s="1"/>
  <c r="C48" i="11"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AA29"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U9" i="33"/>
  <c r="J10" i="33"/>
  <c r="W10" i="33" s="1"/>
  <c r="H10" i="33"/>
  <c r="U10" i="33" s="1"/>
  <c r="AB14" i="33"/>
  <c r="W43" i="21"/>
  <c r="W36" i="21"/>
  <c r="W41" i="21"/>
  <c r="AB39" i="21"/>
  <c r="AA43" i="21"/>
  <c r="S39" i="21"/>
  <c r="AA38" i="21"/>
  <c r="AA36" i="21"/>
  <c r="AC40" i="21"/>
  <c r="J15" i="21"/>
  <c r="F77" i="21"/>
  <c r="G77" i="21" s="1"/>
  <c r="F23" i="21"/>
  <c r="E85" i="21"/>
  <c r="AA14" i="21"/>
  <c r="D120" i="9"/>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AB15" i="21"/>
  <c r="J23" i="21"/>
  <c r="F85" i="21"/>
  <c r="G85" i="21" s="1"/>
  <c r="H23" i="21"/>
  <c r="S13" i="21"/>
  <c r="AP7" i="1"/>
  <c r="AB45" i="21"/>
  <c r="AA32" i="21"/>
  <c r="S32" i="21"/>
  <c r="W9" i="21"/>
  <c r="AC9" i="21"/>
  <c r="AB32" i="21"/>
  <c r="U32" i="21"/>
  <c r="A18" i="62"/>
  <c r="B64" i="72" s="1"/>
  <c r="U32" i="39"/>
  <c r="W23" i="37"/>
  <c r="J63" i="37"/>
  <c r="K63" i="37" s="1"/>
  <c r="L63" i="37" s="1"/>
  <c r="M63" i="37" s="1"/>
  <c r="J11" i="37"/>
  <c r="AC11" i="37" s="1"/>
  <c r="J11" i="34"/>
  <c r="W11" i="34" s="1"/>
  <c r="W2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F3" i="73"/>
  <c r="B7" i="76"/>
  <c r="E10" i="76"/>
  <c r="E12" i="76"/>
  <c r="F6" i="73"/>
  <c r="B8" i="76"/>
  <c r="F8" i="15"/>
  <c r="E11" i="76"/>
  <c r="B9" i="76"/>
  <c r="F20" i="31"/>
  <c r="F13" i="15"/>
  <c r="F7" i="73"/>
  <c r="B12" i="76"/>
  <c r="J15" i="15"/>
  <c r="B11" i="76"/>
  <c r="E8" i="76"/>
  <c r="B10" i="76"/>
  <c r="AO13" i="1"/>
  <c r="D35" i="9"/>
  <c r="F4" i="73"/>
  <c r="M24" i="15"/>
  <c r="D34" i="9"/>
  <c r="D6" i="73"/>
  <c r="M6" i="15"/>
  <c r="E2" i="68"/>
  <c r="E7" i="76"/>
  <c r="E9" i="76"/>
  <c r="B13" i="76"/>
  <c r="E13" i="76"/>
  <c r="E2" i="69"/>
  <c r="U30" i="36" l="1"/>
  <c r="W14" i="36"/>
  <c r="S14" i="36"/>
  <c r="AB14" i="36"/>
  <c r="F27" i="36"/>
  <c r="AA27" i="36" s="1"/>
  <c r="J27" i="36"/>
  <c r="W27" i="36" s="1"/>
  <c r="U14" i="35"/>
  <c r="S14" i="35"/>
  <c r="H37" i="34"/>
  <c r="U37" i="34" s="1"/>
  <c r="S17" i="34"/>
  <c r="F15" i="34"/>
  <c r="AA15" i="34" s="1"/>
  <c r="U15" i="34"/>
  <c r="AC15" i="34"/>
  <c r="U34" i="34"/>
  <c r="F36" i="33"/>
  <c r="J36" i="33"/>
  <c r="W36" i="33" s="1"/>
  <c r="H111" i="33"/>
  <c r="I111" i="33" s="1"/>
  <c r="J111" i="33" s="1"/>
  <c r="K111" i="33" s="1"/>
  <c r="L111" i="33" s="1"/>
  <c r="M111" i="33" s="1"/>
  <c r="H36" i="33"/>
  <c r="F17" i="33"/>
  <c r="S17" i="33" s="1"/>
  <c r="F79" i="33"/>
  <c r="G79" i="33" s="1"/>
  <c r="W17" i="33"/>
  <c r="AA17" i="33"/>
  <c r="S15" i="33"/>
  <c r="J15" i="33"/>
  <c r="AC15" i="33" s="1"/>
  <c r="U15" i="33"/>
  <c r="W15" i="33"/>
  <c r="BC5" i="3"/>
  <c r="D3" i="35"/>
  <c r="S31" i="35"/>
  <c r="U31" i="35"/>
  <c r="U33" i="33"/>
  <c r="W33" i="33"/>
  <c r="U11" i="33"/>
  <c r="S11" i="33"/>
  <c r="AC11" i="33"/>
  <c r="G1" i="84"/>
  <c r="G1" i="86"/>
  <c r="G1" i="85"/>
  <c r="U38" i="39"/>
  <c r="S38" i="39"/>
  <c r="U11" i="39"/>
  <c r="M18" i="15"/>
  <c r="M18" i="67"/>
  <c r="F48" i="9"/>
  <c r="O52" i="9" s="1"/>
  <c r="F28" i="86"/>
  <c r="C28" i="86" s="1"/>
  <c r="M18" i="86"/>
  <c r="F32" i="85"/>
  <c r="F32" i="86"/>
  <c r="F28" i="85"/>
  <c r="C28" i="85" s="1"/>
  <c r="M18" i="85"/>
  <c r="F28" i="84"/>
  <c r="F32" i="84"/>
  <c r="F60" i="84" s="1"/>
  <c r="M18" i="84"/>
  <c r="F32" i="15"/>
  <c r="F60" i="15" s="1"/>
  <c r="F52" i="9"/>
  <c r="F30" i="68"/>
  <c r="F48" i="68" s="1"/>
  <c r="F54" i="9"/>
  <c r="F30" i="69"/>
  <c r="F48" i="69" s="1"/>
  <c r="F31" i="12"/>
  <c r="D68" i="9"/>
  <c r="F28" i="15"/>
  <c r="F32" i="67"/>
  <c r="F60" i="67" s="1"/>
  <c r="F28" i="67"/>
  <c r="C28" i="67" s="1"/>
  <c r="C40" i="68"/>
  <c r="F34" i="68"/>
  <c r="C36" i="68" s="1"/>
  <c r="BA14" i="3"/>
  <c r="AZ14" i="3" s="1"/>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s="1"/>
  <c r="D6" i="52"/>
  <c r="AA27" i="40"/>
  <c r="AC27" i="40"/>
  <c r="W27" i="40"/>
  <c r="AZ501" i="3"/>
  <c r="AZ520" i="3"/>
  <c r="AC31" i="33"/>
  <c r="H27" i="34"/>
  <c r="BL523" i="3"/>
  <c r="AZ523" i="3" s="1"/>
  <c r="AZ572" i="3"/>
  <c r="BL496" i="3"/>
  <c r="AZ496" i="3" s="1"/>
  <c r="H14" i="39"/>
  <c r="J13" i="37"/>
  <c r="J13" i="21"/>
  <c r="AA44" i="34"/>
  <c r="AA29" i="35"/>
  <c r="S9" i="40"/>
  <c r="AA9" i="40"/>
  <c r="S35" i="35"/>
  <c r="W37" i="40"/>
  <c r="AC15" i="37"/>
  <c r="AC34" i="33"/>
  <c r="W28" i="37"/>
  <c r="AC17" i="34"/>
  <c r="AC11" i="39"/>
  <c r="BE5" i="3"/>
  <c r="BN5" i="3"/>
  <c r="G29" i="6" s="1"/>
  <c r="E29" i="6" s="1"/>
  <c r="K15" i="1" s="1"/>
  <c r="AZ391" i="3"/>
  <c r="AZ318" i="3"/>
  <c r="AZ364" i="3"/>
  <c r="AZ329" i="3"/>
  <c r="AZ304" i="3"/>
  <c r="AZ306" i="3"/>
  <c r="W8" i="39"/>
  <c r="AA15" i="37"/>
  <c r="W16" i="35"/>
  <c r="AA24" i="35"/>
  <c r="S21" i="40"/>
  <c r="BL535" i="3"/>
  <c r="AZ535" i="3" s="1"/>
  <c r="BL565" i="3"/>
  <c r="AZ565" i="3" s="1"/>
  <c r="AZ571" i="3"/>
  <c r="AZ579" i="3"/>
  <c r="AZ574" i="3"/>
  <c r="S14" i="34"/>
  <c r="AA14" i="34"/>
  <c r="F28" i="21"/>
  <c r="W28" i="34"/>
  <c r="AC28" i="34"/>
  <c r="S35" i="34"/>
  <c r="AA35" i="34"/>
  <c r="J12" i="34"/>
  <c r="H12" i="34"/>
  <c r="F12" i="34"/>
  <c r="S12" i="34" s="1"/>
  <c r="AZ513" i="3"/>
  <c r="AZ537" i="3"/>
  <c r="AZ552" i="3"/>
  <c r="AZ566" i="3"/>
  <c r="AZ540" i="3"/>
  <c r="U17" i="34"/>
  <c r="AB17" i="34"/>
  <c r="AB36" i="39"/>
  <c r="U36" i="39"/>
  <c r="BL585" i="3"/>
  <c r="AZ585" i="3" s="1"/>
  <c r="AB34" i="35"/>
  <c r="U34" i="35"/>
  <c r="AA44" i="39"/>
  <c r="S44" i="39"/>
  <c r="AC31" i="40"/>
  <c r="W31" i="40"/>
  <c r="AB41" i="21"/>
  <c r="U41" i="21"/>
  <c r="BL564" i="3"/>
  <c r="AZ564" i="3" s="1"/>
  <c r="BA561" i="3"/>
  <c r="AZ561" i="3" s="1"/>
  <c r="BA560" i="3"/>
  <c r="AZ560" i="3" s="1"/>
  <c r="BL558" i="3"/>
  <c r="AZ558" i="3" s="1"/>
  <c r="BA549" i="3"/>
  <c r="AZ549" i="3" s="1"/>
  <c r="BL544" i="3"/>
  <c r="AZ544" i="3" s="1"/>
  <c r="BL542" i="3"/>
  <c r="AZ542" i="3" s="1"/>
  <c r="BA541" i="3"/>
  <c r="AZ541" i="3" s="1"/>
  <c r="BA538" i="3"/>
  <c r="AZ538" i="3" s="1"/>
  <c r="BL537" i="3"/>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AA15" i="21"/>
  <c r="AB45" i="34"/>
  <c r="S27" i="33"/>
  <c r="F9" i="35"/>
  <c r="S9" i="35" s="1"/>
  <c r="AZ388" i="3"/>
  <c r="AZ345" i="3"/>
  <c r="AZ372" i="3"/>
  <c r="AZ347" i="3"/>
  <c r="AZ337" i="3"/>
  <c r="AZ376" i="3"/>
  <c r="AZ324" i="3"/>
  <c r="AZ309" i="3"/>
  <c r="AA11" i="39"/>
  <c r="H5" i="3"/>
  <c r="AC12" i="37"/>
  <c r="W44" i="21"/>
  <c r="BL503" i="3"/>
  <c r="AZ503" i="3" s="1"/>
  <c r="BL511" i="3"/>
  <c r="AZ511" i="3" s="1"/>
  <c r="BL527" i="3"/>
  <c r="AZ527" i="3" s="1"/>
  <c r="BL539" i="3"/>
  <c r="AZ539" i="3" s="1"/>
  <c r="BL543" i="3"/>
  <c r="AZ543" i="3" s="1"/>
  <c r="BL553" i="3"/>
  <c r="AZ553" i="3" s="1"/>
  <c r="BL557" i="3"/>
  <c r="AZ557" i="3" s="1"/>
  <c r="AZ570" i="3"/>
  <c r="AC28" i="21"/>
  <c r="AC9" i="34"/>
  <c r="W9" i="34"/>
  <c r="S38" i="40"/>
  <c r="AA38" i="40"/>
  <c r="BA569" i="3"/>
  <c r="AZ569" i="3" s="1"/>
  <c r="BA568" i="3"/>
  <c r="AZ568" i="3" s="1"/>
  <c r="BL566" i="3"/>
  <c r="G585" i="3"/>
  <c r="BL587" i="3"/>
  <c r="AZ587" i="3" s="1"/>
  <c r="BL586" i="3"/>
  <c r="AZ586" i="3" s="1"/>
  <c r="F12" i="35"/>
  <c r="J12" i="35"/>
  <c r="AZ400" i="3"/>
  <c r="BL519" i="3"/>
  <c r="AZ519" i="3" s="1"/>
  <c r="BL531" i="3"/>
  <c r="AZ531" i="3" s="1"/>
  <c r="BL559" i="3"/>
  <c r="AZ559" i="3" s="1"/>
  <c r="AZ573" i="3"/>
  <c r="AZ583" i="3"/>
  <c r="AZ576" i="3"/>
  <c r="G587" i="3"/>
  <c r="H25" i="37"/>
  <c r="F25" i="37"/>
  <c r="G574" i="3"/>
  <c r="AZ458" i="3"/>
  <c r="AZ462" i="3"/>
  <c r="AZ402" i="3"/>
  <c r="AZ406" i="3"/>
  <c r="B75" i="43"/>
  <c r="J9" i="36"/>
  <c r="H24" i="36"/>
  <c r="G570" i="3"/>
  <c r="G551" i="3"/>
  <c r="BL550" i="3"/>
  <c r="G542" i="3"/>
  <c r="BA551" i="3"/>
  <c r="AZ551" i="3" s="1"/>
  <c r="BA550" i="3"/>
  <c r="BL548" i="3"/>
  <c r="AZ548" i="3" s="1"/>
  <c r="G398" i="3"/>
  <c r="BL400" i="3"/>
  <c r="BL408" i="3"/>
  <c r="BL411" i="3"/>
  <c r="BL413" i="3"/>
  <c r="AZ413" i="3" s="1"/>
  <c r="G415" i="3"/>
  <c r="BL417" i="3"/>
  <c r="BL418" i="3"/>
  <c r="AZ418" i="3" s="1"/>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BL328" i="3"/>
  <c r="AZ328" i="3" s="1"/>
  <c r="BA335" i="3"/>
  <c r="AZ335" i="3" s="1"/>
  <c r="BA339" i="3"/>
  <c r="AZ339" i="3" s="1"/>
  <c r="G343" i="3"/>
  <c r="G347" i="3"/>
  <c r="BA348" i="3"/>
  <c r="BA350" i="3"/>
  <c r="AZ350" i="3" s="1"/>
  <c r="BA354" i="3"/>
  <c r="BA366" i="3"/>
  <c r="AZ366" i="3" s="1"/>
  <c r="BL375" i="3"/>
  <c r="AZ375" i="3" s="1"/>
  <c r="BL225" i="3"/>
  <c r="BL226" i="3"/>
  <c r="BA239" i="3"/>
  <c r="BL239" i="3"/>
  <c r="BA241" i="3"/>
  <c r="AZ241" i="3" s="1"/>
  <c r="BL241" i="3"/>
  <c r="BA244" i="3"/>
  <c r="AZ244" i="3" s="1"/>
  <c r="BL398" i="3"/>
  <c r="BL403" i="3"/>
  <c r="G405" i="3"/>
  <c r="BA408" i="3"/>
  <c r="AZ408" i="3" s="1"/>
  <c r="BA409" i="3"/>
  <c r="AZ409" i="3" s="1"/>
  <c r="BA411" i="3"/>
  <c r="BL414" i="3"/>
  <c r="BL415" i="3"/>
  <c r="AZ415" i="3" s="1"/>
  <c r="BA417" i="3"/>
  <c r="AZ417" i="3" s="1"/>
  <c r="BL421" i="3"/>
  <c r="BL422" i="3"/>
  <c r="BL425" i="3"/>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G249" i="3"/>
  <c r="G253" i="3"/>
  <c r="AZ398" i="3"/>
  <c r="AZ414" i="3"/>
  <c r="AZ421" i="3"/>
  <c r="AZ425" i="3"/>
  <c r="AZ435" i="3"/>
  <c r="AZ451" i="3"/>
  <c r="AZ454" i="3"/>
  <c r="AZ459" i="3"/>
  <c r="AZ469" i="3"/>
  <c r="AZ48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A247" i="3"/>
  <c r="BL247" i="3"/>
  <c r="BL255" i="3"/>
  <c r="G257" i="3"/>
  <c r="BL257" i="3"/>
  <c r="AZ257" i="3" s="1"/>
  <c r="BL258" i="3"/>
  <c r="G259" i="3"/>
  <c r="BA262" i="3"/>
  <c r="AZ262" i="3" s="1"/>
  <c r="BL265" i="3"/>
  <c r="AZ265" i="3" s="1"/>
  <c r="BA273" i="3"/>
  <c r="AZ273" i="3" s="1"/>
  <c r="BA278" i="3"/>
  <c r="AZ278" i="3" s="1"/>
  <c r="G288" i="3"/>
  <c r="BL292" i="3"/>
  <c r="BA114"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G50" i="3"/>
  <c r="BA50" i="3"/>
  <c r="BA55" i="3"/>
  <c r="AZ55" i="3" s="1"/>
  <c r="BA56" i="3"/>
  <c r="BA57" i="3"/>
  <c r="BL58" i="3"/>
  <c r="BA60" i="3"/>
  <c r="BA71" i="3"/>
  <c r="BA88" i="3"/>
  <c r="AZ88" i="3" s="1"/>
  <c r="G102"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4" i="3"/>
  <c r="AZ144" i="3" s="1"/>
  <c r="BA153" i="3"/>
  <c r="BL155" i="3"/>
  <c r="AZ155" i="3" s="1"/>
  <c r="BA164" i="3"/>
  <c r="AZ164" i="3" s="1"/>
  <c r="BA166" i="3"/>
  <c r="AZ166" i="3" s="1"/>
  <c r="BA178" i="3"/>
  <c r="AZ178" i="3" s="1"/>
  <c r="BA184" i="3"/>
  <c r="AZ184" i="3" s="1"/>
  <c r="AZ64" i="3"/>
  <c r="AZ65" i="3"/>
  <c r="BA92" i="3"/>
  <c r="BL96" i="3"/>
  <c r="BL100" i="3"/>
  <c r="C47" i="71"/>
  <c r="D47" i="71" s="1"/>
  <c r="D46" i="71"/>
  <c r="BL244" i="3"/>
  <c r="BA246" i="3"/>
  <c r="BA252" i="3"/>
  <c r="AZ252" i="3" s="1"/>
  <c r="BA254" i="3"/>
  <c r="AZ254" i="3" s="1"/>
  <c r="BA256" i="3"/>
  <c r="BL256" i="3"/>
  <c r="BA258" i="3"/>
  <c r="BA268" i="3"/>
  <c r="BL273" i="3"/>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70" i="3"/>
  <c r="BA173" i="3"/>
  <c r="AZ173" i="3" s="1"/>
  <c r="BA174" i="3"/>
  <c r="BA181" i="3"/>
  <c r="AZ181" i="3" s="1"/>
  <c r="BA182"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L50" i="3"/>
  <c r="BL51" i="3"/>
  <c r="AZ51" i="3" s="1"/>
  <c r="D31" i="71"/>
  <c r="C32" i="71"/>
  <c r="C52" i="71"/>
  <c r="D51" i="71"/>
  <c r="C55" i="71"/>
  <c r="D54" i="71"/>
  <c r="C60" i="71"/>
  <c r="D59" i="71"/>
  <c r="N67" i="71"/>
  <c r="B66" i="71"/>
  <c r="F66" i="71"/>
  <c r="Q67" i="71"/>
  <c r="BL248" i="3"/>
  <c r="AZ248" i="3" s="1"/>
  <c r="G250" i="3"/>
  <c r="BL250" i="3"/>
  <c r="AZ250" i="3" s="1"/>
  <c r="G252" i="3"/>
  <c r="G254" i="3"/>
  <c r="BA259" i="3"/>
  <c r="AZ259" i="3" s="1"/>
  <c r="BL261" i="3"/>
  <c r="BA263" i="3"/>
  <c r="AZ263" i="3" s="1"/>
  <c r="BA267" i="3"/>
  <c r="AZ267"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4" i="3"/>
  <c r="BA63" i="3"/>
  <c r="BL68" i="3"/>
  <c r="BA69" i="3"/>
  <c r="AZ69" i="3" s="1"/>
  <c r="BA77" i="3"/>
  <c r="AZ77" i="3" s="1"/>
  <c r="P65" i="71"/>
  <c r="P66" i="7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G54" i="3"/>
  <c r="G55" i="3"/>
  <c r="BL56" i="3"/>
  <c r="BA58" i="3"/>
  <c r="BL59" i="3"/>
  <c r="AZ59" i="3" s="1"/>
  <c r="BL60" i="3"/>
  <c r="BA61" i="3"/>
  <c r="AZ61" i="3" s="1"/>
  <c r="BA68" i="3"/>
  <c r="BA73" i="3"/>
  <c r="BA80" i="3"/>
  <c r="G84" i="3"/>
  <c r="BL84" i="3"/>
  <c r="AZ84" i="3" s="1"/>
  <c r="BA89" i="3"/>
  <c r="G99" i="3"/>
  <c r="BA103" i="3"/>
  <c r="AZ103" i="3" s="1"/>
  <c r="BA104" i="3"/>
  <c r="BA106" i="3"/>
  <c r="BL108" i="3"/>
  <c r="G110" i="3"/>
  <c r="BL111" i="3"/>
  <c r="C5" i="68"/>
  <c r="C21"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E23" i="71"/>
  <c r="E22" i="71" s="1"/>
  <c r="E21" i="71" s="1"/>
  <c r="E20" i="71" s="1"/>
  <c r="G52" i="3"/>
  <c r="BA52" i="3"/>
  <c r="AZ52" i="3" s="1"/>
  <c r="BA53" i="3"/>
  <c r="AZ53" i="3" s="1"/>
  <c r="BA54" i="3"/>
  <c r="BL57" i="3"/>
  <c r="G59" i="3"/>
  <c r="G62" i="3"/>
  <c r="BL62" i="3"/>
  <c r="AZ62" i="3" s="1"/>
  <c r="BL63" i="3"/>
  <c r="G65" i="3"/>
  <c r="BL65" i="3"/>
  <c r="BL66" i="3"/>
  <c r="AZ66" i="3" s="1"/>
  <c r="BL67" i="3"/>
  <c r="AZ67" i="3" s="1"/>
  <c r="G69" i="3"/>
  <c r="G70" i="3"/>
  <c r="BL70" i="3"/>
  <c r="AZ70" i="3" s="1"/>
  <c r="BL71" i="3"/>
  <c r="BL72" i="3"/>
  <c r="AZ72" i="3" s="1"/>
  <c r="G74" i="3"/>
  <c r="G75" i="3"/>
  <c r="BL75" i="3"/>
  <c r="AZ75" i="3" s="1"/>
  <c r="BL81" i="3"/>
  <c r="BA82" i="3"/>
  <c r="AZ82" i="3" s="1"/>
  <c r="BL83" i="3"/>
  <c r="G88" i="3"/>
  <c r="BA90" i="3"/>
  <c r="BL94" i="3"/>
  <c r="AZ94" i="3" s="1"/>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15"/>
  <c r="B13" i="70"/>
  <c r="D9" i="68"/>
  <c r="M28" i="86"/>
  <c r="M23" i="86"/>
  <c r="M9" i="85"/>
  <c r="F37" i="86"/>
  <c r="D4" i="73"/>
  <c r="L48" i="84"/>
  <c r="M26" i="84"/>
  <c r="J15" i="86"/>
  <c r="F13" i="86"/>
  <c r="M26" i="85"/>
  <c r="F7" i="85"/>
  <c r="F40" i="67"/>
  <c r="F38" i="15"/>
  <c r="D3" i="73"/>
  <c r="J15" i="67"/>
  <c r="M28" i="15"/>
  <c r="M23" i="15"/>
  <c r="M28" i="67"/>
  <c r="M9" i="84"/>
  <c r="M27" i="86"/>
  <c r="L47" i="86"/>
  <c r="F16" i="85"/>
  <c r="D7" i="73"/>
  <c r="C76" i="15"/>
  <c r="J15" i="84"/>
  <c r="M8" i="86"/>
  <c r="F42" i="86"/>
  <c r="F6" i="85"/>
  <c r="F40" i="85"/>
  <c r="F13" i="67"/>
  <c r="L47" i="15"/>
  <c r="M22" i="67"/>
  <c r="M24" i="84"/>
  <c r="L47" i="84"/>
  <c r="F9" i="86"/>
  <c r="M28" i="85"/>
  <c r="M29" i="86"/>
  <c r="M26" i="67"/>
  <c r="M9" i="67"/>
  <c r="J15" i="85"/>
  <c r="F36" i="85"/>
  <c r="M6" i="84"/>
  <c r="M6" i="67"/>
  <c r="F8" i="84"/>
  <c r="F26" i="85"/>
  <c r="L47" i="67"/>
  <c r="F42" i="85"/>
  <c r="C76" i="84"/>
  <c r="F13" i="84"/>
  <c r="M6" i="86"/>
  <c r="F7" i="86"/>
  <c r="M22" i="85"/>
  <c r="F9" i="67"/>
  <c r="F40" i="15"/>
  <c r="L48" i="67"/>
  <c r="F37" i="67"/>
  <c r="M8" i="67"/>
  <c r="F37" i="15"/>
  <c r="M26" i="15"/>
  <c r="F43" i="84"/>
  <c r="M27" i="84"/>
  <c r="M26" i="86"/>
  <c r="M24" i="85"/>
  <c r="C76" i="85"/>
  <c r="F36" i="15"/>
  <c r="F7" i="84"/>
  <c r="F26" i="84"/>
  <c r="M22" i="86"/>
  <c r="F40" i="86"/>
  <c r="M6" i="85"/>
  <c r="D9" i="69"/>
  <c r="F7" i="67"/>
  <c r="D5" i="73"/>
  <c r="F16" i="15"/>
  <c r="F16" i="84"/>
  <c r="M24" i="86"/>
  <c r="F8" i="86"/>
  <c r="M27" i="85"/>
  <c r="F43" i="15"/>
  <c r="M8" i="15"/>
  <c r="F38" i="85"/>
  <c r="F6" i="84"/>
  <c r="M23" i="67"/>
  <c r="F37" i="84"/>
  <c r="F8" i="85"/>
  <c r="F9" i="84"/>
  <c r="M8" i="84"/>
  <c r="F16" i="86"/>
  <c r="F37" i="85"/>
  <c r="F43" i="85"/>
  <c r="M29" i="67"/>
  <c r="M24" i="67"/>
  <c r="F6" i="15"/>
  <c r="L48" i="86"/>
  <c r="C76" i="67"/>
  <c r="F43" i="67"/>
  <c r="F26" i="15"/>
  <c r="M28" i="84"/>
  <c r="F38" i="84"/>
  <c r="F36" i="86"/>
  <c r="M29" i="85"/>
  <c r="F36" i="67"/>
  <c r="M29" i="15"/>
  <c r="M22" i="84"/>
  <c r="F36" i="84"/>
  <c r="F26" i="86"/>
  <c r="C76" i="86"/>
  <c r="L48" i="85"/>
  <c r="F26" i="67"/>
  <c r="F8" i="67"/>
  <c r="F9" i="15"/>
  <c r="M29" i="84"/>
  <c r="F42" i="84"/>
  <c r="F38" i="86"/>
  <c r="M23" i="85"/>
  <c r="F9" i="85"/>
  <c r="L47" i="85"/>
  <c r="L48" i="15"/>
  <c r="F40" i="84"/>
  <c r="M9" i="86"/>
  <c r="M8" i="85"/>
  <c r="F13" i="85"/>
  <c r="F42" i="67"/>
  <c r="F42" i="15"/>
  <c r="F6" i="67"/>
  <c r="F38" i="67"/>
  <c r="M22" i="15"/>
  <c r="F6" i="86"/>
  <c r="F7" i="15"/>
  <c r="F43" i="86"/>
  <c r="M9" i="15"/>
  <c r="M23" i="84"/>
  <c r="F16" i="67"/>
  <c r="M7" i="85" l="1"/>
  <c r="J6" i="85" s="1"/>
  <c r="J19" i="85" s="1"/>
  <c r="F50" i="85"/>
  <c r="Q71" i="85"/>
  <c r="F51" i="85"/>
  <c r="F68" i="85"/>
  <c r="N59" i="85"/>
  <c r="L58" i="85"/>
  <c r="L59" i="85"/>
  <c r="M59" i="85"/>
  <c r="C27" i="85"/>
  <c r="F71" i="85"/>
  <c r="F64" i="85"/>
  <c r="J57" i="85"/>
  <c r="J55" i="85" s="1"/>
  <c r="J58" i="85" s="1"/>
  <c r="Q50" i="85" s="1"/>
  <c r="J53" i="85"/>
  <c r="L56" i="85"/>
  <c r="I54" i="85"/>
  <c r="F66" i="85"/>
  <c r="C6" i="85"/>
  <c r="C33" i="85" s="1"/>
  <c r="F65" i="85"/>
  <c r="Q71" i="86"/>
  <c r="F50" i="86"/>
  <c r="M7" i="86"/>
  <c r="J6" i="86" s="1"/>
  <c r="J19" i="86" s="1"/>
  <c r="F51" i="86"/>
  <c r="F68" i="86"/>
  <c r="L59" i="86"/>
  <c r="N59" i="86"/>
  <c r="L58" i="86"/>
  <c r="M59" i="86"/>
  <c r="F65" i="86"/>
  <c r="F71" i="86"/>
  <c r="F64" i="86"/>
  <c r="L56" i="86"/>
  <c r="J57" i="86"/>
  <c r="J55" i="86" s="1"/>
  <c r="J58" i="86" s="1"/>
  <c r="Q50" i="86" s="1"/>
  <c r="J53" i="86"/>
  <c r="I54" i="86"/>
  <c r="C27" i="86"/>
  <c r="F66" i="86"/>
  <c r="C6" i="86"/>
  <c r="C33" i="86" s="1"/>
  <c r="L59" i="84"/>
  <c r="Q61" i="84" s="1"/>
  <c r="N59" i="84"/>
  <c r="M59" i="84"/>
  <c r="L58" i="84"/>
  <c r="Q73" i="84" s="1"/>
  <c r="F51" i="84"/>
  <c r="F66" i="84"/>
  <c r="F64" i="84"/>
  <c r="C27" i="84"/>
  <c r="F68" i="84"/>
  <c r="C6" i="84"/>
  <c r="C32" i="84" s="1"/>
  <c r="F65" i="84"/>
  <c r="Q71" i="84"/>
  <c r="F71" i="84"/>
  <c r="M7" i="84"/>
  <c r="J6" i="84" s="1"/>
  <c r="J19" i="84" s="1"/>
  <c r="F50" i="84"/>
  <c r="J53" i="84"/>
  <c r="F1" i="84" s="1"/>
  <c r="J57" i="84"/>
  <c r="J55" i="84" s="1"/>
  <c r="J58" i="84" s="1"/>
  <c r="Q50" i="84" s="1"/>
  <c r="L56" i="84"/>
  <c r="I54" i="84"/>
  <c r="J18" i="86"/>
  <c r="F60" i="85"/>
  <c r="F60" i="86"/>
  <c r="M11" i="86"/>
  <c r="J10" i="86" s="1"/>
  <c r="F11" i="86"/>
  <c r="M11" i="85"/>
  <c r="J10" i="85" s="1"/>
  <c r="F11" i="85"/>
  <c r="P6" i="1"/>
  <c r="C13" i="12" s="1"/>
  <c r="M7" i="67"/>
  <c r="J6" i="67" s="1"/>
  <c r="J18" i="67" s="1"/>
  <c r="F50" i="67"/>
  <c r="F68" i="67"/>
  <c r="Q71" i="67"/>
  <c r="F64" i="67"/>
  <c r="C27" i="67"/>
  <c r="Q16" i="1"/>
  <c r="H16" i="1"/>
  <c r="N370" i="46"/>
  <c r="F26" i="43"/>
  <c r="G26" i="43"/>
  <c r="E26" i="43"/>
  <c r="H26" i="43"/>
  <c r="N94" i="46"/>
  <c r="K16" i="1"/>
  <c r="F30" i="6"/>
  <c r="E59" i="40"/>
  <c r="M11" i="84"/>
  <c r="J10" i="84" s="1"/>
  <c r="F11" i="84"/>
  <c r="F71" i="67"/>
  <c r="F65" i="67"/>
  <c r="M7" i="15"/>
  <c r="J6" i="15" s="1"/>
  <c r="J18" i="15" s="1"/>
  <c r="F50" i="15"/>
  <c r="F59" i="15" s="1"/>
  <c r="Q71" i="15"/>
  <c r="C27" i="15"/>
  <c r="L58" i="67"/>
  <c r="Q60" i="67" s="1"/>
  <c r="L59" i="67"/>
  <c r="Q61" i="67" s="1"/>
  <c r="M59" i="67"/>
  <c r="N59" i="67"/>
  <c r="F66" i="15"/>
  <c r="F71" i="15"/>
  <c r="C6" i="15"/>
  <c r="C32" i="15" s="1"/>
  <c r="F31" i="15"/>
  <c r="J57" i="15"/>
  <c r="J55" i="15" s="1"/>
  <c r="J58" i="15" s="1"/>
  <c r="Q50" i="15" s="1"/>
  <c r="J53" i="15"/>
  <c r="L56" i="15" s="1"/>
  <c r="I54" i="15"/>
  <c r="F65" i="15"/>
  <c r="F66" i="67"/>
  <c r="F51" i="67"/>
  <c r="F59" i="67" s="1"/>
  <c r="C6" i="67"/>
  <c r="C32" i="67" s="1"/>
  <c r="F31" i="67"/>
  <c r="L59" i="15"/>
  <c r="Q74" i="15" s="1"/>
  <c r="N59" i="15"/>
  <c r="L58" i="15"/>
  <c r="Q73" i="15" s="1"/>
  <c r="M59" i="15"/>
  <c r="F68" i="15"/>
  <c r="L56" i="67"/>
  <c r="I54" i="67"/>
  <c r="J57" i="67"/>
  <c r="J55" i="67" s="1"/>
  <c r="J58" i="67" s="1"/>
  <c r="Q50" i="67" s="1"/>
  <c r="J53" i="67"/>
  <c r="F1" i="67" s="1"/>
  <c r="F64" i="15"/>
  <c r="C40" i="71"/>
  <c r="D39" i="71"/>
  <c r="AZ63" i="3"/>
  <c r="C56" i="71"/>
  <c r="D55" i="71"/>
  <c r="AZ49" i="3"/>
  <c r="AZ130" i="3"/>
  <c r="AZ57" i="3"/>
  <c r="AZ247" i="3"/>
  <c r="AZ332" i="3"/>
  <c r="AZ368" i="3"/>
  <c r="AZ239" i="3"/>
  <c r="AC9" i="36"/>
  <c r="W9" i="36"/>
  <c r="W12" i="35"/>
  <c r="AC12" i="35"/>
  <c r="W12" i="34"/>
  <c r="AC12" i="34"/>
  <c r="AC13" i="21"/>
  <c r="W13" i="21"/>
  <c r="C70" i="71"/>
  <c r="D70" i="71" s="1"/>
  <c r="D71" i="71"/>
  <c r="AZ108" i="3"/>
  <c r="AZ182" i="3"/>
  <c r="AZ282" i="3"/>
  <c r="AZ256" i="3"/>
  <c r="AZ118" i="3"/>
  <c r="AZ71" i="3"/>
  <c r="AZ422" i="3"/>
  <c r="AZ411" i="3"/>
  <c r="AZ550" i="3"/>
  <c r="AA25" i="37"/>
  <c r="S25" i="37"/>
  <c r="S28" i="21"/>
  <c r="AA28" i="21"/>
  <c r="W13" i="37"/>
  <c r="AC13" i="37"/>
  <c r="T28" i="71"/>
  <c r="D28" i="71"/>
  <c r="U28" i="71" s="1"/>
  <c r="C27" i="71"/>
  <c r="D79" i="71"/>
  <c r="C78" i="71"/>
  <c r="D78" i="71" s="1"/>
  <c r="AZ58" i="3"/>
  <c r="C44" i="71"/>
  <c r="D43" i="71"/>
  <c r="C86" i="71"/>
  <c r="D86" i="71" s="1"/>
  <c r="D87" i="71"/>
  <c r="D60" i="71"/>
  <c r="T60" i="71"/>
  <c r="T52" i="71"/>
  <c r="D52" i="71"/>
  <c r="AZ29" i="3"/>
  <c r="AZ432" i="3"/>
  <c r="U25" i="37"/>
  <c r="AB25" i="37"/>
  <c r="AB14" i="39"/>
  <c r="U14" i="39"/>
  <c r="G5" i="3"/>
  <c r="B3" i="3" s="1"/>
  <c r="E212" i="3" s="1"/>
  <c r="D83" i="71"/>
  <c r="C82" i="71"/>
  <c r="D82" i="71" s="1"/>
  <c r="O65" i="71"/>
  <c r="D66" i="71"/>
  <c r="O66" i="71"/>
  <c r="C36" i="71"/>
  <c r="D35" i="71"/>
  <c r="N65" i="71"/>
  <c r="N66" i="71"/>
  <c r="T32" i="71"/>
  <c r="D32" i="71"/>
  <c r="AZ50" i="3"/>
  <c r="AZ39" i="3"/>
  <c r="AB24" i="36"/>
  <c r="U24" i="36"/>
  <c r="AB12" i="34"/>
  <c r="U12" i="34"/>
  <c r="AB27" i="34"/>
  <c r="U27" i="34"/>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67"/>
  <c r="P28" i="43"/>
  <c r="B66" i="40" s="1"/>
  <c r="P25" i="43"/>
  <c r="P29" i="43"/>
  <c r="P27" i="43"/>
  <c r="B70" i="39" s="1"/>
  <c r="M11" i="67"/>
  <c r="J10" i="67" s="1"/>
  <c r="F11" i="15"/>
  <c r="M11" i="15"/>
  <c r="J10" i="15" s="1"/>
  <c r="F11" i="67"/>
  <c r="AE11" i="1"/>
  <c r="F27" i="68"/>
  <c r="AE12" i="1"/>
  <c r="AE10" i="1"/>
  <c r="G1" i="73"/>
  <c r="C16" i="84"/>
  <c r="C16" i="67"/>
  <c r="C16" i="15"/>
  <c r="C16" i="86"/>
  <c r="C16" i="85"/>
  <c r="AE7" i="1"/>
  <c r="F27" i="69"/>
  <c r="AE6" i="1"/>
  <c r="C36" i="69"/>
  <c r="AB7" i="36" l="1"/>
  <c r="T36" i="36" s="1"/>
  <c r="G36" i="36" s="1"/>
  <c r="G40" i="36" s="1"/>
  <c r="H40" i="36" s="1"/>
  <c r="S7" i="36"/>
  <c r="J5" i="86"/>
  <c r="J26" i="86" s="1"/>
  <c r="C32" i="85"/>
  <c r="Q60" i="84"/>
  <c r="Q52" i="84"/>
  <c r="C33" i="84"/>
  <c r="J5" i="84"/>
  <c r="J24" i="84" s="1"/>
  <c r="C32" i="86"/>
  <c r="J5" i="85"/>
  <c r="J24" i="85" s="1"/>
  <c r="J18" i="84"/>
  <c r="C49" i="84"/>
  <c r="C61" i="84" s="1"/>
  <c r="C49" i="86"/>
  <c r="C61" i="86" s="1"/>
  <c r="C49" i="85"/>
  <c r="C61" i="85" s="1"/>
  <c r="Q60" i="86"/>
  <c r="Q73" i="86"/>
  <c r="Q61" i="85"/>
  <c r="Q74" i="85"/>
  <c r="J18" i="85"/>
  <c r="F1" i="86"/>
  <c r="Q52" i="86"/>
  <c r="Q60" i="85"/>
  <c r="Q73" i="85"/>
  <c r="Q74" i="84"/>
  <c r="Q74" i="86"/>
  <c r="Q61" i="86"/>
  <c r="Q52" i="85"/>
  <c r="F1" i="85"/>
  <c r="F45" i="69"/>
  <c r="C29" i="69"/>
  <c r="D27" i="69" s="1"/>
  <c r="C53" i="86"/>
  <c r="C10" i="86"/>
  <c r="C5" i="86" s="1"/>
  <c r="C53" i="85"/>
  <c r="C10" i="85"/>
  <c r="C5" i="85" s="1"/>
  <c r="C47" i="69"/>
  <c r="D45" i="69" s="1"/>
  <c r="F27" i="11"/>
  <c r="C29" i="11" s="1"/>
  <c r="D27" i="11" s="1"/>
  <c r="D26" i="43"/>
  <c r="C25" i="43" s="1"/>
  <c r="E445" i="3"/>
  <c r="E301" i="3"/>
  <c r="E296" i="3"/>
  <c r="E505" i="3"/>
  <c r="E118" i="3"/>
  <c r="E570" i="3"/>
  <c r="E337" i="3"/>
  <c r="E131" i="3"/>
  <c r="AY6" i="3"/>
  <c r="AY152" i="3" s="1"/>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s="1"/>
  <c r="S10" i="39"/>
  <c r="H10" i="40"/>
  <c r="AB10" i="40" s="1"/>
  <c r="J10" i="40"/>
  <c r="AC10" i="40" s="1"/>
  <c r="J10" i="39"/>
  <c r="W10" i="39" s="1"/>
  <c r="F10" i="40"/>
  <c r="S10" i="40" s="1"/>
  <c r="C53" i="84"/>
  <c r="C10" i="84"/>
  <c r="C5" i="84" s="1"/>
  <c r="Q60" i="15"/>
  <c r="M17" i="15"/>
  <c r="J5" i="15"/>
  <c r="J24" i="15" s="1"/>
  <c r="J5" i="67"/>
  <c r="J24" i="67" s="1"/>
  <c r="C49" i="15"/>
  <c r="Q61" i="15"/>
  <c r="Q52" i="67"/>
  <c r="Q73" i="67"/>
  <c r="Q74" i="67"/>
  <c r="Q52" i="15"/>
  <c r="F1" i="15"/>
  <c r="C49" i="67"/>
  <c r="R36" i="36"/>
  <c r="E36" i="36" s="1"/>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s="1"/>
  <c r="D27" i="71"/>
  <c r="T40" i="71"/>
  <c r="D40"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s="1"/>
  <c r="C38" i="43"/>
  <c r="U7" i="37"/>
  <c r="G67" i="39"/>
  <c r="F69" i="39"/>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F41" i="67"/>
  <c r="C14" i="85"/>
  <c r="M27" i="67"/>
  <c r="AE8" i="1"/>
  <c r="F41" i="84"/>
  <c r="M27" i="15"/>
  <c r="AE9" i="1"/>
  <c r="F41" i="86" s="1"/>
  <c r="F41" i="15"/>
  <c r="C17" i="85"/>
  <c r="F69" i="84" l="1"/>
  <c r="F69" i="67"/>
  <c r="G41" i="36"/>
  <c r="H41" i="36" s="1"/>
  <c r="R37"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s="1"/>
  <c r="B1" i="74" s="1"/>
  <c r="L18" i="89"/>
  <c r="M18" i="89"/>
  <c r="B118" i="89" s="1"/>
  <c r="M18" i="91"/>
  <c r="B118" i="91" s="1"/>
  <c r="L18" i="91"/>
  <c r="M18" i="88"/>
  <c r="B118" i="88" s="1"/>
  <c r="L18" i="88"/>
  <c r="R50" i="34"/>
  <c r="C50" i="34" s="1"/>
  <c r="I53" i="34"/>
  <c r="J53" i="34" s="1"/>
  <c r="C48" i="84"/>
  <c r="C60" i="84" s="1"/>
  <c r="J24" i="86"/>
  <c r="J26" i="84"/>
  <c r="J29" i="84" s="1"/>
  <c r="C48" i="85"/>
  <c r="C60" i="85" s="1"/>
  <c r="C48" i="86"/>
  <c r="C66" i="86" s="1"/>
  <c r="J26" i="85"/>
  <c r="C18" i="85"/>
  <c r="C15" i="85"/>
  <c r="F69" i="86"/>
  <c r="E8" i="70"/>
  <c r="J29" i="86"/>
  <c r="C38" i="86"/>
  <c r="F24" i="85"/>
  <c r="C24" i="85" s="1"/>
  <c r="F24" i="86"/>
  <c r="C38" i="85"/>
  <c r="AB10" i="39"/>
  <c r="C47" i="11"/>
  <c r="D45" i="11" s="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s="1"/>
  <c r="B43" i="72" s="1"/>
  <c r="D3" i="33"/>
  <c r="D3" i="34"/>
  <c r="E6" i="6"/>
  <c r="D10" i="11" s="1"/>
  <c r="C10" i="11" s="1"/>
  <c r="L18" i="9"/>
  <c r="D14" i="12"/>
  <c r="D17" i="12" s="1"/>
  <c r="C17" i="12" s="1"/>
  <c r="D3" i="37"/>
  <c r="D19" i="11"/>
  <c r="C19" i="11" s="1"/>
  <c r="C20" i="11" s="1"/>
  <c r="C28" i="11" s="1"/>
  <c r="C27" i="11" s="1"/>
  <c r="W10" i="40"/>
  <c r="H6" i="3"/>
  <c r="AC6" i="3"/>
  <c r="AA10" i="40"/>
  <c r="U10" i="40"/>
  <c r="C38" i="84"/>
  <c r="L36" i="43"/>
  <c r="L37" i="43" s="1"/>
  <c r="Q37" i="43" s="1"/>
  <c r="F24" i="84"/>
  <c r="F25" i="12"/>
  <c r="C26" i="12" s="1"/>
  <c r="D25" i="12" s="1"/>
  <c r="C48" i="15"/>
  <c r="C66" i="15" s="1"/>
  <c r="C48" i="67"/>
  <c r="C66" i="67" s="1"/>
  <c r="D116" i="43"/>
  <c r="F22" i="68"/>
  <c r="F41" i="68" s="1"/>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5" i="6"/>
  <c r="D14" i="6"/>
  <c r="D5"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17" i="86"/>
  <c r="C17" i="67"/>
  <c r="F41" i="85"/>
  <c r="C17" i="84"/>
  <c r="C34" i="69"/>
  <c r="C14" i="67"/>
  <c r="C14" i="84"/>
  <c r="C14" i="86"/>
  <c r="C17" i="15"/>
  <c r="C66" i="84" l="1"/>
  <c r="F69" i="85"/>
  <c r="J29" i="85"/>
  <c r="C49" i="34"/>
  <c r="E61" i="40"/>
  <c r="D19" i="6"/>
  <c r="M19" i="9"/>
  <c r="C118" i="9" s="1"/>
  <c r="B2" i="74" s="1"/>
  <c r="D28" i="6"/>
  <c r="D29" i="6"/>
  <c r="D30" i="6" s="1"/>
  <c r="D20" i="6"/>
  <c r="D12" i="6"/>
  <c r="D9" i="6"/>
  <c r="D21" i="6"/>
  <c r="M19" i="91"/>
  <c r="C118" i="91" s="1"/>
  <c r="L19" i="89"/>
  <c r="M19" i="89"/>
  <c r="C118" i="89" s="1"/>
  <c r="L19" i="91"/>
  <c r="M19" i="88"/>
  <c r="C118" i="88" s="1"/>
  <c r="L19" i="88"/>
  <c r="E53" i="34"/>
  <c r="F53" i="34" s="1"/>
  <c r="C19" i="85"/>
  <c r="C20" i="85" s="1"/>
  <c r="C26" i="85" s="1"/>
  <c r="C60" i="86"/>
  <c r="C66" i="85"/>
  <c r="C18" i="86"/>
  <c r="C15" i="86"/>
  <c r="C24" i="86"/>
  <c r="O36" i="43"/>
  <c r="D13" i="6"/>
  <c r="D23" i="6"/>
  <c r="L19" i="9"/>
  <c r="D8" i="6"/>
  <c r="D24" i="6"/>
  <c r="D25" i="6"/>
  <c r="H26" i="6"/>
  <c r="D11" i="6"/>
  <c r="C18" i="4"/>
  <c r="A7" i="51" s="1"/>
  <c r="B7" i="72" s="1"/>
  <c r="D10" i="6"/>
  <c r="D26" i="6"/>
  <c r="D20" i="12"/>
  <c r="C20" i="12" s="1"/>
  <c r="C18" i="12" s="1"/>
  <c r="D10" i="68"/>
  <c r="D19" i="68" s="1"/>
  <c r="D6" i="6"/>
  <c r="H22" i="6"/>
  <c r="R22" i="6" s="1"/>
  <c r="R9" i="1" s="1"/>
  <c r="C15" i="84"/>
  <c r="C18" i="84"/>
  <c r="E7" i="70"/>
  <c r="E6" i="3"/>
  <c r="H21" i="6"/>
  <c r="H24" i="6"/>
  <c r="E54" i="34"/>
  <c r="F54" i="34" s="1"/>
  <c r="M37" i="43"/>
  <c r="P36" i="43"/>
  <c r="N37" i="43"/>
  <c r="P37" i="43"/>
  <c r="M36" i="43"/>
  <c r="O37" i="43"/>
  <c r="N36" i="43"/>
  <c r="Q36" i="43"/>
  <c r="C24" i="84"/>
  <c r="C60" i="15"/>
  <c r="C26" i="11"/>
  <c r="D22" i="11" s="1"/>
  <c r="C44" i="68"/>
  <c r="D41" i="68" s="1"/>
  <c r="C23" i="68"/>
  <c r="C26" i="68"/>
  <c r="D22" i="68" s="1"/>
  <c r="C44" i="11"/>
  <c r="D41" i="11" s="1"/>
  <c r="C60" i="67"/>
  <c r="H25" i="6"/>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6"/>
  <c r="B6" i="76"/>
  <c r="C14" i="15"/>
  <c r="E6" i="76"/>
  <c r="M21" i="86"/>
  <c r="D10" i="69"/>
  <c r="D16" i="6" l="1"/>
  <c r="R26" i="6"/>
  <c r="R21" i="6"/>
  <c r="R8" i="1" s="1"/>
  <c r="C23" i="85"/>
  <c r="C29" i="85" s="1"/>
  <c r="Q49" i="85" s="1"/>
  <c r="C19" i="86"/>
  <c r="C20" i="86" s="1"/>
  <c r="C26" i="86" s="1"/>
  <c r="R23" i="6"/>
  <c r="R10" i="1" s="1"/>
  <c r="D19" i="69"/>
  <c r="D37" i="69" s="1"/>
  <c r="C37" i="69" s="1"/>
  <c r="C33" i="69" s="1"/>
  <c r="J20" i="86"/>
  <c r="J17" i="86" s="1"/>
  <c r="F63" i="86"/>
  <c r="C62" i="86" s="1"/>
  <c r="C59" i="86" s="1"/>
  <c r="C34" i="86"/>
  <c r="C31" i="86" s="1"/>
  <c r="A10" i="51"/>
  <c r="B9" i="72" s="1"/>
  <c r="C4" i="52"/>
  <c r="B45" i="72" s="1"/>
  <c r="R25" i="6"/>
  <c r="R12" i="1" s="1"/>
  <c r="D27" i="6"/>
  <c r="C10" i="68"/>
  <c r="C10" i="69"/>
  <c r="C8" i="69" s="1"/>
  <c r="R24" i="6"/>
  <c r="R11" i="1" s="1"/>
  <c r="D31" i="6"/>
  <c r="I6" i="6" s="1"/>
  <c r="E2" i="70"/>
  <c r="C19" i="84"/>
  <c r="C20" i="84"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E2" i="76"/>
  <c r="B2" i="76"/>
  <c r="I69" i="39"/>
  <c r="J67" i="39"/>
  <c r="I63" i="40"/>
  <c r="H65" i="40"/>
  <c r="I58" i="21"/>
  <c r="J58" i="21" s="1"/>
  <c r="K58" i="21" s="1"/>
  <c r="L58" i="21" s="1"/>
  <c r="M58" i="21" s="1"/>
  <c r="N58" i="21" s="1"/>
  <c r="O58" i="21" s="1"/>
  <c r="H7" i="21" s="1"/>
  <c r="J48" i="35"/>
  <c r="F35" i="85"/>
  <c r="M21" i="85"/>
  <c r="C34" i="85" l="1"/>
  <c r="C31" i="85" s="1"/>
  <c r="F63" i="85"/>
  <c r="C62" i="85" s="1"/>
  <c r="C59" i="85" s="1"/>
  <c r="J20" i="85"/>
  <c r="J17" i="85" s="1"/>
  <c r="J14" i="85"/>
  <c r="J13" i="85" s="1"/>
  <c r="J23" i="85" s="1"/>
  <c r="J59" i="85"/>
  <c r="J60" i="85" s="1"/>
  <c r="Q48" i="85" s="1"/>
  <c r="C13" i="85"/>
  <c r="Q70" i="85" s="1"/>
  <c r="C36" i="85"/>
  <c r="C57" i="85"/>
  <c r="C64" i="85" s="1"/>
  <c r="C23" i="86"/>
  <c r="C29" i="86" s="1"/>
  <c r="I5" i="6"/>
  <c r="C26" i="84"/>
  <c r="C23"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5" l="1"/>
  <c r="C65" i="85" s="1"/>
  <c r="C58" i="85" s="1"/>
  <c r="C67" i="85" s="1"/>
  <c r="C68" i="85" s="1"/>
  <c r="C71" i="85" s="1"/>
  <c r="C37" i="85"/>
  <c r="C30" i="85" s="1"/>
  <c r="C39" i="85" s="1"/>
  <c r="C75" i="85"/>
  <c r="J22" i="85"/>
  <c r="J16" i="85" s="1"/>
  <c r="J25" i="85" s="1"/>
  <c r="C36" i="86"/>
  <c r="Q49" i="86"/>
  <c r="J14" i="86"/>
  <c r="J13" i="86" s="1"/>
  <c r="J23" i="86" s="1"/>
  <c r="C57" i="86"/>
  <c r="C64" i="86" s="1"/>
  <c r="J59" i="86"/>
  <c r="J60" i="86" s="1"/>
  <c r="Q48" i="86" s="1"/>
  <c r="C13" i="86"/>
  <c r="C37" i="86" s="1"/>
  <c r="C29" i="84"/>
  <c r="C13" i="84"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L51" i="85"/>
  <c r="M21" i="67"/>
  <c r="M21" i="84"/>
  <c r="M21" i="15"/>
  <c r="F35" i="84"/>
  <c r="C80" i="85" l="1"/>
  <c r="C79" i="85" s="1"/>
  <c r="C40" i="85"/>
  <c r="Q47" i="85" s="1"/>
  <c r="Q53" i="85" s="1"/>
  <c r="Q69" i="85"/>
  <c r="Q68" i="85" s="1"/>
  <c r="C30" i="86"/>
  <c r="C39" i="86" s="1"/>
  <c r="C75" i="86"/>
  <c r="Q70" i="86"/>
  <c r="C56" i="86"/>
  <c r="C65" i="86" s="1"/>
  <c r="C58" i="86" s="1"/>
  <c r="C67" i="86" s="1"/>
  <c r="C68" i="86" s="1"/>
  <c r="C71" i="86" s="1"/>
  <c r="J22" i="86"/>
  <c r="J16" i="86" s="1"/>
  <c r="J25" i="86" s="1"/>
  <c r="L57" i="86"/>
  <c r="L60" i="86" s="1"/>
  <c r="L46" i="86" s="1"/>
  <c r="Q67" i="85"/>
  <c r="L57" i="85"/>
  <c r="L60" i="85" s="1"/>
  <c r="L46" i="85" s="1"/>
  <c r="J14" i="84"/>
  <c r="J13" i="84" s="1"/>
  <c r="J23" i="84" s="1"/>
  <c r="C36" i="84"/>
  <c r="J59" i="84"/>
  <c r="J60" i="84" s="1"/>
  <c r="Q48" i="84" s="1"/>
  <c r="C57" i="84"/>
  <c r="C64" i="84" s="1"/>
  <c r="Q49" i="84"/>
  <c r="C56" i="84"/>
  <c r="C65" i="84" s="1"/>
  <c r="C37" i="84"/>
  <c r="C75" i="84"/>
  <c r="Q70" i="84"/>
  <c r="J20" i="84"/>
  <c r="J17" i="84" s="1"/>
  <c r="F63" i="84"/>
  <c r="C62" i="84" s="1"/>
  <c r="C59" i="84" s="1"/>
  <c r="C34" i="84"/>
  <c r="C31" i="8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6"/>
  <c r="D2" i="85" l="1"/>
  <c r="B2" i="85" s="1"/>
  <c r="Q56" i="85"/>
  <c r="Q65" i="85"/>
  <c r="C45" i="85"/>
  <c r="C46" i="85" s="1"/>
  <c r="C43" i="85"/>
  <c r="C83" i="85"/>
  <c r="C82" i="85" s="1"/>
  <c r="Q67" i="86"/>
  <c r="C80" i="86"/>
  <c r="C79" i="86" s="1"/>
  <c r="Q69" i="86"/>
  <c r="Q68" i="86" s="1"/>
  <c r="C40" i="86"/>
  <c r="C45" i="86" s="1"/>
  <c r="C46" i="86" s="1"/>
  <c r="Q66" i="86"/>
  <c r="Q57" i="86"/>
  <c r="Q66" i="85"/>
  <c r="Q57" i="85"/>
  <c r="J22" i="84"/>
  <c r="J16" i="84" s="1"/>
  <c r="J25" i="84" s="1"/>
  <c r="C30" i="84"/>
  <c r="C39" i="84" s="1"/>
  <c r="C40" i="84" s="1"/>
  <c r="C58" i="84"/>
  <c r="C67" i="84" s="1"/>
  <c r="C68" i="84" s="1"/>
  <c r="C71" i="84"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3" i="85" l="1"/>
  <c r="Q75" i="85"/>
  <c r="Q62" i="85"/>
  <c r="C43" i="86"/>
  <c r="Q56" i="86"/>
  <c r="Q62" i="86" s="1"/>
  <c r="Q65" i="86"/>
  <c r="Q75" i="86" s="1"/>
  <c r="Q47" i="86"/>
  <c r="Q53" i="86" s="1"/>
  <c r="C83" i="86"/>
  <c r="C82" i="86" s="1"/>
  <c r="D2" i="86"/>
  <c r="C45" i="84"/>
  <c r="C46" i="84" s="1"/>
  <c r="C80" i="84"/>
  <c r="C79" i="84" s="1"/>
  <c r="Q69" i="84"/>
  <c r="Q68" i="84" s="1"/>
  <c r="L57" i="84"/>
  <c r="L60" i="84" s="1"/>
  <c r="L46" i="84" s="1"/>
  <c r="D2" i="84" s="1"/>
  <c r="Q47" i="84"/>
  <c r="Q53" i="84" s="1"/>
  <c r="C43" i="84"/>
  <c r="Q65" i="84"/>
  <c r="Q56" i="84"/>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84"/>
  <c r="L51" i="67"/>
  <c r="D2" i="33"/>
  <c r="Q67" i="84" l="1"/>
  <c r="B2" i="86"/>
  <c r="B3" i="86"/>
  <c r="Q66" i="84"/>
  <c r="Q75" i="84" s="1"/>
  <c r="Q57" i="84"/>
  <c r="Q62" i="84" s="1"/>
  <c r="B3" i="84"/>
  <c r="B2" i="84"/>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C19" i="88"/>
  <c r="D2" i="34"/>
  <c r="D2" i="36"/>
  <c r="C19" i="9"/>
  <c r="D2" i="35"/>
  <c r="C20" i="89"/>
  <c r="C19" i="89"/>
  <c r="C19" i="91"/>
  <c r="L51" i="15"/>
  <c r="C20" i="91"/>
  <c r="D102" i="9" l="1"/>
  <c r="D21" i="9"/>
  <c r="B3" i="33"/>
  <c r="C102" i="91"/>
  <c r="C21" i="91"/>
  <c r="C103" i="91"/>
  <c r="C102" i="89"/>
  <c r="C21" i="89"/>
  <c r="C103" i="89"/>
  <c r="C102" i="88"/>
  <c r="C21" i="88"/>
  <c r="D22" i="9"/>
  <c r="C102" i="9"/>
  <c r="G19" i="9"/>
  <c r="G21" i="9" s="1"/>
  <c r="C21" i="9"/>
  <c r="C8" i="71"/>
  <c r="D9" i="71"/>
  <c r="Q57" i="67"/>
  <c r="Q62" i="67" s="1"/>
  <c r="Q66" i="67"/>
  <c r="Q75" i="67" s="1"/>
  <c r="B3" i="67"/>
  <c r="L57" i="15"/>
  <c r="L60" i="15" s="1"/>
  <c r="Q57" i="15" s="1"/>
  <c r="Q67" i="15"/>
  <c r="B2" i="36"/>
  <c r="B2" i="35"/>
  <c r="M3" i="35"/>
  <c r="B2" i="37"/>
  <c r="B3" i="37" s="1"/>
  <c r="B2" i="34"/>
  <c r="Q47" i="15"/>
  <c r="Q53" i="15" s="1"/>
  <c r="C43" i="15"/>
  <c r="Q65" i="15"/>
  <c r="C83" i="15"/>
  <c r="C82" i="15" s="1"/>
  <c r="Q56" i="15"/>
  <c r="W7" i="39"/>
  <c r="AC7" i="39"/>
  <c r="V47" i="39" s="1"/>
  <c r="I47" i="39" s="1"/>
  <c r="E47" i="39"/>
  <c r="U7" i="39"/>
  <c r="AB7" i="39"/>
  <c r="T47" i="39" s="1"/>
  <c r="G47" i="39" s="1"/>
  <c r="J7" i="40"/>
  <c r="F7" i="40"/>
  <c r="H7" i="40"/>
  <c r="D19" i="89"/>
  <c r="AO6" i="1"/>
  <c r="AO11" i="1"/>
  <c r="C20" i="88"/>
  <c r="AO7" i="1"/>
  <c r="D19" i="91"/>
  <c r="AO8" i="1"/>
  <c r="D19" i="88"/>
  <c r="D20" i="9"/>
  <c r="AO12" i="1"/>
  <c r="C20" i="9"/>
  <c r="AO9" i="1"/>
  <c r="AO10" i="1"/>
  <c r="D103" i="9" l="1"/>
  <c r="D102" i="89"/>
  <c r="D21" i="89"/>
  <c r="D22" i="89"/>
  <c r="G19" i="89"/>
  <c r="G21" i="89" s="1"/>
  <c r="D21" i="91"/>
  <c r="D102" i="91"/>
  <c r="G19" i="91"/>
  <c r="G21" i="91" s="1"/>
  <c r="D22" i="91"/>
  <c r="B3" i="35"/>
  <c r="B3" i="36"/>
  <c r="D21" i="88"/>
  <c r="D102" i="88"/>
  <c r="D22" i="88"/>
  <c r="G19" i="88"/>
  <c r="G21" i="88" s="1"/>
  <c r="B3" i="34"/>
  <c r="C103" i="88"/>
  <c r="G20" i="9"/>
  <c r="C103" i="9"/>
  <c r="R48" i="39"/>
  <c r="C47" i="39" s="1"/>
  <c r="C6" i="6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9"/>
  <c r="D20" i="91"/>
  <c r="D20" i="88"/>
  <c r="D103" i="91" l="1"/>
  <c r="G20" i="91"/>
  <c r="D103" i="89"/>
  <c r="G20" i="89"/>
  <c r="C32" i="9"/>
  <c r="C35" i="9" s="1"/>
  <c r="C34" i="9" s="1"/>
  <c r="S25" i="82"/>
  <c r="D103" i="88"/>
  <c r="G20" i="88"/>
  <c r="C7" i="69"/>
  <c r="C5" i="69" s="1"/>
  <c r="C48" i="39"/>
  <c r="B63" i="39" s="1"/>
  <c r="F63" i="39" s="1"/>
  <c r="D7" i="71"/>
  <c r="C6" i="71"/>
  <c r="B2" i="70"/>
  <c r="B3" i="70" s="1"/>
  <c r="I46" i="40"/>
  <c r="J46" i="40" s="1"/>
  <c r="R43" i="40"/>
  <c r="E42" i="40"/>
  <c r="G47" i="40"/>
  <c r="H47" i="40" s="1"/>
  <c r="G46" i="40"/>
  <c r="H46" i="40" s="1"/>
  <c r="C32" i="91" l="1"/>
  <c r="C35" i="91" s="1"/>
  <c r="C34" i="91" s="1"/>
  <c r="S38" i="82"/>
  <c r="R39" i="82" s="1"/>
  <c r="R46" i="82" s="1"/>
  <c r="C32" i="88"/>
  <c r="C35" i="88" s="1"/>
  <c r="C34" i="88" s="1"/>
  <c r="S34" i="82"/>
  <c r="R35" i="82" s="1"/>
  <c r="R44" i="82" s="1"/>
  <c r="S26" i="82"/>
  <c r="S32" i="82"/>
  <c r="S33" i="82" s="1"/>
  <c r="C32" i="89"/>
  <c r="C35" i="89" s="1"/>
  <c r="C34" i="89" s="1"/>
  <c r="S27" i="82"/>
  <c r="T25" i="82"/>
  <c r="U25" i="82"/>
  <c r="U26" i="82" s="1"/>
  <c r="V25" i="82"/>
  <c r="V26" i="82" s="1"/>
  <c r="C23" i="69"/>
  <c r="C20" i="69"/>
  <c r="B56" i="39"/>
  <c r="F56" i="39" s="1"/>
  <c r="B61" i="39"/>
  <c r="F61" i="39" s="1"/>
  <c r="B59" i="39"/>
  <c r="F59" i="39" s="1"/>
  <c r="B62" i="39"/>
  <c r="F62" i="39" s="1"/>
  <c r="B60" i="39"/>
  <c r="F60" i="39" s="1"/>
  <c r="B58" i="39"/>
  <c r="F58" i="39" s="1"/>
  <c r="B64" i="39"/>
  <c r="F64" i="39" s="1"/>
  <c r="B57" i="39"/>
  <c r="F57" i="39" s="1"/>
  <c r="D6" i="71"/>
  <c r="C5" i="71"/>
  <c r="D5" i="71" s="1"/>
  <c r="M24" i="43" s="1"/>
  <c r="C42" i="40"/>
  <c r="C43" i="40"/>
  <c r="E47" i="40"/>
  <c r="F47" i="40" s="1"/>
  <c r="E46" i="40"/>
  <c r="F46" i="40" s="1"/>
  <c r="I47" i="40"/>
  <c r="J47" i="40" s="1"/>
  <c r="T44" i="82" l="1"/>
  <c r="D15" i="74"/>
  <c r="T46" i="82"/>
  <c r="D17" i="74"/>
  <c r="R28" i="82"/>
  <c r="S40" i="82"/>
  <c r="R41" i="82" s="1"/>
  <c r="T26" i="82"/>
  <c r="R26" i="82" s="1"/>
  <c r="R25" i="82" s="1"/>
  <c r="T32" i="82"/>
  <c r="T33" i="82" s="1"/>
  <c r="R33" i="82" s="1"/>
  <c r="R32" i="82" s="1"/>
  <c r="C28" i="69"/>
  <c r="C27" i="69" s="1"/>
  <c r="C25" i="69"/>
  <c r="C22" i="69"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E17" i="74" l="1"/>
  <c r="F17" i="74"/>
  <c r="E15" i="74"/>
  <c r="F15" i="74"/>
  <c r="R45" i="82"/>
  <c r="R43" i="82"/>
  <c r="C31" i="69"/>
  <c r="C52" i="69" s="1"/>
  <c r="C57" i="69" s="1"/>
  <c r="C56" i="69" s="1"/>
  <c r="T45" i="82" l="1"/>
  <c r="D16" i="74"/>
  <c r="D14" i="74"/>
  <c r="F14" i="74" s="1"/>
  <c r="R47" i="82"/>
  <c r="T47" i="82" s="1"/>
  <c r="T43" i="82"/>
  <c r="B2" i="69"/>
  <c r="B6" i="74"/>
  <c r="D6" i="74" s="1"/>
  <c r="B3" i="69"/>
  <c r="E16" i="74" l="1"/>
  <c r="F16" i="74"/>
  <c r="B5" i="74"/>
  <c r="D5" i="74" s="1"/>
  <c r="E14" i="74"/>
  <c r="C5" i="74" l="1"/>
  <c r="C73" i="91"/>
  <c r="C78" i="91"/>
  <c r="B21" i="72"/>
  <c r="D7" i="53"/>
  <c r="H102" i="9"/>
  <c r="D54" i="89"/>
  <c r="C68" i="89"/>
  <c r="M54" i="9"/>
  <c r="D56" i="9"/>
  <c r="D58" i="9"/>
  <c r="C97" i="9"/>
  <c r="M54" i="91"/>
  <c r="D56" i="91"/>
  <c r="D58" i="91"/>
  <c r="C97" i="91"/>
  <c r="E97" i="91"/>
  <c r="E96" i="91"/>
  <c r="C85" i="91"/>
  <c r="C95" i="91"/>
  <c r="C96" i="91"/>
  <c r="M48" i="89"/>
  <c r="C80" i="91"/>
  <c r="E80" i="91"/>
  <c r="E81" i="91"/>
  <c r="D54" i="91"/>
  <c r="C68" i="91"/>
  <c r="H5" i="52"/>
  <c r="H119" i="9"/>
  <c r="E81" i="89"/>
  <c r="E80" i="89"/>
  <c r="C80" i="89"/>
  <c r="E97" i="89"/>
  <c r="E96" i="89"/>
  <c r="C96" i="89"/>
  <c r="N58" i="9"/>
  <c r="P57" i="9"/>
  <c r="D123" i="88"/>
  <c r="D122" i="88"/>
  <c r="B49" i="72"/>
  <c r="D5" i="52"/>
  <c r="D119" i="9"/>
  <c r="B52" i="72"/>
  <c r="G4" i="52"/>
  <c r="B22" i="72"/>
  <c r="D6" i="53"/>
  <c r="D8" i="52"/>
  <c r="D119" i="89"/>
  <c r="D118" i="89"/>
  <c r="E118" i="89"/>
  <c r="B30" i="72"/>
  <c r="C73" i="89"/>
  <c r="C78" i="89"/>
  <c r="C72" i="91"/>
  <c r="C79" i="91"/>
  <c r="C81" i="91"/>
  <c r="D13" i="53"/>
  <c r="D14" i="53"/>
  <c r="B32" i="72"/>
  <c r="M54" i="88"/>
  <c r="D56" i="88"/>
  <c r="D58" i="88"/>
  <c r="C97" i="88"/>
  <c r="C86" i="91"/>
  <c r="C93" i="91"/>
  <c r="C85" i="9"/>
  <c r="C95" i="9"/>
  <c r="C96" i="9"/>
  <c r="E96" i="9"/>
  <c r="E97" i="9"/>
  <c r="E81" i="88"/>
  <c r="E80" i="88"/>
  <c r="C80" i="88"/>
  <c r="D122" i="9"/>
  <c r="D123" i="9"/>
  <c r="D9" i="52"/>
  <c r="D123" i="91"/>
  <c r="D122" i="91"/>
  <c r="D123" i="89"/>
  <c r="D122" i="89"/>
  <c r="M48" i="88"/>
  <c r="C73" i="9"/>
  <c r="C78" i="9"/>
  <c r="C81" i="9"/>
  <c r="B51" i="72"/>
  <c r="F4" i="52"/>
  <c r="E4" i="52"/>
  <c r="B48" i="72"/>
  <c r="P57" i="88"/>
  <c r="N58" i="88"/>
  <c r="D5" i="53"/>
  <c r="B20" i="72"/>
  <c r="C73" i="88"/>
  <c r="C78" i="88"/>
  <c r="N60" i="91"/>
  <c r="N59" i="91"/>
  <c r="N61" i="91"/>
  <c r="H107" i="91"/>
  <c r="H108" i="91"/>
  <c r="C64" i="89"/>
  <c r="C63" i="89"/>
  <c r="C67" i="89"/>
  <c r="D59" i="89"/>
  <c r="M55" i="89"/>
  <c r="B31" i="72"/>
  <c r="D15" i="53"/>
  <c r="C72" i="89"/>
  <c r="C79" i="89"/>
  <c r="C81" i="89"/>
  <c r="C68" i="9"/>
  <c r="D54" i="9"/>
  <c r="D52" i="88"/>
  <c r="D53" i="88"/>
  <c r="B47" i="72"/>
  <c r="E118" i="9"/>
  <c r="D118" i="9"/>
  <c r="D4" i="52"/>
  <c r="C64" i="91"/>
  <c r="C63" i="91"/>
  <c r="C67" i="91"/>
  <c r="D59" i="91"/>
  <c r="M55" i="91"/>
  <c r="C86" i="89"/>
  <c r="C93" i="89"/>
  <c r="M54" i="89"/>
  <c r="C85" i="89"/>
  <c r="C95" i="89"/>
  <c r="C97" i="89"/>
  <c r="D58" i="89"/>
  <c r="D56" i="89"/>
  <c r="C104" i="91"/>
  <c r="H119" i="91"/>
  <c r="H119" i="89"/>
  <c r="C104" i="89"/>
  <c r="H102" i="91"/>
  <c r="C105" i="91"/>
  <c r="G118" i="88"/>
  <c r="F118" i="88"/>
  <c r="F119" i="88"/>
  <c r="N58" i="89"/>
  <c r="P57" i="89"/>
  <c r="N60" i="89"/>
  <c r="D55" i="89"/>
  <c r="M53" i="89"/>
  <c r="N57" i="89"/>
  <c r="N59" i="89"/>
  <c r="N61" i="89"/>
  <c r="C86" i="9"/>
  <c r="C93" i="9"/>
  <c r="M48" i="9"/>
  <c r="D52" i="89"/>
  <c r="D45" i="89"/>
  <c r="D53" i="89"/>
  <c r="G118" i="89"/>
  <c r="F118" i="89"/>
  <c r="F119" i="89"/>
  <c r="C104" i="88"/>
  <c r="H119" i="88"/>
  <c r="H102" i="89"/>
  <c r="C105" i="89"/>
  <c r="I4" i="52"/>
  <c r="C105" i="9"/>
  <c r="G118" i="9"/>
  <c r="F118" i="9"/>
  <c r="F119" i="9"/>
  <c r="F5" i="52"/>
  <c r="B53" i="72"/>
  <c r="I118" i="89"/>
  <c r="H118" i="89"/>
  <c r="H101" i="89"/>
  <c r="H107" i="89"/>
  <c r="H108" i="89"/>
  <c r="N61" i="88"/>
  <c r="D55" i="88"/>
  <c r="M53" i="88"/>
  <c r="N57" i="88"/>
  <c r="N59" i="88"/>
  <c r="N60" i="88"/>
  <c r="C64" i="9"/>
  <c r="C63" i="9"/>
  <c r="C67" i="9"/>
  <c r="D59" i="9"/>
  <c r="M55" i="9"/>
  <c r="E118" i="88"/>
  <c r="D118" i="88"/>
  <c r="D119" i="88"/>
  <c r="N58" i="91"/>
  <c r="D55" i="91"/>
  <c r="M53" i="91"/>
  <c r="N57" i="91"/>
  <c r="P57" i="91"/>
  <c r="G118" i="91"/>
  <c r="F118" i="91"/>
  <c r="F119" i="91"/>
  <c r="M48" i="91"/>
  <c r="D53" i="91"/>
  <c r="H101" i="91"/>
  <c r="D45" i="91"/>
  <c r="D52" i="91"/>
  <c r="H102" i="88"/>
  <c r="C105" i="88"/>
  <c r="C104" i="9"/>
  <c r="H4" i="52"/>
  <c r="C68" i="88"/>
  <c r="D54" i="88"/>
  <c r="D53" i="9"/>
  <c r="D52" i="9"/>
  <c r="C72" i="9"/>
  <c r="C79" i="9"/>
  <c r="C80" i="9"/>
  <c r="E80" i="9"/>
  <c r="E81" i="9"/>
  <c r="C85" i="88"/>
  <c r="C95" i="88"/>
  <c r="C96" i="88"/>
  <c r="E96" i="88"/>
  <c r="E97" i="88"/>
  <c r="N61" i="9"/>
  <c r="D45" i="9"/>
  <c r="D55" i="9"/>
  <c r="M53" i="9"/>
  <c r="N57" i="9"/>
  <c r="N59" i="9"/>
  <c r="N60" i="9"/>
  <c r="C93" i="88"/>
  <c r="C86" i="88"/>
  <c r="H107" i="88"/>
  <c r="H108" i="88"/>
  <c r="I118" i="9"/>
  <c r="H118" i="9"/>
  <c r="H101" i="9"/>
  <c r="H107" i="9"/>
  <c r="H108" i="9"/>
  <c r="C6" i="74"/>
  <c r="C72" i="88"/>
  <c r="C79" i="88"/>
  <c r="C81" i="88"/>
  <c r="H118" i="91"/>
  <c r="I118" i="91"/>
  <c r="E118" i="91"/>
  <c r="D118" i="91"/>
  <c r="D119" i="91"/>
  <c r="I118" i="88"/>
  <c r="H118" i="88"/>
  <c r="H101" i="88"/>
  <c r="D45" i="88"/>
  <c r="C64" i="88"/>
  <c r="C63" i="88"/>
  <c r="C67" i="88"/>
  <c r="D59" i="88"/>
  <c r="M55"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<sst xmlns="http://schemas.openxmlformats.org/spreadsheetml/2006/main" count="17899" uniqueCount="4936">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</sst>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96" fillId="0" borderId="0" xfId="1" applyFont="1" applyAlignment="1">
      <alignment horizontal="center" vertical="center" wrapText="1"/>
    </xf>
    <xf numFmtId="0" fontId="273" fillId="0" borderId="0" xfId="20">
      <alignment vertical="center"/>
    </xf>
    <xf numFmtId="0" fontId="0" fillId="22" borderId="0" xfId="0" applyFill="1">
      <alignment vertical="center"/>
    </xf>
    <xf numFmtId="0" fontId="272" fillId="13" borderId="0" xfId="19" applyFill="1"/>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72" fillId="0" borderId="0" xfId="19"/>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48" fillId="0" borderId="0" xfId="19" applyFont="1"/>
    <xf numFmtId="0" fontId="248" fillId="22" borderId="0" xfId="19" applyFont="1" applyFill="1"/>
    <xf numFmtId="0" fontId="272" fillId="22" borderId="0" xfId="19" applyFill="1"/>
    <xf numFmtId="0" fontId="272" fillId="5" borderId="0" xfId="19" applyFill="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5" borderId="0" xfId="2" applyFill="1"/>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6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47" t="s">
        <v>385</v>
      </c>
      <c r="C54" s="1445" t="s">
        <v>582</v>
      </c>
    </row>
    <row r="55" spans="1:4">
      <c r="A55" s="3263"/>
      <c r="B55" s="1447" t="s">
        <v>386</v>
      </c>
      <c r="C55" s="1445" t="s">
        <v>583</v>
      </c>
    </row>
    <row r="56" spans="1:4">
      <c r="A56" s="3263"/>
      <c r="B56" s="1447" t="s">
        <v>387</v>
      </c>
      <c r="C56" s="1445" t="s">
        <v>587</v>
      </c>
    </row>
    <row r="57" spans="1:4">
      <c r="A57" s="3263"/>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64" t="s">
        <v>2578</v>
      </c>
      <c r="J2" s="3264"/>
      <c r="K2" s="3264"/>
      <c r="L2" s="3264"/>
      <c r="M2" s="3264"/>
      <c r="N2" s="3264"/>
      <c r="O2" s="3264"/>
      <c r="P2" s="3264"/>
      <c r="Q2" s="3264"/>
      <c r="R2" s="3264"/>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65" t="str">
        <f>IF(B10="北京市","北京市",C10)&amp;F10&amp;IF('结果表-1层商业'!G1="在建","出让国有建设用地使用权及在建建筑物",IF('结果表-1层商业'!G1="土地","出让国有建设用地使用权",))&amp;B9&amp;"预评估"</f>
        <v>房地产市场价值预评估</v>
      </c>
      <c r="C1" s="3266"/>
      <c r="D1" s="3266"/>
      <c r="E1" s="3266"/>
      <c r="F1" s="3266"/>
      <c r="G1" s="3266"/>
      <c r="H1" s="3266"/>
      <c r="I1" s="3267"/>
      <c r="J1" s="2245"/>
      <c r="K1" s="2183"/>
      <c r="L1" s="2184"/>
      <c r="M1" s="2184"/>
      <c r="N1" s="2182"/>
      <c r="O1" s="1466"/>
      <c r="P1" s="2182"/>
      <c r="Q1" s="2182"/>
      <c r="R1" s="2182"/>
      <c r="S1" s="1561" t="str">
        <f>IF(B10="北京市","北京市",C10)&amp;F10&amp;IF('结果表-1层商业'!G1="在建","出让国有建设用地使用权及在建建筑物房地产抵押价值",IF('结果表-1层商业'!G1="土地","出让国有建设用地使用权抵押价值",B9))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IF(B10="北京市","北京市",C10)&amp;F10&amp;IF('结果表-1层商业'!G1="在建","出让国有建设用地使用权及在建建筑物房地产",IF('结果表-1层商业'!G1="土地","出让国有建设用地使用权","房地产"))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268"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269"/>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75"/>
      <c r="C16" s="3276"/>
      <c r="D16" s="3277"/>
      <c r="E16" s="2222" t="s">
        <v>2192</v>
      </c>
      <c r="F16" s="3278"/>
      <c r="G16" s="3279"/>
      <c r="H16" s="3279"/>
      <c r="I16" s="3280"/>
      <c r="J16" s="2245"/>
      <c r="K16" s="2403"/>
      <c r="L16" s="1670"/>
      <c r="M16" s="1670"/>
      <c r="N16" s="2245"/>
      <c r="O16" s="1670"/>
      <c r="P16" s="2245"/>
      <c r="Q16" s="2245"/>
      <c r="R16" s="2245"/>
    </row>
    <row r="17" spans="1:28">
      <c r="A17" s="305" t="s">
        <v>2193</v>
      </c>
      <c r="B17" s="294" t="s">
        <v>2194</v>
      </c>
      <c r="C17" s="8">
        <f>'数据-汇总表'!E3</f>
        <v>11841.610000000006</v>
      </c>
      <c r="D17" s="1256" t="s">
        <v>2195</v>
      </c>
      <c r="E17" s="3281" t="s">
        <v>2196</v>
      </c>
      <c r="F17" s="3282"/>
      <c r="G17" s="3282"/>
      <c r="H17" s="3282"/>
      <c r="I17" s="3283"/>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84" t="s">
        <v>2200</v>
      </c>
      <c r="F18" s="3285"/>
      <c r="G18" s="3285"/>
      <c r="H18" s="3285"/>
      <c r="I18" s="3286"/>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71" t="s">
        <v>2204</v>
      </c>
      <c r="C20" s="3272"/>
      <c r="D20" s="3273" t="s">
        <v>2205</v>
      </c>
      <c r="E20" s="3274"/>
      <c r="F20" s="2430" t="s">
        <v>1054</v>
      </c>
      <c r="G20" s="2442"/>
      <c r="H20" s="2442"/>
      <c r="I20" s="2442"/>
      <c r="J20" s="2245"/>
      <c r="K20" s="327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7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70"/>
      <c r="L22" s="646"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88"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88"/>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88"/>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89"/>
      <c r="B30" s="294" t="s">
        <v>2216</v>
      </c>
      <c r="C30" s="3290"/>
      <c r="D30" s="3291"/>
      <c r="E30" s="2442"/>
      <c r="F30" s="2442"/>
      <c r="G30" s="2442"/>
      <c r="H30" s="2442"/>
      <c r="I30" s="2442"/>
      <c r="J30" s="2245"/>
      <c r="K30" s="2402"/>
      <c r="L30" s="2399"/>
      <c r="M30" s="2399"/>
      <c r="N30" s="2245"/>
      <c r="O30" s="1670"/>
      <c r="P30" s="2245"/>
      <c r="Q30" s="2245"/>
      <c r="R30" s="2245"/>
      <c r="S30" s="2245"/>
      <c r="T30" s="2245"/>
      <c r="U30" s="2245"/>
      <c r="V30" s="2245"/>
    </row>
    <row r="31" spans="1:28">
      <c r="A31" s="3292"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87" t="s">
        <v>2226</v>
      </c>
      <c r="T34" s="315" t="str">
        <f>NUMBERSTRING(7-K34,1)&amp;"通"</f>
        <v>七通</v>
      </c>
      <c r="U34" s="2245"/>
      <c r="V34" s="2245"/>
    </row>
    <row r="35" spans="1:30">
      <c r="A35" s="2236"/>
      <c r="B35" s="3287" t="s">
        <v>2227</v>
      </c>
      <c r="C35" s="3287"/>
      <c r="D35" s="3287"/>
      <c r="E35" s="32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7"/>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03" t="s">
        <v>1129</v>
      </c>
      <c r="B2" s="3303"/>
      <c r="C2" s="3303"/>
      <c r="D2" s="748" t="s">
        <v>1105</v>
      </c>
      <c r="E2" s="1523" t="s">
        <v>1106</v>
      </c>
      <c r="F2" s="2439"/>
      <c r="G2" s="2432"/>
      <c r="H2" s="2433"/>
      <c r="I2" s="2146" t="s">
        <v>1130</v>
      </c>
      <c r="J2" s="2439"/>
      <c r="K2" s="2439"/>
      <c r="L2" s="2439"/>
      <c r="M2" s="2439"/>
      <c r="N2" s="2440"/>
      <c r="O2" s="2439"/>
      <c r="P2" s="2439"/>
    </row>
    <row r="3" spans="1:16" ht="15.75" thickBot="1">
      <c r="A3" s="3304" t="s">
        <v>1103</v>
      </c>
      <c r="B3" s="3304"/>
      <c r="C3" s="3304"/>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305"/>
      <c r="B4" s="3306"/>
      <c r="C4" s="3307"/>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308" t="s">
        <v>1108</v>
      </c>
      <c r="C5" s="3308"/>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308" t="s">
        <v>1109</v>
      </c>
      <c r="C6" s="3308"/>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300"/>
      <c r="B7" s="3301"/>
      <c r="C7" s="3302"/>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297" t="s">
        <v>1133</v>
      </c>
      <c r="L16" s="3298"/>
      <c r="M16" s="3298"/>
      <c r="N16" s="3298"/>
      <c r="O16" s="3298"/>
      <c r="P16" s="3299"/>
    </row>
    <row r="17" spans="1:19" ht="15">
      <c r="A17" s="1533" t="s">
        <v>1134</v>
      </c>
      <c r="B17" s="1534" t="s">
        <v>1135</v>
      </c>
      <c r="C17" s="1535" t="s">
        <v>1136</v>
      </c>
      <c r="D17" s="1536" t="s">
        <v>1124</v>
      </c>
      <c r="E17" s="1537" t="s">
        <v>1125</v>
      </c>
      <c r="F17" s="1538"/>
      <c r="G17" s="1539"/>
      <c r="H17" s="1540" t="s">
        <v>1137</v>
      </c>
      <c r="I17" s="1541" t="s">
        <v>1122</v>
      </c>
      <c r="J17" s="1071"/>
      <c r="K17" s="3294" t="s">
        <v>1138</v>
      </c>
      <c r="L17" s="3295"/>
      <c r="M17" s="3296"/>
      <c r="N17" s="3294" t="s">
        <v>1139</v>
      </c>
      <c r="O17" s="3295"/>
      <c r="P17" s="329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3000</v>
      </c>
      <c r="M6" s="64">
        <f t="shared" ref="M6:M14" si="0">ROUND(K6*L6/10000,0)</f>
        <v>52</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322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213.16210000000001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3000</v>
      </c>
      <c r="M7" s="64">
        <f t="shared" si="0"/>
        <v>925</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22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1675.18</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4000</v>
      </c>
      <c r="M8" s="64">
        <f>ROUND(K8*L8/10000,0)</f>
        <v>2667</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22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560.14419999999996</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4000</v>
      </c>
      <c r="M9" s="64">
        <f t="shared" si="0"/>
        <v>34</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22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15.747299999999999</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3106</v>
      </c>
      <c r="M16" s="87">
        <f>SUM(M6:M14)</f>
        <v>3678</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09" t="s">
        <v>2284</v>
      </c>
      <c r="B1" s="3310"/>
      <c r="C1" s="3310"/>
      <c r="D1" s="3310"/>
      <c r="E1" s="3310"/>
      <c r="F1" s="3310"/>
      <c r="G1" s="331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D17"/>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5396.1875805000009</v>
      </c>
      <c r="C5" s="2300">
        <f ca="1">IF(B5=D14,'结果表-1层商业'!H102,ROUND(B5*10000/$B$1,0))</f>
        <v>4557</v>
      </c>
      <c r="D5" s="2300" t="e">
        <f ca="1">ROUND(B5*10000/$B$2,0)</f>
        <v>#DIV/0!</v>
      </c>
      <c r="E5" s="2462"/>
      <c r="F5" s="2463"/>
      <c r="G5" s="2463"/>
      <c r="H5" s="2463"/>
      <c r="I5" s="2463"/>
      <c r="J5" s="2463"/>
      <c r="K5" s="2463"/>
    </row>
    <row r="6" spans="1:11" ht="16.5">
      <c r="A6" s="2300" t="s">
        <v>655</v>
      </c>
      <c r="B6" s="2300">
        <f>SUM(G14:G23)</f>
        <v>0</v>
      </c>
      <c r="C6" s="2300">
        <f ca="1">IF(B6=G14,'结果表-1层商业'!H108,ROUND(B6*10000/$B$1,0))</f>
        <v>0</v>
      </c>
      <c r="D6" s="2300" t="e">
        <f>ROUND(B6*10000/$B$2,0)</f>
        <v>#DIV/0!</v>
      </c>
      <c r="E6" s="2462"/>
      <c r="F6" s="2463"/>
      <c r="G6" s="2463"/>
      <c r="H6" s="2463"/>
      <c r="I6" s="2463"/>
      <c r="J6" s="2463"/>
      <c r="K6" s="2463"/>
    </row>
    <row r="7" spans="1:11" ht="16.5">
      <c r="A7" s="2300" t="s">
        <v>663</v>
      </c>
      <c r="B7" s="2300">
        <f>SUM(H14:H23)</f>
        <v>0</v>
      </c>
      <c r="C7" s="2300" t="str">
        <f>IF(B7=H14,'结果表-1层商业'!H110,ROUND(B7*10000/$B$1,0))</f>
        <v>——</v>
      </c>
      <c r="D7" s="2300" t="e">
        <f>ROUND(B7*10000/$B$2,0)</f>
        <v>#DIV/0!</v>
      </c>
      <c r="E7" s="2462"/>
      <c r="F7" s="2463"/>
      <c r="G7" s="2463"/>
      <c r="H7" s="2463"/>
      <c r="I7" s="2463"/>
      <c r="J7" s="2463"/>
      <c r="K7" s="2463"/>
    </row>
    <row r="8" spans="1:11" ht="16.5">
      <c r="A8" s="2300" t="s">
        <v>586</v>
      </c>
      <c r="B8" s="2300">
        <f>SUM(I14:I23)</f>
        <v>0</v>
      </c>
      <c r="C8" s="2300" t="str">
        <f>IF(B8=I14,'结果表-1层商业'!H112,ROUND(B8*10000/$B$1,0))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最终结果!S43</f>
        <v>2007.2000000000005</v>
      </c>
      <c r="C14" s="2306"/>
      <c r="D14" s="2306">
        <f ca="1">最终结果!R43/10000</f>
        <v>1867.1048445000001</v>
      </c>
      <c r="E14" s="2306">
        <f ca="1">ROUND(D14*10000/B14,0)</f>
        <v>9302</v>
      </c>
      <c r="F14" s="2306" t="e">
        <f ca="1">ROUND(D14*10000/C14,0)</f>
        <v>#DIV/0!</v>
      </c>
      <c r="G14" s="2306"/>
      <c r="H14" s="2306"/>
      <c r="I14" s="2306"/>
      <c r="J14" s="2463"/>
      <c r="K14" s="2463"/>
    </row>
    <row r="15" spans="1:11" ht="16.5">
      <c r="A15" s="2305" t="s">
        <v>648</v>
      </c>
      <c r="B15" s="2306">
        <f>最终结果!S44</f>
        <v>3082.8099999999981</v>
      </c>
      <c r="C15" s="2307"/>
      <c r="D15" s="2306">
        <f ca="1">最终结果!R44/10000</f>
        <v>1903.9434559999988</v>
      </c>
      <c r="E15" s="2306">
        <f t="shared" ref="E15:E23" ca="1" si="0">ROUND(D15*10000/B15,0)</f>
        <v>6176</v>
      </c>
      <c r="F15" s="2306" t="e">
        <f t="shared" ref="F15:F23" ca="1" si="1">ROUND(D15*10000/C15,0)</f>
        <v>#DIV/0!</v>
      </c>
      <c r="G15" s="1244"/>
      <c r="H15" s="1244"/>
      <c r="I15" s="2307"/>
      <c r="J15" s="2463"/>
      <c r="K15" s="2463"/>
    </row>
    <row r="16" spans="1:11" ht="16.5">
      <c r="A16" s="2305" t="s">
        <v>647</v>
      </c>
      <c r="B16" s="2306">
        <f>最终结果!S45</f>
        <v>6666.6000000000076</v>
      </c>
      <c r="C16" s="2307"/>
      <c r="D16" s="2306">
        <f ca="1">最终结果!R45/10000</f>
        <v>1605.3172800000018</v>
      </c>
      <c r="E16" s="2306">
        <f t="shared" ca="1" si="0"/>
        <v>2408</v>
      </c>
      <c r="F16" s="2306" t="e">
        <f t="shared" ca="1" si="1"/>
        <v>#DIV/0!</v>
      </c>
      <c r="G16" s="1244"/>
      <c r="H16" s="1244"/>
      <c r="I16" s="2307"/>
      <c r="J16" s="2463"/>
      <c r="K16" s="2463"/>
    </row>
    <row r="17" spans="1:11" ht="16.5">
      <c r="A17" s="2305" t="s">
        <v>646</v>
      </c>
      <c r="B17" s="2306">
        <f>最终结果!S46</f>
        <v>85</v>
      </c>
      <c r="C17" s="2307"/>
      <c r="D17" s="2306">
        <f ca="1">最终结果!R46/10000</f>
        <v>19.821999999999999</v>
      </c>
      <c r="E17" s="2306">
        <f t="shared" ca="1" si="0"/>
        <v>2332</v>
      </c>
      <c r="F17" s="2306" t="e">
        <f t="shared" ca="1"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rgb="FF7030A0"/>
  </sheetPr>
  <dimension ref="A1:BG224"/>
  <sheetViews>
    <sheetView tabSelected="1" topLeftCell="A37" workbookViewId="0">
      <selection activeCell="T47" sqref="T47"/>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04"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180"/>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180"/>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180"/>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180"/>
      <c r="T5" s="3172">
        <v>3</v>
      </c>
      <c r="U5" s="3172">
        <f>T5*T3+T6*T7</f>
        <v>876.44999999999993</v>
      </c>
      <c r="V5" s="3566">
        <f>U5/(T3+T7)</f>
        <v>3.582757633977844</v>
      </c>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180"/>
      <c r="Q6" s="3175" t="s">
        <v>4300</v>
      </c>
      <c r="T6" s="3172">
        <v>5</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180"/>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180"/>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180"/>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180"/>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180"/>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180"/>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180"/>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180"/>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180"/>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180"/>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180"/>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180"/>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180"/>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180"/>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180"/>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180"/>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180"/>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180"/>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180"/>
      <c r="R25" s="3215">
        <f ca="1">R26/R24</f>
        <v>9087.1707806514441</v>
      </c>
      <c r="S25" s="3172">
        <f ca="1">'结果表-1层商业'!G20</f>
        <v>16583</v>
      </c>
      <c r="T25" s="3172">
        <f ca="1">$S$25*T22</f>
        <v>8291.5</v>
      </c>
      <c r="U25" s="3172">
        <f t="shared" ref="U25:V25" ca="1" si="8">$S$25*U22</f>
        <v>8291.5</v>
      </c>
      <c r="V25" s="3172">
        <f t="shared" ca="1" si="8"/>
        <v>8291.5</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180"/>
      <c r="R26" s="3213">
        <f ca="1">SUM(S26:V26)</f>
        <v>16415428.785</v>
      </c>
      <c r="S26" s="3172">
        <f ca="1">S24*S25</f>
        <v>2874663.05</v>
      </c>
      <c r="T26" s="3172">
        <f t="shared" ref="T26:V26" ca="1" si="9">T24*T25</f>
        <v>6457668.9450000003</v>
      </c>
      <c r="U26" s="3172">
        <f t="shared" ca="1" si="9"/>
        <v>4997784.54</v>
      </c>
      <c r="V26" s="3172">
        <f t="shared" ca="1" si="9"/>
        <v>2085312.2499999995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180"/>
      <c r="P27" s="3180" t="s">
        <v>4291</v>
      </c>
      <c r="Q27" s="3179">
        <f>COUNTIF($H$2:$H$107,P27)</f>
        <v>56</v>
      </c>
      <c r="R27" s="3179">
        <f>SUMIF($H$2:$H$107,P27,$G$2:$G$107)</f>
        <v>2814.880000000001</v>
      </c>
      <c r="S27" s="3172">
        <f ca="1">'结果表-车位'!G20</f>
        <v>2408</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180"/>
      <c r="R28" s="3213">
        <f ca="1">S27*R27</f>
        <v>6778231.0400000028</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180"/>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180"/>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180"/>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180"/>
      <c r="R32" s="3215">
        <f ca="1">R33/R31</f>
        <v>11235.403765690378</v>
      </c>
      <c r="S32" s="3172">
        <f ca="1">S25</f>
        <v>16583</v>
      </c>
      <c r="T32" s="3172">
        <f ca="1">T25</f>
        <v>8291.5</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180"/>
      <c r="R33" s="3213">
        <f ca="1">SUM(S33:T33)</f>
        <v>2255619.66</v>
      </c>
      <c r="S33" s="3172">
        <f ca="1">S31*S32</f>
        <v>1182036.24</v>
      </c>
      <c r="T33" s="3172">
        <f t="shared" ref="T33" ca="1" si="10">T31*T32</f>
        <v>1073583.42</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180"/>
      <c r="P34" s="3172" t="s">
        <v>4296</v>
      </c>
      <c r="Q34" s="3172">
        <v>70</v>
      </c>
      <c r="R34" s="3172">
        <v>3082.8099999999981</v>
      </c>
      <c r="S34" s="3172">
        <f ca="1">'结果表-办公'!G20</f>
        <v>6176</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180"/>
      <c r="R35" s="3213">
        <f ca="1">S34*R34</f>
        <v>19039434.559999987</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180"/>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180"/>
      <c r="P37" s="3175" t="s">
        <v>4318</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180"/>
      <c r="P38" s="3175" t="s">
        <v>4319</v>
      </c>
      <c r="Q38" s="3179">
        <f>COUNTIF($AZ$2:$AZ$224,P38)</f>
        <v>1</v>
      </c>
      <c r="R38" s="3179">
        <f>SUMIF($AZ$2:$AZ$224,P38,$AY$2:$AY$224)</f>
        <v>85</v>
      </c>
      <c r="S38" s="3179">
        <f ca="1">'结果表-仓储'!G20</f>
        <v>2332</v>
      </c>
      <c r="T38" s="3179"/>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180"/>
      <c r="P39" s="3181"/>
      <c r="Q39" s="3182"/>
      <c r="R39" s="3214">
        <f ca="1">S38*R38</f>
        <v>198220</v>
      </c>
      <c r="S39" s="3182"/>
      <c r="T39" s="3182"/>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180"/>
      <c r="P40" s="3180" t="s">
        <v>4291</v>
      </c>
      <c r="Q40" s="3179">
        <f t="shared" ref="Q40" si="11">COUNTIF($AZ$2:$AZ$224,P40)</f>
        <v>98</v>
      </c>
      <c r="R40" s="3179">
        <f t="shared" ref="R40" si="12">SUMIF($AZ$2:$AZ$224,P40,$AY$2:$AY$224)</f>
        <v>3851.7200000000062</v>
      </c>
      <c r="S40" s="3179">
        <f ca="1">S27</f>
        <v>2408</v>
      </c>
      <c r="T40" s="3179"/>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180"/>
      <c r="R41" s="3213">
        <f ca="1">S40*R40</f>
        <v>9274941.7600000147</v>
      </c>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180"/>
      <c r="R42" s="3172" t="s">
        <v>4924</v>
      </c>
      <c r="S42" s="3172" t="s">
        <v>4925</v>
      </c>
      <c r="T42" s="3172" t="s">
        <v>4926</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180"/>
      <c r="Q43" s="3172" t="s">
        <v>4920</v>
      </c>
      <c r="R43" s="3216">
        <f ca="1">R26+R33</f>
        <v>18671048.445</v>
      </c>
      <c r="S43" s="3217">
        <f>R24+R31</f>
        <v>2007.2000000000005</v>
      </c>
      <c r="T43" s="3217">
        <f ca="1">R43/S43</f>
        <v>9302.0368896970886</v>
      </c>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180"/>
      <c r="Q44" s="3172" t="s">
        <v>4921</v>
      </c>
      <c r="R44" s="3218">
        <f ca="1">R35</f>
        <v>19039434.559999987</v>
      </c>
      <c r="S44" s="3217">
        <f>R34</f>
        <v>3082.8099999999981</v>
      </c>
      <c r="T44" s="3217">
        <f t="shared" ref="T44:T46" ca="1" si="13">R44/S44</f>
        <v>6176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180"/>
      <c r="Q45" s="3172" t="s">
        <v>4922</v>
      </c>
      <c r="R45" s="3219">
        <f ca="1">R28+R41</f>
        <v>16053172.800000018</v>
      </c>
      <c r="S45" s="3217">
        <f>R27+R40</f>
        <v>6666.6000000000076</v>
      </c>
      <c r="T45" s="3217">
        <f t="shared" ca="1" si="13"/>
        <v>2408</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180"/>
      <c r="Q46" s="3172" t="s">
        <v>4923</v>
      </c>
      <c r="R46" s="3220">
        <f ca="1">R39</f>
        <v>198220</v>
      </c>
      <c r="S46" s="3217">
        <f>R38</f>
        <v>85</v>
      </c>
      <c r="T46" s="3217">
        <f t="shared" ca="1" si="13"/>
        <v>2332</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180"/>
      <c r="R47" s="3172">
        <f ca="1">SUM(R43:R46)</f>
        <v>53961875.805000007</v>
      </c>
      <c r="S47" s="3172">
        <f>SUM(S43:S46)</f>
        <v>11841.610000000006</v>
      </c>
      <c r="T47" s="3172">
        <f ca="1">R47/S47</f>
        <v>4556.9712061957771</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180"/>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180"/>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180"/>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180"/>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180"/>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180"/>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180"/>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180"/>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180"/>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180"/>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180">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180">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180">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180">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180">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180">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180">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180">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180">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180">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180">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180">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180">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180">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180">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180">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180">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180">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180">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180">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180">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180">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180">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180">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180">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180">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180">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180">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180">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180">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180">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180">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180">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180">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180">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180">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180">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180">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180">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180">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180">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180">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180">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180">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180">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180">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180">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180">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180">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180">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8"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8"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8"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8"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8"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8"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8"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8"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8"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8"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8"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8"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8"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row>
    <row r="126" spans="45:58"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row>
    <row r="127" spans="45:58"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row>
    <row r="128" spans="45:58"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row>
    <row r="129" spans="45:58"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row>
    <row r="130" spans="45:58"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row>
    <row r="131" spans="45:58"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row>
    <row r="132" spans="45:58"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row>
    <row r="133" spans="45:58"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row>
    <row r="134" spans="45:58"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row>
    <row r="135" spans="45:58"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row>
    <row r="136" spans="45:58"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row>
    <row r="137" spans="45:58"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row>
    <row r="138" spans="45:58"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row>
    <row r="139" spans="45:58"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row>
    <row r="140" spans="45:58"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row>
    <row r="141" spans="45:58"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row>
    <row r="142" spans="45:58"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row>
    <row r="143" spans="45:58"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row>
    <row r="144" spans="45:58"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row>
    <row r="145" spans="45:58"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row>
    <row r="146" spans="45:58"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row>
    <row r="147" spans="45:58"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row>
    <row r="148" spans="45:58"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row>
    <row r="149" spans="45:58"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row>
    <row r="150" spans="45:58"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row>
    <row r="151" spans="45:58"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row>
    <row r="152" spans="45:58"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row>
    <row r="153" spans="45:58"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row>
    <row r="154" spans="45:58"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row>
    <row r="155" spans="45:58"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row>
    <row r="156" spans="45:58"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row>
    <row r="157" spans="45:58"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row>
    <row r="158" spans="45:58"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row>
    <row r="159" spans="45:58"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row>
    <row r="160" spans="45:58"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row>
    <row r="161" spans="45:58"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row>
    <row r="162" spans="45:58"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row>
    <row r="163" spans="45:58"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row>
    <row r="164" spans="45:58"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row>
    <row r="165" spans="45:58"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row>
    <row r="166" spans="45:58"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row>
    <row r="167" spans="45:58"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row>
    <row r="168" spans="45:58"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row>
    <row r="169" spans="45:58"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row>
    <row r="170" spans="45:58"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row>
    <row r="171" spans="45:58"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row>
    <row r="172" spans="45:58"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row>
    <row r="173" spans="45:58"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row>
    <row r="174" spans="45:58"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row>
    <row r="175" spans="45:58"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row>
    <row r="176" spans="45:58"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row>
    <row r="177" spans="45:58"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row>
    <row r="178" spans="45:58"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row>
    <row r="179" spans="45:58"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row>
    <row r="180" spans="45:58"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row>
    <row r="181" spans="45:58"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row>
    <row r="182" spans="45:58"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row>
    <row r="183" spans="45:58"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row>
    <row r="184" spans="45:58"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row>
    <row r="185" spans="45:58"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row>
    <row r="186" spans="45:58"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row>
    <row r="187" spans="45:58"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row>
    <row r="188" spans="45:58"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row>
    <row r="189" spans="45:58"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row>
    <row r="190" spans="45:58"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row>
    <row r="191" spans="45:58"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row>
    <row r="192" spans="45:58"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row>
    <row r="193" spans="45:58"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row>
    <row r="194" spans="45:58"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row>
    <row r="195" spans="45:58"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row>
    <row r="196" spans="45:58"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row>
    <row r="197" spans="45:58"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row>
    <row r="198" spans="45:58"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row>
    <row r="199" spans="45:58"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row>
    <row r="200" spans="45:58"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row>
    <row r="201" spans="45:58"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row>
    <row r="202" spans="45:58"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row>
    <row r="203" spans="45:58"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row>
    <row r="204" spans="45:58"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row>
    <row r="205" spans="45:58"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row>
    <row r="206" spans="45:58"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row>
    <row r="207" spans="45:58"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row>
    <row r="208" spans="45:58"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row>
    <row r="209" spans="45:58"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row>
    <row r="210" spans="45:58"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row>
    <row r="211" spans="45:58"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row>
    <row r="212" spans="45:58"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row>
    <row r="213" spans="45:58"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row>
    <row r="214" spans="45:58"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row>
    <row r="215" spans="45:58"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row>
    <row r="216" spans="45:58"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row>
    <row r="217" spans="45:58"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row>
    <row r="218" spans="45:58"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row>
    <row r="219" spans="45:58"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row>
    <row r="220" spans="45:58"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row>
    <row r="221" spans="45:58"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row>
    <row r="222" spans="45:58"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row>
    <row r="223" spans="45:58"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row>
    <row r="224" spans="45:58"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row>
  </sheetData>
  <autoFilter ref="A1:BF107" xr:uid="{6F8CAB66-0668-4689-9A3D-AA1D8F7591C4}"/>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4764</v>
      </c>
      <c r="D4" s="1626" t="s">
        <v>4916</v>
      </c>
      <c r="E4" s="3387" t="s">
        <v>1265</v>
      </c>
      <c r="F4" s="3388"/>
      <c r="G4" s="3388"/>
      <c r="H4" s="3388"/>
      <c r="I4" s="3389"/>
      <c r="K4" s="138" t="str">
        <f>IF(ISNUMBER(FIND("比较法",'结果表-1层商业'!C4)),"比较法",IF(ISNUMBER(FIND("成本法",'结果表-1层商业'!C4)),"成本法",IF(ISNUMBER(FIND("假设开发法",'结果表-1层商业'!C4)),"假设开发法",IF(ISNUMBER(FIND("收益法",'结果表-1层商业'!C4)),"收益法","基准地价系数修正法"))))</f>
        <v>收益法</v>
      </c>
      <c r="L4" s="138" t="str">
        <f>IF(ISNUMBER(FIND("比较法",'结果表-1层商业'!D4)),"比较法",IF(ISNUMBER(FIND("成本法",'结果表-1层商业'!D4)),"成本法",IF(ISNUMBER(FIND("假设开发法",'结果表-1层商业'!D4)),"假设开发法",IF(ISNUMBER(FIND("收益法",'结果表-1层商业'!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SUMIF(INDIRECT("'"&amp;C4&amp;"'"&amp;"!A:A"),'结果表-1层商业'!B19,INDIRECT("'"&amp;C4&amp;"'"&amp;"!B:B"))</f>
        <v>213.16210000000001</v>
      </c>
      <c r="D19" s="127">
        <f ca="1">SUMIF(INDIRECT("'"&amp;D4&amp;"'"&amp;"!A:A"),'结果表-1层商业'!B19,INDIRECT("'"&amp;D4&amp;"'"&amp;"!B:B"))</f>
        <v>398.93040000000002</v>
      </c>
      <c r="E19" s="1630" t="s">
        <v>1290</v>
      </c>
      <c r="F19" s="1631" t="s">
        <v>1289</v>
      </c>
      <c r="G19" s="128">
        <f ca="1">ROUND(C19*$C$18+D19*$D$18,0)</f>
        <v>287</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SUMIF(INDIRECT("'"&amp;C4&amp;"'"&amp;"!A:A"),'结果表-1层商业'!B20,INDIRECT("'"&amp;C4&amp;"'"&amp;"!B:B"))</f>
        <v>12297</v>
      </c>
      <c r="D20" s="130">
        <f ca="1">SUMIF(INDIRECT("'"&amp;D4&amp;"'"&amp;"!A:A"),'结果表-1层商业'!B20,INDIRECT("'"&amp;D4&amp;"'"&amp;"!B:B"))</f>
        <v>23013</v>
      </c>
      <c r="E20" s="1633"/>
      <c r="F20" s="43" t="s">
        <v>1293</v>
      </c>
      <c r="G20" s="131">
        <f ca="1">ROUND(C20*$C$18+D20*$D$18,0)</f>
        <v>16583</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0.87148841187059056</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16583</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IF(AND(J55="",J56=""),4,IF(项目基本情况!K6="上海银行",'结果表-1层商业'!J56+1,'结果表-1层商业'!J55+1))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(元)-商业</v>
      </c>
      <c r="D101" s="2372" t="str">
        <f>D4</f>
        <v>比较法-商业</v>
      </c>
      <c r="E101" s="3318" t="s">
        <v>1429</v>
      </c>
      <c r="F101" s="3319"/>
      <c r="G101" s="1687" t="s">
        <v>1430</v>
      </c>
      <c r="H101" s="2381" t="e">
        <f ca="1">H118</f>
        <v>#REF!</v>
      </c>
      <c r="I101" s="121"/>
    </row>
    <row r="102" spans="1:35" ht="18.75" customHeight="1">
      <c r="A102" s="3350" t="s">
        <v>1431</v>
      </c>
      <c r="B102" s="2370" t="s">
        <v>1430</v>
      </c>
      <c r="C102" s="2371">
        <f ca="1">IF(D32="楼面单价",ROUND(C19,0),C19)</f>
        <v>213.16210000000001</v>
      </c>
      <c r="D102" s="2372">
        <f ca="1">IF(D32="楼面单价",ROUND(D19,0),D19)</f>
        <v>398.93040000000002</v>
      </c>
      <c r="E102" s="3318"/>
      <c r="F102" s="3319"/>
      <c r="G102" s="1687" t="s">
        <v>1432</v>
      </c>
      <c r="H102" s="2341" t="e">
        <f ca="1">I118</f>
        <v>#REF!</v>
      </c>
      <c r="I102" s="121"/>
    </row>
    <row r="103" spans="1:35" ht="42.75" customHeight="1">
      <c r="A103" s="3350"/>
      <c r="B103" s="2370" t="s">
        <v>1432</v>
      </c>
      <c r="C103" s="2373">
        <f ca="1">C20</f>
        <v>12297</v>
      </c>
      <c r="D103" s="2374">
        <f ca="1">D20</f>
        <v>23013</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23" t="str">
        <f>项目基本情况!B1</f>
        <v>房地产市场价值预评估</v>
      </c>
      <c r="C37" s="3223"/>
      <c r="D37" s="3223"/>
      <c r="E37" s="3223"/>
      <c r="F37" s="3223"/>
      <c r="G37" s="3223"/>
      <c r="H37" s="3223"/>
      <c r="I37" s="322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4670</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3944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4227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3678</v>
      </c>
      <c r="D34" s="209"/>
      <c r="E34" s="212"/>
      <c r="F34" s="249">
        <f ca="1">IF('数据-取费表'!B24=0,1,IF(B1="",'数据-取费表'!N16,INDIRECT("'数据-取费表'!n"&amp;$G$1)))</f>
        <v>1</v>
      </c>
      <c r="G34" s="211" t="s">
        <v>1524</v>
      </c>
    </row>
    <row r="35" spans="1:7" ht="13.5" customHeight="1">
      <c r="A35" s="734" t="s">
        <v>351</v>
      </c>
      <c r="B35" s="207" t="s">
        <v>1525</v>
      </c>
      <c r="C35" s="212">
        <f ca="1">ROUND(C34*F35,0)</f>
        <v>184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74</v>
      </c>
      <c r="D38" s="212"/>
      <c r="E38" s="212"/>
      <c r="F38" s="251">
        <f>'数据-取费表'!B36</f>
        <v>0.02</v>
      </c>
      <c r="G38" s="211" t="s">
        <v>1526</v>
      </c>
    </row>
    <row r="39" spans="1:7" s="206" customFormat="1" ht="13.5" customHeight="1">
      <c r="A39" s="247" t="s">
        <v>1532</v>
      </c>
      <c r="B39" s="202" t="s">
        <v>1533</v>
      </c>
      <c r="C39" s="224">
        <f ca="1">ROUND(C33*F20,0)</f>
        <v>42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133</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132</v>
      </c>
      <c r="D42" s="230"/>
      <c r="E42" s="230"/>
      <c r="F42" s="231"/>
      <c r="G42" s="3405" t="s">
        <v>1542</v>
      </c>
    </row>
    <row r="43" spans="1:7" ht="13.5" customHeight="1">
      <c r="A43" s="734" t="s">
        <v>347</v>
      </c>
      <c r="B43" s="207" t="s">
        <v>1543</v>
      </c>
      <c r="C43" s="230">
        <f ca="1">ROUND(IF('数据-取费表'!B22&lt;=1,C39*F22*'数据-取费表'!B21/2,C39*(POWER((1+F22),'数据-取费表'!B21/2)-1)),0)</f>
        <v>1</v>
      </c>
      <c r="D43" s="230"/>
      <c r="E43" s="230"/>
      <c r="F43" s="231"/>
      <c r="G43" s="3406"/>
    </row>
    <row r="44" spans="1:7" ht="13.5" customHeight="1">
      <c r="A44" s="734" t="s">
        <v>348</v>
      </c>
      <c r="B44" s="207" t="s">
        <v>1544</v>
      </c>
      <c r="C44" s="230">
        <f ca="1">ROUND(IF('数据-取费表'!B22&lt;=1,C40*F22*'数据-取费表'!B21/2,C40*(POWER((1+F22),'数据-取费表'!B21/2)-1)),4)</f>
        <v>8.9999999999999998E-4</v>
      </c>
      <c r="D44" s="230"/>
      <c r="E44" s="230"/>
      <c r="F44" s="231"/>
      <c r="G44" s="3407"/>
    </row>
    <row r="45" spans="1:7" s="206" customFormat="1" ht="13.5" customHeight="1">
      <c r="A45" s="247" t="s">
        <v>1545</v>
      </c>
      <c r="B45" s="236" t="s">
        <v>1511</v>
      </c>
      <c r="C45" s="237">
        <f ca="1">C46</f>
        <v>299</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299</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5145</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4373</v>
      </c>
      <c r="D51" s="224"/>
      <c r="E51" s="224"/>
      <c r="F51" s="256"/>
      <c r="G51" s="226" t="s">
        <v>1558</v>
      </c>
    </row>
    <row r="52" spans="1:7" s="200" customFormat="1" ht="16.5" thickBot="1">
      <c r="A52" s="257" t="s">
        <v>1559</v>
      </c>
      <c r="B52" s="258"/>
      <c r="C52" s="259">
        <f ca="1">C31+C51</f>
        <v>4670</v>
      </c>
      <c r="D52" s="258"/>
      <c r="E52" s="258"/>
      <c r="F52" s="258"/>
      <c r="G52" s="260"/>
    </row>
    <row r="55" spans="1:7" ht="15">
      <c r="B55" s="262" t="s">
        <v>1560</v>
      </c>
      <c r="C55" s="263"/>
    </row>
    <row r="56" spans="1:7">
      <c r="B56" s="265" t="s">
        <v>801</v>
      </c>
      <c r="C56" s="267">
        <f ca="1">1-C57</f>
        <v>6.3999999999999946E-2</v>
      </c>
    </row>
    <row r="57" spans="1:7">
      <c r="B57" s="265" t="s">
        <v>802</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ROUND(F6*F8*F7*(1-F9)/10000,0)</f>
        <v>0</v>
      </c>
      <c r="D6" s="147" t="s">
        <v>2107</v>
      </c>
      <c r="E6" s="294" t="s">
        <v>695</v>
      </c>
      <c r="F6" s="295">
        <f ca="1">INDIRECT("'数据-取费表'!u"&amp;$G$1)</f>
        <v>0</v>
      </c>
      <c r="G6" s="1292"/>
      <c r="H6" s="1006" t="s">
        <v>398</v>
      </c>
      <c r="I6" s="3410" t="s">
        <v>693</v>
      </c>
      <c r="J6" s="293">
        <f ca="1">ROUND(M6*M8*M7*(1-M9)/10000,0)</f>
        <v>0</v>
      </c>
      <c r="K6" s="147" t="s">
        <v>2106</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0</v>
      </c>
      <c r="G7" s="1292"/>
      <c r="H7" s="296"/>
      <c r="I7" s="3411"/>
      <c r="J7" s="298"/>
      <c r="K7" s="299"/>
      <c r="L7" s="294" t="s">
        <v>696</v>
      </c>
      <c r="M7" s="295">
        <f ca="1">F7</f>
        <v>0</v>
      </c>
    </row>
    <row r="8" spans="1:37" ht="18" customHeight="1">
      <c r="A8" s="296"/>
      <c r="B8" s="3411"/>
      <c r="C8" s="298"/>
      <c r="D8" s="299"/>
      <c r="E8" s="294" t="s">
        <v>697</v>
      </c>
      <c r="F8" s="295">
        <f ca="1">INDIRECT("'数据-取费表'!ai"&amp;$G$1)</f>
        <v>0</v>
      </c>
      <c r="G8" s="1292"/>
      <c r="H8" s="296"/>
      <c r="I8" s="3411"/>
      <c r="J8" s="298"/>
      <c r="K8" s="299"/>
      <c r="L8" s="294" t="s">
        <v>697</v>
      </c>
      <c r="M8" s="295">
        <f ca="1">INDIRECT("'数据-取费表'!ai"&amp;$G$1)</f>
        <v>0</v>
      </c>
    </row>
    <row r="9" spans="1:37" ht="18" customHeight="1">
      <c r="A9" s="296"/>
      <c r="B9" s="3412"/>
      <c r="C9" s="298"/>
      <c r="D9" s="299"/>
      <c r="E9" s="294" t="s">
        <v>698</v>
      </c>
      <c r="F9" s="304">
        <f ca="1">INDIRECT("'数据-取费表'!w"&amp;$G$1)</f>
        <v>0</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408" t="s">
        <v>836</v>
      </c>
      <c r="L53" s="3409"/>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E24" sqref="E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213.16210000000001</v>
      </c>
      <c r="C2" s="1289" t="s">
        <v>878</v>
      </c>
      <c r="D2" s="1375">
        <f ca="1">C40+J29+L46</f>
        <v>2131621</v>
      </c>
      <c r="E2" s="1295" t="s">
        <v>879</v>
      </c>
      <c r="F2" s="1296"/>
      <c r="G2" s="2479"/>
      <c r="H2" s="2469"/>
      <c r="I2" s="2469"/>
      <c r="J2" s="2469"/>
      <c r="K2" s="2470"/>
      <c r="L2" s="2469"/>
      <c r="M2" s="2469"/>
    </row>
    <row r="3" spans="1:37" ht="18" customHeight="1" thickBot="1">
      <c r="A3" s="1297" t="s">
        <v>880</v>
      </c>
      <c r="B3" s="1298">
        <f ca="1">IF(ISERROR(D2/F43),0,ROUND(D2/F43,0))</f>
        <v>12297</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188471</v>
      </c>
      <c r="D5" s="1273" t="s">
        <v>888</v>
      </c>
      <c r="E5" s="1008"/>
      <c r="F5" s="1009"/>
      <c r="G5" s="1292"/>
      <c r="H5" s="291">
        <v>1</v>
      </c>
      <c r="I5" s="292" t="s">
        <v>887</v>
      </c>
      <c r="J5" s="1007">
        <f ca="1">J6+J10+J12</f>
        <v>0</v>
      </c>
      <c r="K5" s="1273" t="s">
        <v>888</v>
      </c>
      <c r="L5" s="1008"/>
      <c r="M5" s="1009"/>
    </row>
    <row r="6" spans="1:37" ht="18" customHeight="1">
      <c r="A6" s="1006" t="s">
        <v>398</v>
      </c>
      <c r="B6" s="3410" t="s">
        <v>693</v>
      </c>
      <c r="C6" s="1011">
        <f ca="1">ROUND(F6*F8*F7*(1-F9),0)</f>
        <v>188236</v>
      </c>
      <c r="D6" s="147" t="s">
        <v>2104</v>
      </c>
      <c r="E6" s="294" t="s">
        <v>695</v>
      </c>
      <c r="F6" s="295">
        <f ca="1">INDIRECT("'数据-取费表'!u"&amp;$G$1)</f>
        <v>3.5</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173.35</v>
      </c>
      <c r="G7" s="1292"/>
      <c r="H7" s="296"/>
      <c r="I7" s="3411"/>
      <c r="J7" s="298"/>
      <c r="K7" s="299"/>
      <c r="L7" s="294" t="s">
        <v>696</v>
      </c>
      <c r="M7" s="295">
        <f ca="1">F7</f>
        <v>173.35</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0.15</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235</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637442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520050</v>
      </c>
      <c r="D14" s="1257" t="s">
        <v>707</v>
      </c>
      <c r="E14" s="1255"/>
      <c r="F14" s="311"/>
      <c r="G14" s="1292"/>
      <c r="H14" s="928" t="s">
        <v>398</v>
      </c>
      <c r="I14" s="294" t="s">
        <v>708</v>
      </c>
      <c r="J14" s="21">
        <f ca="1">C29</f>
        <v>749932</v>
      </c>
      <c r="K14" s="12"/>
      <c r="L14" s="759"/>
      <c r="M14" s="760"/>
    </row>
    <row r="15" spans="1:37" s="1304" customFormat="1" ht="18" customHeight="1" thickBot="1">
      <c r="A15" s="928" t="s">
        <v>399</v>
      </c>
      <c r="B15" s="294" t="s">
        <v>709</v>
      </c>
      <c r="C15" s="21">
        <f ca="1">ROUND(C14*F15,0)</f>
        <v>26003</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1500</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10401</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599098</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5991</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1500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18940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-1500</v>
      </c>
      <c r="K25" s="1032" t="s">
        <v>752</v>
      </c>
      <c r="L25" s="1033"/>
      <c r="M25" s="1034"/>
    </row>
    <row r="26" spans="1:37" ht="18" customHeight="1">
      <c r="A26" s="928" t="s">
        <v>397</v>
      </c>
      <c r="B26" s="294" t="s">
        <v>753</v>
      </c>
      <c r="C26" s="21">
        <f ca="1">ROUND((C19+C20)*F26,0)</f>
        <v>60509</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749932</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35574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31552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10039</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21513</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1500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637</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1885</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152897</v>
      </c>
      <c r="D39" s="1032" t="s">
        <v>772</v>
      </c>
      <c r="E39" s="1033"/>
      <c r="F39" s="1034"/>
      <c r="G39" s="1292"/>
      <c r="H39" s="2474"/>
      <c r="I39" s="1305"/>
      <c r="J39" s="1306"/>
      <c r="K39" s="2472"/>
      <c r="L39" s="2474"/>
      <c r="M39" s="2474"/>
    </row>
    <row r="40" spans="1:18" ht="18" customHeight="1">
      <c r="A40" s="291" t="s">
        <v>395</v>
      </c>
      <c r="B40" s="292" t="s">
        <v>773</v>
      </c>
      <c r="C40" s="293">
        <f ca="1">ROUND(C39*(1-((1+F42)/(1+F40))^F41)/(F40-F42),0)</f>
        <v>2070207</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11942</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-209.91419999999999</v>
      </c>
      <c r="D45" s="3131" t="s">
        <v>3349</v>
      </c>
      <c r="E45" s="1307"/>
      <c r="F45" s="1307"/>
      <c r="O45" s="1310" t="s">
        <v>807</v>
      </c>
      <c r="P45" s="1366"/>
      <c r="Q45" s="1366"/>
      <c r="R45" s="1366"/>
    </row>
    <row r="46" spans="1:18" s="1292" customFormat="1" ht="13.5" thickBot="1">
      <c r="A46" s="1311" t="s">
        <v>808</v>
      </c>
      <c r="C46" s="1312">
        <f ca="1">ROUND(C45,0)</f>
        <v>-210</v>
      </c>
      <c r="D46" s="1313" t="str">
        <f>C2</f>
        <v>万元</v>
      </c>
      <c r="I46" s="1314" t="s">
        <v>809</v>
      </c>
      <c r="J46" s="1315"/>
      <c r="K46" s="1316"/>
      <c r="L46" s="1317">
        <f ca="1">IF(M47="住宅",0,IF(L48&gt;J51,L60,J60))</f>
        <v>61414</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2070207</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61414</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749932</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2093051</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408" t="s">
        <v>836</v>
      </c>
      <c r="L53" s="3409"/>
      <c r="O53" s="1325" t="s">
        <v>409</v>
      </c>
      <c r="P53" s="1326" t="s">
        <v>837</v>
      </c>
      <c r="Q53" s="1327">
        <f ca="1">Q47+Q48</f>
        <v>2131621</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637442</v>
      </c>
      <c r="D56" s="1352"/>
      <c r="E56" s="1353"/>
      <c r="F56" s="1345"/>
      <c r="I56" s="1354" t="s">
        <v>841</v>
      </c>
      <c r="J56" s="1355" t="s">
        <v>4789</v>
      </c>
      <c r="K56" s="1328" t="s">
        <v>842</v>
      </c>
      <c r="L56" s="1331" t="str">
        <f ca="1">IF(L48&lt;J51,"——",L48-J51)</f>
        <v>——</v>
      </c>
      <c r="O56" s="1325" t="s">
        <v>403</v>
      </c>
      <c r="P56" s="1326" t="s">
        <v>816</v>
      </c>
      <c r="Q56" s="1327">
        <f ca="1">C40+J29</f>
        <v>2070207</v>
      </c>
      <c r="R56" s="1327" t="s">
        <v>817</v>
      </c>
    </row>
    <row r="57" spans="1:18" s="1292" customFormat="1" ht="24.75" thickBot="1">
      <c r="A57" s="1356"/>
      <c r="B57" s="896" t="s">
        <v>766</v>
      </c>
      <c r="C57" s="230">
        <f ca="1">C29</f>
        <v>749932</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2137</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305972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61414</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2070207</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1500</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637</v>
      </c>
      <c r="D65" s="910" t="s">
        <v>742</v>
      </c>
      <c r="E65" s="896" t="s">
        <v>743</v>
      </c>
      <c r="F65" s="321">
        <f t="shared" ca="1" si="0"/>
        <v>1E-3</v>
      </c>
      <c r="I65" s="1367" t="s">
        <v>866</v>
      </c>
      <c r="J65" s="610">
        <v>40</v>
      </c>
      <c r="K65" s="610">
        <v>30</v>
      </c>
      <c r="L65" s="610">
        <v>50</v>
      </c>
      <c r="M65" s="1369">
        <v>0.02</v>
      </c>
      <c r="O65" s="1325" t="s">
        <v>403</v>
      </c>
      <c r="P65" s="1326" t="s">
        <v>867</v>
      </c>
      <c r="Q65" s="1327">
        <f ca="1">C40+J29</f>
        <v>2070207</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-2137</v>
      </c>
      <c r="D67" s="909" t="s">
        <v>752</v>
      </c>
      <c r="E67" s="914"/>
      <c r="F67" s="915"/>
      <c r="O67" s="1334" t="s">
        <v>405</v>
      </c>
      <c r="P67" s="1326" t="s">
        <v>849</v>
      </c>
      <c r="Q67" s="1370">
        <f ca="1">L51</f>
        <v>2093051</v>
      </c>
      <c r="R67" s="1327" t="s">
        <v>869</v>
      </c>
    </row>
    <row r="68" spans="1:18" s="1292" customFormat="1" ht="16.5" thickBot="1">
      <c r="A68" s="893" t="s">
        <v>395</v>
      </c>
      <c r="B68" s="894" t="s">
        <v>773</v>
      </c>
      <c r="C68" s="293">
        <f ca="1">ROUND(C67*(1-((1+F70)/(1+F68))^F69)/(F68-F70),0)</f>
        <v>-28935</v>
      </c>
      <c r="D68" s="911" t="s">
        <v>757</v>
      </c>
      <c r="E68" s="896" t="s">
        <v>758</v>
      </c>
      <c r="F68" s="304">
        <f ca="1">F40</f>
        <v>5.5E-2</v>
      </c>
      <c r="O68" s="1334" t="s">
        <v>406</v>
      </c>
      <c r="P68" s="1371" t="s">
        <v>870</v>
      </c>
      <c r="Q68" s="1327">
        <f ca="1">ROUND(Q69-Q70*Q71,0)</f>
        <v>114650</v>
      </c>
      <c r="R68" s="1327" t="s">
        <v>414</v>
      </c>
    </row>
    <row r="69" spans="1:18" s="1292" customFormat="1" ht="13.5" thickBot="1">
      <c r="A69" s="897"/>
      <c r="B69" s="898"/>
      <c r="C69" s="298"/>
      <c r="D69" s="916" t="s">
        <v>761</v>
      </c>
      <c r="E69" s="896" t="s">
        <v>762</v>
      </c>
      <c r="F69" s="324">
        <f ca="1">F41</f>
        <v>25.5</v>
      </c>
      <c r="O69" s="1334" t="s">
        <v>411</v>
      </c>
      <c r="P69" s="1371" t="s">
        <v>871</v>
      </c>
      <c r="Q69" s="1327">
        <f ca="1">C39</f>
        <v>152897</v>
      </c>
      <c r="R69" s="1327" t="s">
        <v>817</v>
      </c>
    </row>
    <row r="70" spans="1:18" s="1292" customFormat="1" ht="13.5" thickBot="1">
      <c r="A70" s="900"/>
      <c r="B70" s="901"/>
      <c r="C70" s="302"/>
      <c r="D70" s="912"/>
      <c r="E70" s="896" t="s">
        <v>765</v>
      </c>
      <c r="F70" s="991"/>
      <c r="O70" s="1334" t="s">
        <v>412</v>
      </c>
      <c r="P70" s="1371" t="s">
        <v>872</v>
      </c>
      <c r="Q70" s="1327">
        <f ca="1">C13</f>
        <v>637442</v>
      </c>
      <c r="R70" s="1327" t="s">
        <v>817</v>
      </c>
    </row>
    <row r="71" spans="1:18" s="1292" customFormat="1" ht="13.5" thickBot="1">
      <c r="A71" s="917" t="s">
        <v>396</v>
      </c>
      <c r="B71" s="918" t="s">
        <v>775</v>
      </c>
      <c r="C71" s="327">
        <f ca="1">ROUND(C68/F71,0)</f>
        <v>-167</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38247</v>
      </c>
      <c r="D75" s="1292"/>
      <c r="E75" s="1292"/>
      <c r="F75" s="1292"/>
      <c r="K75" s="1309"/>
      <c r="L75" s="1292"/>
      <c r="O75" s="1325" t="s">
        <v>409</v>
      </c>
      <c r="P75" s="1326" t="s">
        <v>837</v>
      </c>
      <c r="Q75" s="1327">
        <f ca="1">Q65+Q66</f>
        <v>2070207</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0.75</v>
      </c>
    </row>
    <row r="80" spans="1:18">
      <c r="B80" s="331" t="s">
        <v>799</v>
      </c>
      <c r="C80" s="266">
        <f ca="1">ROUND(C75/C39,3)</f>
        <v>0.25</v>
      </c>
    </row>
    <row r="81" spans="2:3">
      <c r="B81" s="262" t="s">
        <v>800</v>
      </c>
      <c r="C81" s="230"/>
    </row>
    <row r="82" spans="2:3">
      <c r="B82" s="265" t="s">
        <v>801</v>
      </c>
      <c r="C82" s="267">
        <f ca="1">1-C83</f>
        <v>0.69199999999999995</v>
      </c>
    </row>
    <row r="83" spans="2:3">
      <c r="B83" s="265" t="s">
        <v>802</v>
      </c>
      <c r="C83" s="266">
        <f ca="1">ROUND(C13/C40,3)</f>
        <v>0.308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413" t="s">
        <v>2315</v>
      </c>
      <c r="K2" s="3414"/>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415" t="s">
        <v>2325</v>
      </c>
      <c r="K3" s="3416"/>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415" t="s">
        <v>2327</v>
      </c>
      <c r="K4" s="3416"/>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417" t="s">
        <v>2331</v>
      </c>
      <c r="B6" s="3418"/>
      <c r="C6" s="3419"/>
      <c r="D6" s="2622"/>
      <c r="E6" s="2623"/>
      <c r="F6" s="2624"/>
      <c r="G6" s="2625"/>
      <c r="H6" s="2600"/>
      <c r="I6" s="2601"/>
      <c r="J6" s="3420">
        <v>1</v>
      </c>
      <c r="K6" s="3421"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20"/>
      <c r="K7" s="3422"/>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24" t="s">
        <v>2345</v>
      </c>
      <c r="C8" s="3425"/>
      <c r="D8" s="2641" t="s">
        <v>2346</v>
      </c>
      <c r="E8" s="2642" t="s">
        <v>2347</v>
      </c>
      <c r="F8" s="2643" t="s">
        <v>2348</v>
      </c>
      <c r="G8" s="2644"/>
      <c r="H8" s="2600"/>
      <c r="I8" s="2601"/>
      <c r="J8" s="3420"/>
      <c r="K8" s="3422"/>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24" t="s">
        <v>2351</v>
      </c>
      <c r="C9" s="3425"/>
      <c r="D9" s="2641">
        <f>ROUND(D6*E9,0)</f>
        <v>0</v>
      </c>
      <c r="E9" s="2645"/>
      <c r="F9" s="2646" t="s">
        <v>2352</v>
      </c>
      <c r="G9" s="2625"/>
      <c r="H9" s="2600"/>
      <c r="I9" s="2601"/>
      <c r="J9" s="3420"/>
      <c r="K9" s="3422"/>
      <c r="L9" s="2635" t="s">
        <v>2353</v>
      </c>
      <c r="M9" s="2636"/>
      <c r="N9" s="2612"/>
      <c r="O9" s="2637"/>
      <c r="P9" s="2637"/>
      <c r="Q9" s="2638">
        <v>365</v>
      </c>
      <c r="R9" s="2639">
        <f t="shared" si="0"/>
        <v>0</v>
      </c>
      <c r="S9" s="2593"/>
      <c r="T9" s="2593"/>
      <c r="U9" s="2593"/>
      <c r="V9" s="2601"/>
    </row>
    <row r="10" spans="1:22" s="2605" customFormat="1" ht="13.15" customHeight="1">
      <c r="A10" s="2640">
        <v>2</v>
      </c>
      <c r="B10" s="3424" t="s">
        <v>2354</v>
      </c>
      <c r="C10" s="3425"/>
      <c r="D10" s="2641">
        <f>ROUND(D6*E10,0)</f>
        <v>0</v>
      </c>
      <c r="E10" s="2645"/>
      <c r="F10" s="2646" t="s">
        <v>2355</v>
      </c>
      <c r="G10" s="2625"/>
      <c r="H10" s="2600"/>
      <c r="I10" s="2601"/>
      <c r="J10" s="3420"/>
      <c r="K10" s="3422"/>
      <c r="L10" s="2635" t="s">
        <v>2356</v>
      </c>
      <c r="M10" s="2636"/>
      <c r="N10" s="2612"/>
      <c r="O10" s="2637"/>
      <c r="P10" s="2637"/>
      <c r="Q10" s="2638">
        <v>365</v>
      </c>
      <c r="R10" s="2639">
        <f t="shared" si="0"/>
        <v>0</v>
      </c>
      <c r="S10" s="2593"/>
      <c r="T10" s="2593"/>
      <c r="U10" s="2593"/>
      <c r="V10" s="2601"/>
    </row>
    <row r="11" spans="1:22" s="2605" customFormat="1" ht="13.15" customHeight="1">
      <c r="A11" s="2640">
        <v>3</v>
      </c>
      <c r="B11" s="3424" t="s">
        <v>2357</v>
      </c>
      <c r="C11" s="3425"/>
      <c r="D11" s="2641">
        <f>D12+D14+D15+D16</f>
        <v>0</v>
      </c>
      <c r="E11" s="2647" t="e">
        <f>D11/D6</f>
        <v>#DIV/0!</v>
      </c>
      <c r="F11" s="2643"/>
      <c r="G11" s="2644"/>
      <c r="H11" s="2600"/>
      <c r="I11" s="2601"/>
      <c r="J11" s="3420"/>
      <c r="K11" s="3422"/>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26" t="s">
        <v>2360</v>
      </c>
      <c r="C12" s="3427"/>
      <c r="D12" s="2649">
        <f>ROUND(D13*1.2%*(1-30%),0)</f>
        <v>0</v>
      </c>
      <c r="E12" s="2650">
        <v>1.2E-2</v>
      </c>
      <c r="F12" s="2643" t="s">
        <v>2361</v>
      </c>
      <c r="G12" s="2644"/>
      <c r="H12" s="2600"/>
      <c r="I12" s="2601"/>
      <c r="J12" s="3420"/>
      <c r="K12" s="3422"/>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20"/>
      <c r="K13" s="3422"/>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26" t="s">
        <v>2366</v>
      </c>
      <c r="C14" s="3427"/>
      <c r="D14" s="2649">
        <f>ROUND(E14*B5/10000,0)</f>
        <v>0</v>
      </c>
      <c r="E14" s="2638"/>
      <c r="F14" s="2643" t="s">
        <v>2367</v>
      </c>
      <c r="G14" s="2644"/>
      <c r="H14" s="2600"/>
      <c r="I14" s="2601"/>
      <c r="J14" s="3420"/>
      <c r="K14" s="3423"/>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26" t="s">
        <v>2370</v>
      </c>
      <c r="C15" s="3427"/>
      <c r="D15" s="2649">
        <f>ROUND(D6*E15,0)</f>
        <v>0</v>
      </c>
      <c r="E15" s="2650">
        <v>5.5E-2</v>
      </c>
      <c r="F15" s="2643" t="s">
        <v>2371</v>
      </c>
      <c r="G15" s="2625"/>
      <c r="H15" s="2600"/>
      <c r="I15" s="2601"/>
      <c r="J15" s="3420">
        <v>2</v>
      </c>
      <c r="K15" s="3421"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26" t="s">
        <v>2379</v>
      </c>
      <c r="C16" s="3427"/>
      <c r="D16" s="2660">
        <f>D6*E16</f>
        <v>0</v>
      </c>
      <c r="E16" s="2661"/>
      <c r="F16" s="2646" t="s">
        <v>2380</v>
      </c>
      <c r="G16" s="2625"/>
      <c r="H16" s="2600"/>
      <c r="I16" s="2601"/>
      <c r="J16" s="3420"/>
      <c r="K16" s="3422"/>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2382</v>
      </c>
      <c r="C17" s="3429"/>
      <c r="D17" s="2663">
        <f>ROUND(D6*E17,0)</f>
        <v>0</v>
      </c>
      <c r="E17" s="2664"/>
      <c r="F17" s="2665" t="s">
        <v>2383</v>
      </c>
      <c r="G17" s="2625"/>
      <c r="H17" s="2600"/>
      <c r="I17" s="2601"/>
      <c r="J17" s="3420"/>
      <c r="K17" s="3422"/>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20"/>
      <c r="K18" s="3422"/>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20"/>
      <c r="K19" s="3423"/>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0">
        <v>3</v>
      </c>
      <c r="K20" s="3421"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20"/>
      <c r="K21" s="3422"/>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20"/>
      <c r="K22" s="3422"/>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20"/>
      <c r="K23" s="3422"/>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20"/>
      <c r="K24" s="3423"/>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30">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3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413" t="s">
        <v>2315</v>
      </c>
      <c r="K32" s="3414"/>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415" t="s">
        <v>2325</v>
      </c>
      <c r="K33" s="3416"/>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415" t="s">
        <v>2327</v>
      </c>
      <c r="K34" s="341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20">
        <v>1</v>
      </c>
      <c r="K36" s="3421"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20"/>
      <c r="K37" s="3422"/>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0"/>
      <c r="K38" s="3422"/>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20"/>
      <c r="K39" s="3422"/>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20"/>
      <c r="K40" s="3423"/>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0">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3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115" zoomScaleNormal="70" zoomScaleSheetLayoutView="115" workbookViewId="0">
      <selection activeCell="H29" sqref="H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398.93040000000002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23013</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5" t="s">
        <v>1770</v>
      </c>
      <c r="AC4" s="3432" t="s">
        <v>1771</v>
      </c>
    </row>
    <row r="5" spans="1:29" ht="15">
      <c r="A5" s="348"/>
      <c r="B5" s="349"/>
      <c r="C5" s="3444" t="s">
        <v>1671</v>
      </c>
      <c r="D5" s="3445"/>
      <c r="E5" s="3442" t="str">
        <f>市场售价案例!C2</f>
        <v>金科澜山公馆商业</v>
      </c>
      <c r="F5" s="3443"/>
      <c r="G5" s="3444" t="str">
        <f>市场售价案例!P27</f>
        <v>博翠明湖商业</v>
      </c>
      <c r="H5" s="3445"/>
      <c r="I5" s="3444" t="str">
        <f>市场售价案例!P40</f>
        <v>世茂天城商业</v>
      </c>
      <c r="J5" s="3445"/>
      <c r="K5" s="537"/>
      <c r="L5" s="2487"/>
      <c r="M5" s="2488"/>
      <c r="N5" s="2488"/>
      <c r="O5" s="2488"/>
      <c r="P5" s="3457"/>
      <c r="Q5" s="3458"/>
      <c r="R5" s="3440"/>
      <c r="S5" s="3441"/>
      <c r="T5" s="3440"/>
      <c r="U5" s="3441"/>
      <c r="V5" s="3435"/>
      <c r="W5" s="3435"/>
      <c r="X5" s="1265"/>
      <c r="Y5" s="3440"/>
      <c r="Z5" s="3441"/>
      <c r="AA5" s="3433"/>
      <c r="AB5" s="3435"/>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5"/>
      <c r="AC6" s="3434"/>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436" t="s">
        <v>1678</v>
      </c>
      <c r="Q7" s="3463"/>
      <c r="R7" s="664" t="s">
        <v>14</v>
      </c>
      <c r="S7" s="665">
        <f t="shared" ref="S7:S15" si="0">F7</f>
        <v>100</v>
      </c>
      <c r="T7" s="664" t="s">
        <v>14</v>
      </c>
      <c r="U7" s="665">
        <f t="shared" ref="U7:U15" si="1">H7</f>
        <v>100</v>
      </c>
      <c r="V7" s="664" t="s">
        <v>14</v>
      </c>
      <c r="W7" s="665">
        <f t="shared" ref="W7:W15" si="2">J7</f>
        <v>100</v>
      </c>
      <c r="X7" s="666"/>
      <c r="Y7" s="3436" t="s">
        <v>1678</v>
      </c>
      <c r="Z7" s="3437"/>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102</v>
      </c>
      <c r="G10" s="3133" t="s">
        <v>4931</v>
      </c>
      <c r="H10" s="119">
        <f>SUMIF(65:65,G10,66:66)-SUMIF(65:65,C10,66:66)+100</f>
        <v>102</v>
      </c>
      <c r="I10" s="3133" t="s">
        <v>4931</v>
      </c>
      <c r="J10" s="119">
        <f>SUMIF(65:65,I10,66:66)-SUMIF(65:65,C10,66:66)+100</f>
        <v>102</v>
      </c>
      <c r="K10" s="38"/>
      <c r="L10" s="2490"/>
      <c r="M10" s="2491"/>
      <c r="N10" s="2491"/>
      <c r="O10" s="2491"/>
      <c r="P10" s="3450"/>
      <c r="Q10" s="530" t="str">
        <f t="shared" si="6"/>
        <v>土地使用年限（年）</v>
      </c>
      <c r="R10" s="664" t="s">
        <v>14</v>
      </c>
      <c r="S10" s="665">
        <f t="shared" si="0"/>
        <v>102</v>
      </c>
      <c r="T10" s="664" t="s">
        <v>14</v>
      </c>
      <c r="U10" s="665">
        <f t="shared" si="1"/>
        <v>102</v>
      </c>
      <c r="V10" s="664" t="s">
        <v>14</v>
      </c>
      <c r="W10" s="665">
        <f t="shared" si="2"/>
        <v>102</v>
      </c>
      <c r="X10" s="666"/>
      <c r="Y10" s="3381"/>
      <c r="Z10" s="50" t="str">
        <f t="shared" si="7"/>
        <v>土地使用年限（年）</v>
      </c>
      <c r="AA10" s="50">
        <f t="shared" si="3"/>
        <v>0.98039215686274506</v>
      </c>
      <c r="AB10" s="50">
        <f t="shared" si="4"/>
        <v>0.98039215686274506</v>
      </c>
      <c r="AC10" s="50">
        <f t="shared" si="5"/>
        <v>0.98039215686274506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102</v>
      </c>
      <c r="K15" s="540">
        <v>2</v>
      </c>
      <c r="L15" s="2493"/>
      <c r="M15" s="2488"/>
      <c r="N15" s="2488"/>
      <c r="O15" s="2488"/>
      <c r="P15" s="3464" t="s">
        <v>1689</v>
      </c>
      <c r="Q15" s="1263" t="str">
        <f t="shared" si="6"/>
        <v>商业繁华度</v>
      </c>
      <c r="R15" s="667" t="s">
        <v>14</v>
      </c>
      <c r="S15" s="668">
        <f t="shared" si="0"/>
        <v>100</v>
      </c>
      <c r="T15" s="667" t="s">
        <v>14</v>
      </c>
      <c r="U15" s="668">
        <f t="shared" si="1"/>
        <v>102</v>
      </c>
      <c r="V15" s="667" t="s">
        <v>14</v>
      </c>
      <c r="W15" s="668">
        <f t="shared" si="2"/>
        <v>102</v>
      </c>
      <c r="X15" s="1265"/>
      <c r="Y15" s="3466" t="s">
        <v>1689</v>
      </c>
      <c r="Z15" s="1264" t="str">
        <f t="shared" si="7"/>
        <v>商业繁华度</v>
      </c>
      <c r="AA15" s="1264">
        <f t="shared" si="3"/>
        <v>1</v>
      </c>
      <c r="AB15" s="1264">
        <f t="shared" si="4"/>
        <v>0.98039215686274506</v>
      </c>
      <c r="AC15" s="1264">
        <f t="shared" si="5"/>
        <v>0.98039215686274506</v>
      </c>
    </row>
    <row r="16" spans="1:29" ht="15">
      <c r="A16" s="367"/>
      <c r="B16" s="385"/>
      <c r="C16" s="386" t="s">
        <v>4928</v>
      </c>
      <c r="D16" s="387"/>
      <c r="E16" s="386" t="s">
        <v>4928</v>
      </c>
      <c r="F16" s="388"/>
      <c r="G16" s="386" t="s">
        <v>4927</v>
      </c>
      <c r="H16" s="389"/>
      <c r="I16" s="386" t="s">
        <v>4927</v>
      </c>
      <c r="J16" s="387"/>
      <c r="K16" s="541"/>
      <c r="L16" s="2493"/>
      <c r="M16" s="2488"/>
      <c r="N16" s="2488"/>
      <c r="O16" s="2488"/>
      <c r="P16" s="3465"/>
      <c r="Q16" s="1263"/>
      <c r="R16" s="667"/>
      <c r="S16" s="668"/>
      <c r="T16" s="667"/>
      <c r="U16" s="668"/>
      <c r="V16" s="667"/>
      <c r="W16" s="668"/>
      <c r="X16" s="1265"/>
      <c r="Y16" s="3467"/>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65"/>
      <c r="Q17" s="1263" t="str">
        <f>B17</f>
        <v>交通便捷度</v>
      </c>
      <c r="R17" s="667" t="s">
        <v>14</v>
      </c>
      <c r="S17" s="668">
        <f>F17</f>
        <v>98</v>
      </c>
      <c r="T17" s="667" t="s">
        <v>14</v>
      </c>
      <c r="U17" s="668">
        <f>H17</f>
        <v>100</v>
      </c>
      <c r="V17" s="667" t="s">
        <v>14</v>
      </c>
      <c r="W17" s="668">
        <f>J17</f>
        <v>102</v>
      </c>
      <c r="X17" s="1265"/>
      <c r="Y17" s="3467"/>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65"/>
      <c r="Q18" s="1263"/>
      <c r="R18" s="667"/>
      <c r="S18" s="668"/>
      <c r="T18" s="667"/>
      <c r="U18" s="668"/>
      <c r="V18" s="667"/>
      <c r="W18" s="668"/>
      <c r="X18" s="1265"/>
      <c r="Y18" s="3467"/>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65"/>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65"/>
      <c r="Q20" s="1263"/>
      <c r="R20" s="667"/>
      <c r="S20" s="668"/>
      <c r="T20" s="667"/>
      <c r="U20" s="668"/>
      <c r="V20" s="667"/>
      <c r="W20" s="668"/>
      <c r="X20" s="1265"/>
      <c r="Y20" s="3467"/>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65"/>
      <c r="Q22" s="1263"/>
      <c r="R22" s="667"/>
      <c r="S22" s="668"/>
      <c r="T22" s="667"/>
      <c r="U22" s="668"/>
      <c r="V22" s="667"/>
      <c r="W22" s="668"/>
      <c r="X22" s="1265"/>
      <c r="Y22" s="3467"/>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65"/>
      <c r="Q23" s="1263" t="str">
        <f>B23</f>
        <v>自然及人文环境</v>
      </c>
      <c r="R23" s="667" t="s">
        <v>14</v>
      </c>
      <c r="S23" s="668">
        <f>F23</f>
        <v>100</v>
      </c>
      <c r="T23" s="667" t="s">
        <v>14</v>
      </c>
      <c r="U23" s="668">
        <f>H23</f>
        <v>100</v>
      </c>
      <c r="V23" s="667" t="s">
        <v>14</v>
      </c>
      <c r="W23" s="668">
        <f>J23</f>
        <v>100</v>
      </c>
      <c r="X23" s="1265"/>
      <c r="Y23" s="34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65"/>
      <c r="Q24" s="1263"/>
      <c r="R24" s="667"/>
      <c r="S24" s="668"/>
      <c r="T24" s="667"/>
      <c r="U24" s="668"/>
      <c r="V24" s="667"/>
      <c r="W24" s="668"/>
      <c r="X24" s="1265"/>
      <c r="Y24" s="3467"/>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65"/>
      <c r="Q25" s="1263" t="str">
        <f t="shared" ref="Q25:Q46" si="11">B25</f>
        <v>临街状况</v>
      </c>
      <c r="R25" s="667" t="s">
        <v>14</v>
      </c>
      <c r="S25" s="668">
        <f>F25</f>
        <v>100</v>
      </c>
      <c r="T25" s="667" t="s">
        <v>14</v>
      </c>
      <c r="U25" s="668">
        <f>H25</f>
        <v>100</v>
      </c>
      <c r="V25" s="667" t="s">
        <v>14</v>
      </c>
      <c r="W25" s="668">
        <f>J25</f>
        <v>100</v>
      </c>
      <c r="X25" s="1265"/>
      <c r="Y25" s="3467"/>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65"/>
      <c r="Q26" s="1263" t="str">
        <f t="shared" si="11"/>
        <v>平面位置/可视性</v>
      </c>
      <c r="R26" s="667" t="s">
        <v>14</v>
      </c>
      <c r="S26" s="668">
        <f>F26</f>
        <v>100</v>
      </c>
      <c r="T26" s="667" t="s">
        <v>14</v>
      </c>
      <c r="U26" s="668">
        <f>H26</f>
        <v>100</v>
      </c>
      <c r="V26" s="667" t="s">
        <v>14</v>
      </c>
      <c r="W26" s="668">
        <f>J26</f>
        <v>100</v>
      </c>
      <c r="X26" s="1265"/>
      <c r="Y26" s="3467"/>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65"/>
      <c r="Q27" s="530" t="str">
        <f t="shared" si="11"/>
        <v>人流量</v>
      </c>
      <c r="R27" s="664" t="s">
        <v>14</v>
      </c>
      <c r="S27" s="665">
        <f>F27</f>
        <v>100</v>
      </c>
      <c r="T27" s="664" t="s">
        <v>14</v>
      </c>
      <c r="U27" s="665">
        <f>H27</f>
        <v>100</v>
      </c>
      <c r="V27" s="664" t="s">
        <v>14</v>
      </c>
      <c r="W27" s="665">
        <f>J27</f>
        <v>100</v>
      </c>
      <c r="X27" s="666"/>
      <c r="Y27" s="3467"/>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6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65"/>
      <c r="Q29" s="1263">
        <f t="shared" si="11"/>
        <v>111</v>
      </c>
      <c r="R29" s="667" t="s">
        <v>14</v>
      </c>
      <c r="S29" s="668">
        <f t="shared" si="12"/>
        <v>100</v>
      </c>
      <c r="T29" s="667" t="s">
        <v>14</v>
      </c>
      <c r="U29" s="668">
        <f t="shared" si="13"/>
        <v>100</v>
      </c>
      <c r="V29" s="667" t="s">
        <v>14</v>
      </c>
      <c r="W29" s="668">
        <f t="shared" si="14"/>
        <v>100</v>
      </c>
      <c r="X29" s="1265"/>
      <c r="Y29" s="34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65"/>
      <c r="Q30" s="1263">
        <f t="shared" si="11"/>
        <v>111</v>
      </c>
      <c r="R30" s="667" t="s">
        <v>14</v>
      </c>
      <c r="S30" s="668">
        <f t="shared" si="12"/>
        <v>100</v>
      </c>
      <c r="T30" s="667" t="s">
        <v>14</v>
      </c>
      <c r="U30" s="668">
        <f t="shared" si="13"/>
        <v>100</v>
      </c>
      <c r="V30" s="667" t="s">
        <v>14</v>
      </c>
      <c r="W30" s="668">
        <f t="shared" si="14"/>
        <v>100</v>
      </c>
      <c r="X30" s="1265"/>
      <c r="Y30" s="346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65"/>
      <c r="Q31" s="1263">
        <f t="shared" si="11"/>
        <v>111</v>
      </c>
      <c r="R31" s="667" t="s">
        <v>14</v>
      </c>
      <c r="S31" s="668">
        <f t="shared" si="12"/>
        <v>100</v>
      </c>
      <c r="T31" s="667" t="s">
        <v>14</v>
      </c>
      <c r="U31" s="668">
        <f t="shared" si="13"/>
        <v>100</v>
      </c>
      <c r="V31" s="667" t="s">
        <v>14</v>
      </c>
      <c r="W31" s="668">
        <f t="shared" si="14"/>
        <v>100</v>
      </c>
      <c r="X31" s="1265"/>
      <c r="Y31" s="3467"/>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8" t="s">
        <v>1694</v>
      </c>
      <c r="Q32" s="1263" t="str">
        <f t="shared" si="11"/>
        <v>商业类型</v>
      </c>
      <c r="R32" s="667" t="s">
        <v>14</v>
      </c>
      <c r="S32" s="668">
        <f t="shared" si="12"/>
        <v>100</v>
      </c>
      <c r="T32" s="667" t="s">
        <v>14</v>
      </c>
      <c r="U32" s="668">
        <f t="shared" si="13"/>
        <v>100</v>
      </c>
      <c r="V32" s="667" t="s">
        <v>14</v>
      </c>
      <c r="W32" s="668">
        <f t="shared" si="14"/>
        <v>100</v>
      </c>
      <c r="X32" s="1265"/>
      <c r="Y32" s="3471"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69"/>
      <c r="Q33" s="531" t="str">
        <f t="shared" si="11"/>
        <v>项目建筑规模</v>
      </c>
      <c r="R33" s="669" t="s">
        <v>14</v>
      </c>
      <c r="S33" s="670">
        <f t="shared" si="12"/>
        <v>100</v>
      </c>
      <c r="T33" s="669" t="s">
        <v>14</v>
      </c>
      <c r="U33" s="670">
        <f t="shared" si="13"/>
        <v>101</v>
      </c>
      <c r="V33" s="669" t="s">
        <v>14</v>
      </c>
      <c r="W33" s="670">
        <f t="shared" si="14"/>
        <v>101</v>
      </c>
      <c r="X33" s="671"/>
      <c r="Y33" s="3471"/>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9"/>
      <c r="Q34" s="1263" t="str">
        <f t="shared" si="11"/>
        <v>建筑结构</v>
      </c>
      <c r="R34" s="667" t="s">
        <v>14</v>
      </c>
      <c r="S34" s="668">
        <f t="shared" si="12"/>
        <v>100</v>
      </c>
      <c r="T34" s="667" t="s">
        <v>14</v>
      </c>
      <c r="U34" s="668">
        <f t="shared" si="13"/>
        <v>100</v>
      </c>
      <c r="V34" s="667" t="s">
        <v>14</v>
      </c>
      <c r="W34" s="668">
        <f t="shared" si="14"/>
        <v>100</v>
      </c>
      <c r="X34" s="1265"/>
      <c r="Y34" s="3471"/>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9"/>
      <c r="Q35" s="1263" t="str">
        <f t="shared" si="11"/>
        <v>公共部分装修</v>
      </c>
      <c r="R35" s="667" t="s">
        <v>14</v>
      </c>
      <c r="S35" s="668">
        <f t="shared" si="12"/>
        <v>100</v>
      </c>
      <c r="T35" s="667" t="s">
        <v>14</v>
      </c>
      <c r="U35" s="668">
        <f t="shared" si="13"/>
        <v>100</v>
      </c>
      <c r="V35" s="667" t="s">
        <v>14</v>
      </c>
      <c r="W35" s="668">
        <f t="shared" si="14"/>
        <v>100</v>
      </c>
      <c r="X35" s="1265"/>
      <c r="Y35" s="3471"/>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69"/>
      <c r="Q36" s="1263" t="str">
        <f t="shared" si="11"/>
        <v>成新度</v>
      </c>
      <c r="R36" s="667" t="s">
        <v>14</v>
      </c>
      <c r="S36" s="668">
        <f t="shared" si="12"/>
        <v>102</v>
      </c>
      <c r="T36" s="667" t="s">
        <v>14</v>
      </c>
      <c r="U36" s="668">
        <f t="shared" si="13"/>
        <v>102</v>
      </c>
      <c r="V36" s="667" t="s">
        <v>14</v>
      </c>
      <c r="W36" s="668">
        <f t="shared" si="14"/>
        <v>102</v>
      </c>
      <c r="X36" s="1265"/>
      <c r="Y36" s="3471"/>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9"/>
      <c r="Q37" s="530" t="str">
        <f t="shared" si="11"/>
        <v>市政基础设施</v>
      </c>
      <c r="R37" s="664" t="s">
        <v>14</v>
      </c>
      <c r="S37" s="665">
        <f t="shared" si="12"/>
        <v>100</v>
      </c>
      <c r="T37" s="664" t="s">
        <v>14</v>
      </c>
      <c r="U37" s="665">
        <f t="shared" si="13"/>
        <v>100</v>
      </c>
      <c r="V37" s="664" t="s">
        <v>14</v>
      </c>
      <c r="W37" s="665">
        <f t="shared" si="14"/>
        <v>100</v>
      </c>
      <c r="X37" s="666"/>
      <c r="Y37" s="3471"/>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9" t="s">
        <v>1694</v>
      </c>
      <c r="Q38" s="1263" t="str">
        <f t="shared" si="11"/>
        <v>业态</v>
      </c>
      <c r="R38" s="667" t="s">
        <v>14</v>
      </c>
      <c r="S38" s="668">
        <f t="shared" si="12"/>
        <v>100</v>
      </c>
      <c r="T38" s="667" t="s">
        <v>14</v>
      </c>
      <c r="U38" s="668">
        <f t="shared" si="13"/>
        <v>100</v>
      </c>
      <c r="V38" s="667" t="s">
        <v>14</v>
      </c>
      <c r="W38" s="668">
        <f t="shared" si="14"/>
        <v>100</v>
      </c>
      <c r="X38" s="1265"/>
      <c r="Y38" s="3471"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9"/>
      <c r="Q39" s="1263" t="str">
        <f t="shared" si="11"/>
        <v>层高</v>
      </c>
      <c r="R39" s="667" t="s">
        <v>14</v>
      </c>
      <c r="S39" s="668">
        <f t="shared" si="12"/>
        <v>100</v>
      </c>
      <c r="T39" s="667" t="s">
        <v>14</v>
      </c>
      <c r="U39" s="668">
        <f t="shared" si="13"/>
        <v>100</v>
      </c>
      <c r="V39" s="667" t="s">
        <v>14</v>
      </c>
      <c r="W39" s="668">
        <f t="shared" si="14"/>
        <v>100</v>
      </c>
      <c r="X39" s="1265"/>
      <c r="Y39" s="3471"/>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9"/>
      <c r="Q40" s="1263" t="str">
        <f t="shared" si="11"/>
        <v>单套建筑面积</v>
      </c>
      <c r="R40" s="667" t="s">
        <v>14</v>
      </c>
      <c r="S40" s="668">
        <f t="shared" si="12"/>
        <v>100</v>
      </c>
      <c r="T40" s="667" t="s">
        <v>14</v>
      </c>
      <c r="U40" s="668">
        <f t="shared" si="13"/>
        <v>100</v>
      </c>
      <c r="V40" s="667" t="s">
        <v>14</v>
      </c>
      <c r="W40" s="668">
        <f t="shared" si="14"/>
        <v>100</v>
      </c>
      <c r="X40" s="1265"/>
      <c r="Y40" s="3471"/>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9"/>
      <c r="Q41" s="531" t="str">
        <f t="shared" si="11"/>
        <v>进深比</v>
      </c>
      <c r="R41" s="669" t="s">
        <v>14</v>
      </c>
      <c r="S41" s="670">
        <f t="shared" si="12"/>
        <v>100</v>
      </c>
      <c r="T41" s="669" t="s">
        <v>14</v>
      </c>
      <c r="U41" s="670">
        <f t="shared" si="13"/>
        <v>100</v>
      </c>
      <c r="V41" s="669" t="s">
        <v>14</v>
      </c>
      <c r="W41" s="670">
        <f t="shared" si="14"/>
        <v>100</v>
      </c>
      <c r="X41" s="671"/>
      <c r="Y41" s="3471"/>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9"/>
      <c r="Q42" s="1263" t="str">
        <f t="shared" si="11"/>
        <v>内部装修</v>
      </c>
      <c r="R42" s="667" t="s">
        <v>14</v>
      </c>
      <c r="S42" s="668">
        <f t="shared" si="12"/>
        <v>100</v>
      </c>
      <c r="T42" s="667" t="s">
        <v>14</v>
      </c>
      <c r="U42" s="668">
        <f t="shared" si="13"/>
        <v>100</v>
      </c>
      <c r="V42" s="667" t="s">
        <v>14</v>
      </c>
      <c r="W42" s="668">
        <f t="shared" si="14"/>
        <v>100</v>
      </c>
      <c r="X42" s="1265"/>
      <c r="Y42" s="3471"/>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9"/>
      <c r="Q43" s="1263" t="str">
        <f t="shared" si="11"/>
        <v>内部装修维护情况</v>
      </c>
      <c r="R43" s="667" t="s">
        <v>14</v>
      </c>
      <c r="S43" s="668">
        <f t="shared" si="12"/>
        <v>100</v>
      </c>
      <c r="T43" s="667" t="s">
        <v>14</v>
      </c>
      <c r="U43" s="668">
        <f t="shared" si="13"/>
        <v>100</v>
      </c>
      <c r="V43" s="667" t="s">
        <v>14</v>
      </c>
      <c r="W43" s="668">
        <f t="shared" si="14"/>
        <v>100</v>
      </c>
      <c r="X43" s="1265"/>
      <c r="Y43" s="34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9"/>
      <c r="Q44" s="530">
        <f t="shared" si="11"/>
        <v>111</v>
      </c>
      <c r="R44" s="664" t="s">
        <v>14</v>
      </c>
      <c r="S44" s="665">
        <f t="shared" si="12"/>
        <v>100</v>
      </c>
      <c r="T44" s="664" t="s">
        <v>14</v>
      </c>
      <c r="U44" s="665">
        <f t="shared" si="13"/>
        <v>100</v>
      </c>
      <c r="V44" s="664" t="s">
        <v>14</v>
      </c>
      <c r="W44" s="665">
        <f t="shared" si="14"/>
        <v>100</v>
      </c>
      <c r="X44" s="666"/>
      <c r="Y44" s="34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9"/>
      <c r="Q45" s="1263">
        <f t="shared" si="11"/>
        <v>111</v>
      </c>
      <c r="R45" s="667" t="s">
        <v>14</v>
      </c>
      <c r="S45" s="668">
        <f t="shared" si="12"/>
        <v>100</v>
      </c>
      <c r="T45" s="667" t="s">
        <v>14</v>
      </c>
      <c r="U45" s="668">
        <f t="shared" si="13"/>
        <v>100</v>
      </c>
      <c r="V45" s="667" t="s">
        <v>14</v>
      </c>
      <c r="W45" s="668">
        <f t="shared" si="14"/>
        <v>100</v>
      </c>
      <c r="X45" s="1265"/>
      <c r="Y45" s="347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0"/>
      <c r="Q46" s="1263">
        <f t="shared" si="11"/>
        <v>111</v>
      </c>
      <c r="R46" s="667" t="s">
        <v>14</v>
      </c>
      <c r="S46" s="668">
        <f t="shared" si="12"/>
        <v>100</v>
      </c>
      <c r="T46" s="667" t="s">
        <v>14</v>
      </c>
      <c r="U46" s="668">
        <f t="shared" si="13"/>
        <v>100</v>
      </c>
      <c r="V46" s="667" t="s">
        <v>14</v>
      </c>
      <c r="W46" s="668">
        <f t="shared" si="14"/>
        <v>100</v>
      </c>
      <c r="X46" s="1265"/>
      <c r="Y46" s="3472"/>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73" t="str">
        <f>A47</f>
        <v>成交单价（元/平方米）</v>
      </c>
      <c r="Q47" s="3473"/>
      <c r="R47" s="3435">
        <f>E47</f>
        <v>23692</v>
      </c>
      <c r="S47" s="3435"/>
      <c r="T47" s="3435">
        <f>G47</f>
        <v>24993</v>
      </c>
      <c r="U47" s="3435"/>
      <c r="V47" s="3435">
        <f>I47</f>
        <v>24582</v>
      </c>
      <c r="W47" s="3435"/>
      <c r="X47" s="385"/>
      <c r="Y47" s="673"/>
      <c r="Z47" s="385"/>
      <c r="AA47" s="385"/>
      <c r="AB47" s="385"/>
      <c r="AC47" s="385"/>
    </row>
    <row r="48" spans="1:29" ht="15.75" thickBot="1">
      <c r="A48" s="423" t="s">
        <v>1791</v>
      </c>
      <c r="B48" s="424"/>
      <c r="C48" s="1082">
        <f>R49</f>
        <v>23013</v>
      </c>
      <c r="D48" s="2141" t="s">
        <v>2136</v>
      </c>
      <c r="E48" s="1083">
        <f>R48</f>
        <v>23237</v>
      </c>
      <c r="F48" s="2142"/>
      <c r="G48" s="1082">
        <f>T48</f>
        <v>23318</v>
      </c>
      <c r="H48" s="2142"/>
      <c r="I48" s="1083">
        <f>V48</f>
        <v>22485</v>
      </c>
      <c r="J48" s="2142"/>
      <c r="K48" s="2144">
        <f>F48+H48+J48</f>
        <v>0</v>
      </c>
      <c r="L48" s="2495"/>
      <c r="M48" s="2488"/>
      <c r="N48" s="2488"/>
      <c r="O48" s="2488"/>
      <c r="P48" s="3473" t="str">
        <f>A48</f>
        <v>比较价值（元/平方米）</v>
      </c>
      <c r="Q48" s="3473"/>
      <c r="R48" s="3435">
        <f>IF(F1="售价",ROUND(PRODUCT(R47,AA7:AA46),0),ROUND(PRODUCT(R47,AA7:AA46),1))</f>
        <v>23237</v>
      </c>
      <c r="S48" s="3435"/>
      <c r="T48" s="3435">
        <f>IF(F1="售价",ROUND(PRODUCT(T47,AB7:AB46),0),ROUND(PRODUCT(T47,AB7:AB46),1))</f>
        <v>23318</v>
      </c>
      <c r="U48" s="3435"/>
      <c r="V48" s="3435">
        <f>IF(F1="售价",ROUND(PRODUCT(V47,AC7:AC46),0),ROUND(PRODUCT(V47,AC7:AC46),1))</f>
        <v>22485</v>
      </c>
      <c r="W48" s="3435"/>
      <c r="X48" s="385"/>
      <c r="Y48" s="385"/>
      <c r="Z48" s="385"/>
      <c r="AA48" s="385"/>
      <c r="AB48" s="385"/>
      <c r="AC48" s="385"/>
    </row>
    <row r="49" spans="1:29" ht="15.75" thickBot="1">
      <c r="A49" s="427" t="s">
        <v>1792</v>
      </c>
      <c r="B49" s="428"/>
      <c r="C49" s="351">
        <f>R49</f>
        <v>23013</v>
      </c>
      <c r="D49" s="351"/>
      <c r="E49" s="351"/>
      <c r="F49" s="351"/>
      <c r="G49" s="351"/>
      <c r="H49" s="351"/>
      <c r="I49" s="351"/>
      <c r="J49" s="351"/>
      <c r="K49" s="675"/>
      <c r="L49" s="2495"/>
      <c r="M49" s="2488"/>
      <c r="N49" s="2488"/>
      <c r="O49" s="2488"/>
      <c r="P49" s="3474" t="str">
        <f>A49</f>
        <v>估价对象XX用房的比较价值（楼面单价，元/平方米）</v>
      </c>
      <c r="Q49" s="3475"/>
      <c r="R49" s="3476">
        <f>IF(F1="售价",ROUND(IF(D48="简单平均",AVERAGE(R48:V48),R48*F48+T48*H48+V48*J48),0),ROUND(IF(D48="简单平均",AVERAGE(R48:V48),R48*F48+T48*H48+V48*J48),1))</f>
        <v>23013</v>
      </c>
      <c r="S49" s="3476"/>
      <c r="T49" s="3476"/>
      <c r="U49" s="3476"/>
      <c r="V49" s="3476"/>
      <c r="W49" s="34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1.9580840900288443E-2</v>
      </c>
      <c r="F52" s="435" t="str">
        <f>IF(OR(E52&gt;=0.3,E52&lt;=-0.3),"超过30%","")</f>
        <v/>
      </c>
      <c r="G52" s="434">
        <f>IF(G47&lt;G48,G48/G47-1,G47/G48-1)</f>
        <v>7.1832918775195154E-2</v>
      </c>
      <c r="H52" s="435" t="str">
        <f>IF(OR(G52&gt;=0.3,G52&lt;=-0.3),"超过30%","")</f>
        <v/>
      </c>
      <c r="I52" s="434">
        <f>IF(I47&lt;I48,I48/I47-1,I47/I48-1)</f>
        <v>9.3262174783188767E-2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3.4858200284029195E-3</v>
      </c>
      <c r="F53" s="435" t="str">
        <f>IF(OR(E53&gt;=0.2,E53&lt;=-0.2),"超过20%","")</f>
        <v/>
      </c>
      <c r="G53" s="434">
        <f>IF(G48&lt;I48,I48/G48-1,G48/I48-1)</f>
        <v>3.7046920169001574E-2</v>
      </c>
      <c r="H53" s="435" t="str">
        <f>IF(OR(G53&gt;=0.2,G53&lt;=-0.2),"超过20%","")</f>
        <v/>
      </c>
      <c r="I53" s="434">
        <f>IF(I48&lt;E48,E48/I48-1,I48/E48-1)</f>
        <v>3.3444518567934178E-2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O41" sqref="O41"/>
    </sheetView>
  </sheetViews>
  <sheetFormatPr defaultRowHeight="13.5"/>
  <cols>
    <col min="3" max="3" width="17.25" bestFit="1" customWidth="1"/>
    <col min="16" max="16" width="13" bestFit="1" customWidth="1"/>
  </cols>
  <sheetData>
    <row r="1" spans="2:28" ht="14.25">
      <c r="D1" s="3477" t="s">
        <v>4877</v>
      </c>
      <c r="E1" s="3477" t="s">
        <v>3419</v>
      </c>
      <c r="F1" s="3477" t="s">
        <v>3420</v>
      </c>
      <c r="G1" s="3477" t="s">
        <v>4878</v>
      </c>
      <c r="H1" s="3477" t="s">
        <v>4879</v>
      </c>
      <c r="I1" s="3477" t="s">
        <v>4880</v>
      </c>
      <c r="J1" s="3477" t="s">
        <v>4881</v>
      </c>
      <c r="K1" s="3477" t="s">
        <v>4882</v>
      </c>
      <c r="L1" s="3477" t="s">
        <v>4883</v>
      </c>
      <c r="O1">
        <v>2024</v>
      </c>
      <c r="P1" s="1405" t="s">
        <v>4903</v>
      </c>
      <c r="Q1" s="3477" t="s">
        <v>4877</v>
      </c>
      <c r="R1" s="3477" t="s">
        <v>3419</v>
      </c>
      <c r="S1" s="3477" t="s">
        <v>3420</v>
      </c>
      <c r="T1" s="3477" t="s">
        <v>4878</v>
      </c>
      <c r="U1" s="3477" t="s">
        <v>4879</v>
      </c>
      <c r="V1" s="3477" t="s">
        <v>4880</v>
      </c>
      <c r="W1" s="3477" t="s">
        <v>4881</v>
      </c>
      <c r="X1" s="3477" t="s">
        <v>4882</v>
      </c>
      <c r="Y1" s="3477" t="s">
        <v>4883</v>
      </c>
    </row>
    <row r="2" spans="2:28" ht="14.25">
      <c r="B2">
        <v>2021</v>
      </c>
      <c r="C2" s="1405" t="s">
        <v>4876</v>
      </c>
      <c r="D2" s="3170" t="s">
        <v>4871</v>
      </c>
      <c r="E2" s="3170">
        <v>32</v>
      </c>
      <c r="F2" s="3170">
        <v>2557</v>
      </c>
      <c r="G2" s="3170">
        <v>24057</v>
      </c>
      <c r="H2" s="3170">
        <v>6150.91</v>
      </c>
      <c r="I2" s="3170">
        <v>171</v>
      </c>
      <c r="J2" s="3170">
        <v>20938</v>
      </c>
      <c r="K2" s="3170">
        <v>20</v>
      </c>
      <c r="L2" s="3170">
        <v>2010</v>
      </c>
      <c r="O2">
        <f>1-(2025-O1)/60</f>
        <v>0.98333333333333328</v>
      </c>
      <c r="Q2" s="3170" t="s">
        <v>4871</v>
      </c>
      <c r="R2" s="3170">
        <v>284</v>
      </c>
      <c r="S2" s="3170">
        <v>7391</v>
      </c>
      <c r="T2" s="3170">
        <v>5235</v>
      </c>
      <c r="U2" s="3170">
        <v>3869.69</v>
      </c>
      <c r="V2" s="3170">
        <v>779</v>
      </c>
      <c r="W2" s="3170">
        <v>19925</v>
      </c>
      <c r="X2" s="3170">
        <v>493</v>
      </c>
      <c r="Y2" s="3170">
        <v>12482</v>
      </c>
    </row>
    <row r="3" spans="2:28" ht="14.25">
      <c r="B3">
        <f>1-(2025-B2)/60</f>
        <v>0.93333333333333335</v>
      </c>
      <c r="D3" s="3207" t="s">
        <v>3493</v>
      </c>
      <c r="E3" s="3207">
        <v>1</v>
      </c>
      <c r="F3" s="3207">
        <v>136</v>
      </c>
      <c r="G3" s="3207">
        <v>23692</v>
      </c>
      <c r="H3" s="3207">
        <v>321.48</v>
      </c>
      <c r="I3" s="3207" t="s">
        <v>3427</v>
      </c>
      <c r="J3" s="3207" t="s">
        <v>3427</v>
      </c>
      <c r="K3" s="3207">
        <v>20</v>
      </c>
      <c r="L3" s="3207">
        <v>2010</v>
      </c>
      <c r="Q3" s="3210" t="s">
        <v>3584</v>
      </c>
      <c r="R3" s="3210">
        <v>2</v>
      </c>
      <c r="S3" s="3210">
        <v>50</v>
      </c>
      <c r="T3" s="3210">
        <v>5201</v>
      </c>
      <c r="U3" s="3210">
        <v>26.25</v>
      </c>
      <c r="V3" s="3210" t="s">
        <v>3427</v>
      </c>
      <c r="W3" s="3210" t="s">
        <v>3427</v>
      </c>
      <c r="X3" s="3210">
        <v>493</v>
      </c>
      <c r="Y3" s="3210">
        <v>12482</v>
      </c>
      <c r="AB3" t="s">
        <v>4932</v>
      </c>
    </row>
    <row r="4" spans="2:28" ht="14.25">
      <c r="D4" s="3170" t="s">
        <v>3578</v>
      </c>
      <c r="E4" s="3170">
        <v>1</v>
      </c>
      <c r="F4" s="3170">
        <v>82</v>
      </c>
      <c r="G4" s="3170">
        <v>23818</v>
      </c>
      <c r="H4" s="3170">
        <v>194.45</v>
      </c>
      <c r="I4" s="3170" t="s">
        <v>3427</v>
      </c>
      <c r="J4" s="3170" t="s">
        <v>3427</v>
      </c>
      <c r="K4" s="3170">
        <v>21</v>
      </c>
      <c r="L4" s="3170">
        <v>2146</v>
      </c>
      <c r="Q4" s="3170" t="s">
        <v>3573</v>
      </c>
      <c r="R4" s="3170">
        <v>2</v>
      </c>
      <c r="S4" s="3170">
        <v>48</v>
      </c>
      <c r="T4" s="3170">
        <v>5210</v>
      </c>
      <c r="U4" s="3170">
        <v>25.07</v>
      </c>
      <c r="V4" s="3170" t="s">
        <v>3427</v>
      </c>
      <c r="W4" s="3170" t="s">
        <v>3427</v>
      </c>
      <c r="X4" s="3170">
        <v>495</v>
      </c>
      <c r="Y4" s="3170">
        <v>12532</v>
      </c>
      <c r="AB4" s="1405" t="s">
        <v>4933</v>
      </c>
    </row>
    <row r="5" spans="2:28" ht="14.25">
      <c r="Q5" s="3170" t="s">
        <v>4872</v>
      </c>
      <c r="R5" s="3170">
        <v>3</v>
      </c>
      <c r="S5" s="3170">
        <v>75</v>
      </c>
      <c r="T5" s="3170">
        <v>5202</v>
      </c>
      <c r="U5" s="3170">
        <v>39</v>
      </c>
      <c r="V5" s="3170" t="s">
        <v>3427</v>
      </c>
      <c r="W5" s="3170" t="s">
        <v>3427</v>
      </c>
      <c r="X5" s="3170">
        <v>497</v>
      </c>
      <c r="Y5" s="3170">
        <v>12580</v>
      </c>
    </row>
    <row r="6" spans="2:28" ht="14.25">
      <c r="C6" s="1405" t="s">
        <v>4893</v>
      </c>
      <c r="D6" s="3477" t="s">
        <v>4877</v>
      </c>
      <c r="E6" s="3477" t="s">
        <v>3419</v>
      </c>
      <c r="F6" s="3477" t="s">
        <v>3420</v>
      </c>
      <c r="G6" s="3477" t="s">
        <v>4878</v>
      </c>
      <c r="H6" s="3477" t="s">
        <v>4879</v>
      </c>
      <c r="I6" s="3477" t="s">
        <v>4880</v>
      </c>
      <c r="J6" s="3477" t="s">
        <v>4881</v>
      </c>
      <c r="K6" s="3477" t="s">
        <v>4882</v>
      </c>
      <c r="L6" s="3477" t="s">
        <v>4883</v>
      </c>
      <c r="Q6" s="3170" t="s">
        <v>3495</v>
      </c>
      <c r="R6" s="3170">
        <v>8</v>
      </c>
      <c r="S6" s="3170">
        <v>196</v>
      </c>
      <c r="T6" s="3170">
        <v>5214</v>
      </c>
      <c r="U6" s="3170">
        <v>102.05</v>
      </c>
      <c r="V6" s="3170" t="s">
        <v>3427</v>
      </c>
      <c r="W6" s="3170" t="s">
        <v>3427</v>
      </c>
      <c r="X6" s="3170">
        <v>501</v>
      </c>
      <c r="Y6" s="3170">
        <v>12680</v>
      </c>
    </row>
    <row r="7" spans="2:28" ht="14.25">
      <c r="D7" s="3170" t="s">
        <v>4871</v>
      </c>
      <c r="E7" s="3170">
        <v>178</v>
      </c>
      <c r="F7" s="3170">
        <v>5682</v>
      </c>
      <c r="G7" s="3170">
        <v>4482</v>
      </c>
      <c r="H7" s="3170">
        <v>2546.56</v>
      </c>
      <c r="I7" s="3170">
        <v>757</v>
      </c>
      <c r="J7" s="3170">
        <v>24333</v>
      </c>
      <c r="K7" s="3170">
        <v>4</v>
      </c>
      <c r="L7" s="3170">
        <v>112</v>
      </c>
      <c r="Q7" s="3170" t="s">
        <v>4873</v>
      </c>
      <c r="R7" s="3170">
        <v>8</v>
      </c>
      <c r="S7" s="3170">
        <v>193</v>
      </c>
      <c r="T7" s="3170">
        <v>5212</v>
      </c>
      <c r="U7" s="3170">
        <v>100.57</v>
      </c>
      <c r="V7" s="3170" t="s">
        <v>3427</v>
      </c>
      <c r="W7" s="3170" t="s">
        <v>3427</v>
      </c>
      <c r="X7" s="3170">
        <v>509</v>
      </c>
      <c r="Y7" s="3170">
        <v>12876</v>
      </c>
    </row>
    <row r="8" spans="2:28" ht="14.25">
      <c r="D8" s="3210" t="s">
        <v>4874</v>
      </c>
      <c r="E8" s="3210">
        <v>1</v>
      </c>
      <c r="F8" s="3210">
        <v>32</v>
      </c>
      <c r="G8" s="3210">
        <v>2996</v>
      </c>
      <c r="H8" s="3210">
        <v>9.7200000000000006</v>
      </c>
      <c r="I8" s="3210" t="s">
        <v>3427</v>
      </c>
      <c r="J8" s="3210" t="s">
        <v>3427</v>
      </c>
      <c r="K8" s="3210">
        <v>4</v>
      </c>
      <c r="L8" s="3210">
        <v>112</v>
      </c>
      <c r="Q8" s="3170" t="s">
        <v>4874</v>
      </c>
      <c r="R8" s="3170">
        <v>97</v>
      </c>
      <c r="S8" s="3170">
        <v>2748</v>
      </c>
      <c r="T8" s="3170">
        <v>5213</v>
      </c>
      <c r="U8" s="3170">
        <v>1432.46</v>
      </c>
      <c r="V8" s="3170" t="s">
        <v>3427</v>
      </c>
      <c r="W8" s="3170" t="s">
        <v>3427</v>
      </c>
      <c r="X8" s="3170">
        <v>517</v>
      </c>
      <c r="Y8" s="3170">
        <v>13069</v>
      </c>
    </row>
    <row r="9" spans="2:28" ht="14.25">
      <c r="D9" s="3170" t="s">
        <v>4200</v>
      </c>
      <c r="E9" s="3170">
        <v>3</v>
      </c>
      <c r="F9" s="3170">
        <v>97</v>
      </c>
      <c r="G9" s="3170">
        <v>3005</v>
      </c>
      <c r="H9" s="3170">
        <v>29.24</v>
      </c>
      <c r="I9" s="3170" t="s">
        <v>3427</v>
      </c>
      <c r="J9" s="3170" t="s">
        <v>3427</v>
      </c>
      <c r="K9" s="3170" t="s">
        <v>3427</v>
      </c>
      <c r="L9" s="3170" t="s">
        <v>3427</v>
      </c>
      <c r="Q9" s="3170" t="s">
        <v>3489</v>
      </c>
      <c r="R9" s="3170">
        <v>8</v>
      </c>
      <c r="S9" s="3170">
        <v>205</v>
      </c>
      <c r="T9" s="3170">
        <v>5217</v>
      </c>
      <c r="U9" s="3170">
        <v>106.8</v>
      </c>
      <c r="V9" s="3170" t="s">
        <v>3427</v>
      </c>
      <c r="W9" s="3170" t="s">
        <v>3427</v>
      </c>
      <c r="X9" s="3170">
        <v>614</v>
      </c>
      <c r="Y9" s="3170">
        <v>15817</v>
      </c>
    </row>
    <row r="10" spans="2:28" ht="14.25">
      <c r="D10" s="3170" t="s">
        <v>4204</v>
      </c>
      <c r="E10" s="3170">
        <v>2</v>
      </c>
      <c r="F10" s="3170">
        <v>65</v>
      </c>
      <c r="G10" s="3170">
        <v>3004</v>
      </c>
      <c r="H10" s="3170">
        <v>19.489999999999998</v>
      </c>
      <c r="I10" s="3170" t="s">
        <v>3427</v>
      </c>
      <c r="J10" s="3170" t="s">
        <v>3427</v>
      </c>
      <c r="K10" s="3170" t="s">
        <v>3427</v>
      </c>
      <c r="L10" s="3170" t="s">
        <v>3427</v>
      </c>
      <c r="Q10" s="3170" t="s">
        <v>3493</v>
      </c>
      <c r="R10" s="3170">
        <v>2</v>
      </c>
      <c r="S10" s="3170">
        <v>50</v>
      </c>
      <c r="T10" s="3170">
        <v>5202</v>
      </c>
      <c r="U10" s="3170">
        <v>26.25</v>
      </c>
      <c r="V10" s="3170">
        <v>94</v>
      </c>
      <c r="W10" s="3170">
        <v>2673</v>
      </c>
      <c r="X10" s="3170">
        <v>529</v>
      </c>
      <c r="Y10" s="3170">
        <v>13376</v>
      </c>
    </row>
    <row r="11" spans="2:28" ht="14.25">
      <c r="D11" s="3170" t="s">
        <v>4203</v>
      </c>
      <c r="E11" s="3170">
        <v>1</v>
      </c>
      <c r="F11" s="3170">
        <v>32</v>
      </c>
      <c r="G11" s="3170">
        <v>3000</v>
      </c>
      <c r="H11" s="3170">
        <v>9.73</v>
      </c>
      <c r="I11" s="3170" t="s">
        <v>3427</v>
      </c>
      <c r="J11" s="3170" t="s">
        <v>3427</v>
      </c>
      <c r="K11" s="3170" t="s">
        <v>3427</v>
      </c>
      <c r="L11" s="3170" t="s">
        <v>3427</v>
      </c>
      <c r="Q11" s="3170" t="s">
        <v>3581</v>
      </c>
      <c r="R11" s="3170">
        <v>3</v>
      </c>
      <c r="S11" s="3170">
        <v>75</v>
      </c>
      <c r="T11" s="3170">
        <v>5217</v>
      </c>
      <c r="U11" s="3170">
        <v>39.11</v>
      </c>
      <c r="V11" s="3170" t="s">
        <v>3427</v>
      </c>
      <c r="W11" s="3170" t="s">
        <v>3427</v>
      </c>
      <c r="X11" s="3170">
        <v>530</v>
      </c>
      <c r="Y11" s="3170">
        <v>13402</v>
      </c>
    </row>
    <row r="12" spans="2:28" ht="14.25">
      <c r="D12" s="3170" t="s">
        <v>4884</v>
      </c>
      <c r="E12" s="3170">
        <v>1</v>
      </c>
      <c r="F12" s="3170">
        <v>25</v>
      </c>
      <c r="G12" s="3170">
        <v>3004</v>
      </c>
      <c r="H12" s="3170">
        <v>7.59</v>
      </c>
      <c r="I12" s="3170" t="s">
        <v>3427</v>
      </c>
      <c r="J12" s="3170" t="s">
        <v>3427</v>
      </c>
      <c r="K12" s="3170" t="s">
        <v>3427</v>
      </c>
      <c r="L12" s="3170" t="s">
        <v>3427</v>
      </c>
      <c r="Q12" s="3170" t="s">
        <v>3578</v>
      </c>
      <c r="R12" s="3170">
        <v>5</v>
      </c>
      <c r="S12" s="3170">
        <v>127</v>
      </c>
      <c r="T12" s="3170">
        <v>5211</v>
      </c>
      <c r="U12" s="3170">
        <v>66.11</v>
      </c>
      <c r="V12" s="3170" t="s">
        <v>3427</v>
      </c>
      <c r="W12" s="3170" t="s">
        <v>3427</v>
      </c>
      <c r="X12" s="3170">
        <v>533</v>
      </c>
      <c r="Y12" s="3170">
        <v>13477</v>
      </c>
    </row>
    <row r="13" spans="2:28" ht="14.25">
      <c r="D13" s="3170" t="s">
        <v>4885</v>
      </c>
      <c r="E13" s="3170">
        <v>2</v>
      </c>
      <c r="F13" s="3170">
        <v>56</v>
      </c>
      <c r="G13" s="3170">
        <v>3002</v>
      </c>
      <c r="H13" s="3170">
        <v>16.809999999999999</v>
      </c>
      <c r="I13" s="3170" t="s">
        <v>3427</v>
      </c>
      <c r="J13" s="3170" t="s">
        <v>3427</v>
      </c>
      <c r="K13" s="3170" t="s">
        <v>3427</v>
      </c>
      <c r="L13" s="3170" t="s">
        <v>3427</v>
      </c>
      <c r="Q13" s="3170" t="s">
        <v>4875</v>
      </c>
      <c r="R13" s="3170">
        <v>6</v>
      </c>
      <c r="S13" s="3170">
        <v>152</v>
      </c>
      <c r="T13" s="3170">
        <v>5213</v>
      </c>
      <c r="U13" s="3170">
        <v>79.16</v>
      </c>
      <c r="V13" s="3170" t="s">
        <v>3427</v>
      </c>
      <c r="W13" s="3170" t="s">
        <v>3427</v>
      </c>
      <c r="X13" s="3170">
        <v>538</v>
      </c>
      <c r="Y13" s="3170">
        <v>13603</v>
      </c>
    </row>
    <row r="14" spans="2:28" ht="14.25">
      <c r="D14" s="3210" t="s">
        <v>4886</v>
      </c>
      <c r="E14" s="3210">
        <v>1</v>
      </c>
      <c r="F14" s="3210">
        <v>32</v>
      </c>
      <c r="G14" s="3210">
        <v>5967</v>
      </c>
      <c r="H14" s="3210">
        <v>19.36</v>
      </c>
      <c r="I14" s="3210" t="s">
        <v>3427</v>
      </c>
      <c r="J14" s="3210" t="s">
        <v>3427</v>
      </c>
      <c r="K14" s="3210" t="s">
        <v>3427</v>
      </c>
      <c r="L14" s="3210" t="s">
        <v>3427</v>
      </c>
      <c r="Q14" s="3170" t="s">
        <v>4078</v>
      </c>
      <c r="R14" s="3170">
        <v>8</v>
      </c>
      <c r="S14" s="3170">
        <v>200</v>
      </c>
      <c r="T14" s="3170">
        <v>5213</v>
      </c>
      <c r="U14" s="3170">
        <v>104.24</v>
      </c>
      <c r="V14" s="3170" t="s">
        <v>3427</v>
      </c>
      <c r="W14" s="3170" t="s">
        <v>3427</v>
      </c>
      <c r="X14" s="3170">
        <v>544</v>
      </c>
      <c r="Y14" s="3170">
        <v>13755</v>
      </c>
    </row>
    <row r="15" spans="2:28" ht="14.25">
      <c r="D15" s="3170" t="s">
        <v>4887</v>
      </c>
      <c r="E15" s="3170">
        <v>1</v>
      </c>
      <c r="F15" s="3170">
        <v>32</v>
      </c>
      <c r="G15" s="3170">
        <v>3289</v>
      </c>
      <c r="H15" s="3170">
        <v>10.67</v>
      </c>
      <c r="I15" s="3170" t="s">
        <v>3427</v>
      </c>
      <c r="J15" s="3170" t="s">
        <v>3427</v>
      </c>
      <c r="K15" s="3170" t="s">
        <v>3427</v>
      </c>
      <c r="L15" s="3170" t="s">
        <v>3427</v>
      </c>
      <c r="P15" s="1405" t="s">
        <v>4904</v>
      </c>
      <c r="Q15" s="3477" t="s">
        <v>4877</v>
      </c>
      <c r="R15" s="3477" t="s">
        <v>3419</v>
      </c>
      <c r="S15" s="3477" t="s">
        <v>3420</v>
      </c>
      <c r="T15" s="3477" t="s">
        <v>4878</v>
      </c>
      <c r="U15" s="3477" t="s">
        <v>4879</v>
      </c>
      <c r="V15" s="3477" t="s">
        <v>4880</v>
      </c>
      <c r="W15" s="3477" t="s">
        <v>4881</v>
      </c>
      <c r="X15" s="3477" t="s">
        <v>4882</v>
      </c>
      <c r="Y15" s="3477" t="s">
        <v>4883</v>
      </c>
    </row>
    <row r="16" spans="2:28" ht="14.25">
      <c r="D16" s="3170" t="s">
        <v>4888</v>
      </c>
      <c r="E16" s="3170">
        <v>10</v>
      </c>
      <c r="F16" s="3170">
        <v>317</v>
      </c>
      <c r="G16" s="3170">
        <v>4605</v>
      </c>
      <c r="H16" s="3170">
        <v>146.07</v>
      </c>
      <c r="I16" s="3170" t="s">
        <v>3427</v>
      </c>
      <c r="J16" s="3170" t="s">
        <v>3427</v>
      </c>
      <c r="K16" s="3170">
        <v>1</v>
      </c>
      <c r="L16" s="3170">
        <v>32</v>
      </c>
      <c r="Q16" s="3170" t="s">
        <v>4871</v>
      </c>
      <c r="R16" s="3170">
        <v>51</v>
      </c>
      <c r="S16" s="3170">
        <v>948</v>
      </c>
      <c r="T16" s="3170">
        <v>3270</v>
      </c>
      <c r="U16" s="3170">
        <v>310.16000000000003</v>
      </c>
      <c r="V16" s="3170">
        <v>194</v>
      </c>
      <c r="W16" s="3170">
        <v>3833</v>
      </c>
      <c r="X16" s="3170">
        <v>142</v>
      </c>
      <c r="Y16" s="3170">
        <v>2867</v>
      </c>
    </row>
    <row r="17" spans="3:25" ht="14.25">
      <c r="D17" s="3170" t="s">
        <v>4889</v>
      </c>
      <c r="E17" s="3170">
        <v>7</v>
      </c>
      <c r="F17" s="3170">
        <v>227</v>
      </c>
      <c r="G17" s="3170">
        <v>4700</v>
      </c>
      <c r="H17" s="3170">
        <v>106.72</v>
      </c>
      <c r="I17" s="3170" t="s">
        <v>3427</v>
      </c>
      <c r="J17" s="3170" t="s">
        <v>3427</v>
      </c>
      <c r="K17" s="3170">
        <v>3</v>
      </c>
      <c r="L17" s="3170">
        <v>97</v>
      </c>
      <c r="Q17" s="3211" t="s">
        <v>4875</v>
      </c>
      <c r="R17" s="3211">
        <v>4</v>
      </c>
      <c r="S17" s="3211">
        <v>84</v>
      </c>
      <c r="T17" s="3211">
        <v>3367</v>
      </c>
      <c r="U17" s="3211">
        <v>28.32</v>
      </c>
      <c r="V17" s="3211" t="s">
        <v>3427</v>
      </c>
      <c r="W17" s="3211" t="s">
        <v>3427</v>
      </c>
      <c r="X17" s="3211">
        <v>119</v>
      </c>
      <c r="Y17" s="3211">
        <v>2559</v>
      </c>
    </row>
    <row r="18" spans="3:25" ht="14.25">
      <c r="D18" s="3170" t="s">
        <v>4890</v>
      </c>
      <c r="E18" s="3170">
        <v>1</v>
      </c>
      <c r="F18" s="3170">
        <v>32</v>
      </c>
      <c r="G18" s="3170">
        <v>5629</v>
      </c>
      <c r="H18" s="3170">
        <v>18.260000000000002</v>
      </c>
      <c r="I18" s="3170" t="s">
        <v>3427</v>
      </c>
      <c r="J18" s="3170" t="s">
        <v>3427</v>
      </c>
      <c r="K18" s="3170" t="s">
        <v>3427</v>
      </c>
      <c r="L18" s="3170" t="s">
        <v>3427</v>
      </c>
      <c r="Q18" s="3170" t="s">
        <v>4078</v>
      </c>
      <c r="R18" s="3170">
        <v>1</v>
      </c>
      <c r="S18" s="3170">
        <v>20</v>
      </c>
      <c r="T18" s="3170">
        <v>3360</v>
      </c>
      <c r="U18" s="3170">
        <v>6.79</v>
      </c>
      <c r="V18" s="3170">
        <v>23</v>
      </c>
      <c r="W18" s="3170">
        <v>308</v>
      </c>
      <c r="X18" s="3170">
        <v>123</v>
      </c>
      <c r="Y18" s="3170">
        <v>2643</v>
      </c>
    </row>
    <row r="19" spans="3:25" ht="14.25">
      <c r="D19" s="3170" t="s">
        <v>4891</v>
      </c>
      <c r="E19" s="3170">
        <v>11</v>
      </c>
      <c r="F19" s="3170">
        <v>350</v>
      </c>
      <c r="G19" s="3170">
        <v>5291</v>
      </c>
      <c r="H19" s="3170">
        <v>184.99</v>
      </c>
      <c r="I19" s="3170" t="s">
        <v>3427</v>
      </c>
      <c r="J19" s="3170" t="s">
        <v>3427</v>
      </c>
      <c r="K19" s="3170">
        <v>1</v>
      </c>
      <c r="L19" s="3170">
        <v>32</v>
      </c>
      <c r="Q19" s="3170" t="s">
        <v>3849</v>
      </c>
      <c r="R19" s="3170">
        <v>1</v>
      </c>
      <c r="S19" s="3170">
        <v>13</v>
      </c>
      <c r="T19" s="3170">
        <v>3367</v>
      </c>
      <c r="U19" s="3170">
        <v>4.22</v>
      </c>
      <c r="V19" s="3170">
        <v>14</v>
      </c>
      <c r="W19" s="3170">
        <v>284</v>
      </c>
      <c r="X19" s="3170">
        <v>110</v>
      </c>
      <c r="Y19" s="3170">
        <v>2380</v>
      </c>
    </row>
    <row r="20" spans="3:25" ht="14.25">
      <c r="D20" s="3170" t="s">
        <v>4892</v>
      </c>
      <c r="E20" s="3170">
        <v>7</v>
      </c>
      <c r="F20" s="3170">
        <v>227</v>
      </c>
      <c r="G20" s="3170">
        <v>4647</v>
      </c>
      <c r="H20" s="3170">
        <v>105.53</v>
      </c>
      <c r="I20" s="3170" t="s">
        <v>3427</v>
      </c>
      <c r="J20" s="3170" t="s">
        <v>3427</v>
      </c>
      <c r="K20" s="3170" t="s">
        <v>3427</v>
      </c>
      <c r="L20" s="3170" t="s">
        <v>3427</v>
      </c>
      <c r="Q20" s="3170" t="s">
        <v>3781</v>
      </c>
      <c r="R20" s="3170">
        <v>1</v>
      </c>
      <c r="S20" s="3170">
        <v>27</v>
      </c>
      <c r="T20" s="3170">
        <v>3371</v>
      </c>
      <c r="U20" s="3170">
        <v>9.25</v>
      </c>
      <c r="V20" s="3170" t="s">
        <v>3427</v>
      </c>
      <c r="W20" s="3170" t="s">
        <v>3427</v>
      </c>
      <c r="X20" s="3170">
        <v>111</v>
      </c>
      <c r="Y20" s="3170">
        <v>2392</v>
      </c>
    </row>
    <row r="21" spans="3:25" ht="14.25">
      <c r="Q21" s="3170" t="s">
        <v>4895</v>
      </c>
      <c r="R21" s="3170">
        <v>1</v>
      </c>
      <c r="S21" s="3170">
        <v>12</v>
      </c>
      <c r="T21" s="3170">
        <v>3377</v>
      </c>
      <c r="U21" s="3170">
        <v>3.96</v>
      </c>
      <c r="V21" s="3170" t="s">
        <v>3427</v>
      </c>
      <c r="W21" s="3170" t="s">
        <v>3427</v>
      </c>
      <c r="X21" s="3170">
        <v>112</v>
      </c>
      <c r="Y21" s="3170">
        <v>2419</v>
      </c>
    </row>
    <row r="22" spans="3:25" ht="14.25">
      <c r="C22" s="1405" t="s">
        <v>4894</v>
      </c>
      <c r="D22" s="3477" t="s">
        <v>4877</v>
      </c>
      <c r="E22" s="3477" t="s">
        <v>3419</v>
      </c>
      <c r="F22" s="3477" t="s">
        <v>3420</v>
      </c>
      <c r="G22" s="3477" t="s">
        <v>4878</v>
      </c>
      <c r="H22" s="3477" t="s">
        <v>4879</v>
      </c>
      <c r="I22" s="3477" t="s">
        <v>4880</v>
      </c>
      <c r="J22" s="3477" t="s">
        <v>4881</v>
      </c>
      <c r="K22" s="3477" t="s">
        <v>4882</v>
      </c>
      <c r="L22" s="3477" t="s">
        <v>4883</v>
      </c>
      <c r="Q22" s="3170" t="s">
        <v>4195</v>
      </c>
      <c r="R22" s="3170">
        <v>1</v>
      </c>
      <c r="S22" s="3170">
        <v>21</v>
      </c>
      <c r="T22" s="3170">
        <v>3367</v>
      </c>
      <c r="U22" s="3170">
        <v>7.23</v>
      </c>
      <c r="V22" s="3170" t="s">
        <v>3427</v>
      </c>
      <c r="W22" s="3170" t="s">
        <v>3427</v>
      </c>
      <c r="X22" s="3170">
        <v>113</v>
      </c>
      <c r="Y22" s="3170">
        <v>2431</v>
      </c>
    </row>
    <row r="23" spans="3:25" ht="14.25">
      <c r="D23" s="3170" t="s">
        <v>4871</v>
      </c>
      <c r="E23" s="3170">
        <v>62</v>
      </c>
      <c r="F23" s="3170">
        <v>3911</v>
      </c>
      <c r="G23" s="3170">
        <v>11927</v>
      </c>
      <c r="H23" s="3170">
        <v>4664.04</v>
      </c>
      <c r="I23" s="3170">
        <v>201</v>
      </c>
      <c r="J23" s="3170">
        <v>12545</v>
      </c>
      <c r="K23" s="3170">
        <v>17</v>
      </c>
      <c r="L23" s="3170">
        <v>2775</v>
      </c>
      <c r="P23" s="1405" t="s">
        <v>4905</v>
      </c>
      <c r="Q23" s="3477" t="s">
        <v>4877</v>
      </c>
      <c r="R23" s="3477" t="s">
        <v>3419</v>
      </c>
      <c r="S23" s="3477" t="s">
        <v>3420</v>
      </c>
      <c r="T23" s="3477" t="s">
        <v>4878</v>
      </c>
      <c r="U23" s="3477" t="s">
        <v>4879</v>
      </c>
      <c r="V23" s="3477" t="s">
        <v>4880</v>
      </c>
      <c r="W23" s="3477" t="s">
        <v>4881</v>
      </c>
      <c r="X23" s="3477" t="s">
        <v>4882</v>
      </c>
      <c r="Y23" s="3477" t="s">
        <v>4883</v>
      </c>
    </row>
    <row r="24" spans="3:25" ht="14.25">
      <c r="D24" s="3208" t="s">
        <v>4873</v>
      </c>
      <c r="E24" s="3208">
        <v>1</v>
      </c>
      <c r="F24" s="3208">
        <v>47</v>
      </c>
      <c r="G24" s="3208">
        <v>12439</v>
      </c>
      <c r="H24" s="3208">
        <v>58.45</v>
      </c>
      <c r="I24" s="3208" t="s">
        <v>3427</v>
      </c>
      <c r="J24" s="3208" t="s">
        <v>3427</v>
      </c>
      <c r="K24" s="3208">
        <v>17</v>
      </c>
      <c r="L24" s="3208">
        <v>2775</v>
      </c>
      <c r="Q24" s="3170" t="s">
        <v>4871</v>
      </c>
      <c r="R24" s="3170">
        <v>46</v>
      </c>
      <c r="S24" s="3170">
        <v>13562</v>
      </c>
      <c r="T24" s="3170">
        <v>13633</v>
      </c>
      <c r="U24" s="3170">
        <v>18489.759999999998</v>
      </c>
      <c r="V24" s="3170">
        <v>46</v>
      </c>
      <c r="W24" s="3170">
        <v>13562</v>
      </c>
      <c r="X24" s="3170" t="s">
        <v>3427</v>
      </c>
      <c r="Y24" s="3170" t="s">
        <v>3427</v>
      </c>
    </row>
    <row r="25" spans="3:25" ht="14.25">
      <c r="D25" s="3170" t="s">
        <v>4874</v>
      </c>
      <c r="E25" s="3170">
        <v>7</v>
      </c>
      <c r="F25" s="3170">
        <v>366</v>
      </c>
      <c r="G25" s="3170">
        <v>12436</v>
      </c>
      <c r="H25" s="3170">
        <v>454.64</v>
      </c>
      <c r="I25" s="3170" t="s">
        <v>3427</v>
      </c>
      <c r="J25" s="3170" t="s">
        <v>3427</v>
      </c>
      <c r="K25" s="3170">
        <v>18</v>
      </c>
      <c r="L25" s="3170">
        <v>2822</v>
      </c>
      <c r="Q25" s="3209" t="s">
        <v>4874</v>
      </c>
      <c r="R25" s="3209">
        <v>46</v>
      </c>
      <c r="S25" s="3209">
        <v>13562</v>
      </c>
      <c r="T25" s="3209">
        <v>13633</v>
      </c>
      <c r="U25" s="3209">
        <v>18489.759999999998</v>
      </c>
      <c r="V25" s="3209" t="s">
        <v>3427</v>
      </c>
      <c r="W25" s="3209" t="s">
        <v>3427</v>
      </c>
      <c r="X25" s="3209" t="s">
        <v>3427</v>
      </c>
      <c r="Y25" s="3209" t="s">
        <v>3427</v>
      </c>
    </row>
    <row r="26" spans="3:25" ht="14.25">
      <c r="Q26" s="3477" t="s">
        <v>4877</v>
      </c>
      <c r="R26" s="3477" t="s">
        <v>3419</v>
      </c>
      <c r="S26" s="3477" t="s">
        <v>3420</v>
      </c>
      <c r="T26" s="3477" t="s">
        <v>4878</v>
      </c>
      <c r="U26" s="3477" t="s">
        <v>4879</v>
      </c>
      <c r="V26" s="3477" t="s">
        <v>4880</v>
      </c>
      <c r="W26" s="3477" t="s">
        <v>4881</v>
      </c>
      <c r="X26" s="3477" t="s">
        <v>4882</v>
      </c>
      <c r="Y26" s="3477" t="s">
        <v>4883</v>
      </c>
    </row>
    <row r="27" spans="3:25" ht="14.25">
      <c r="P27" s="1405" t="s">
        <v>4906</v>
      </c>
      <c r="Q27" s="3170" t="s">
        <v>4871</v>
      </c>
      <c r="R27" s="3170">
        <v>44</v>
      </c>
      <c r="S27" s="3170">
        <v>2852</v>
      </c>
      <c r="T27" s="3170">
        <v>24993</v>
      </c>
      <c r="U27" s="3170">
        <v>7126.75</v>
      </c>
      <c r="V27" s="3170">
        <v>62</v>
      </c>
      <c r="W27" s="3170">
        <v>4047</v>
      </c>
      <c r="X27" s="3170">
        <v>18</v>
      </c>
      <c r="Y27" s="3170">
        <v>1196</v>
      </c>
    </row>
    <row r="28" spans="3:25" ht="14.25">
      <c r="C28" s="1405" t="s">
        <v>4899</v>
      </c>
      <c r="D28" s="3477" t="s">
        <v>4877</v>
      </c>
      <c r="E28" s="3477" t="s">
        <v>3419</v>
      </c>
      <c r="F28" s="3477" t="s">
        <v>3420</v>
      </c>
      <c r="G28" s="3477" t="s">
        <v>4878</v>
      </c>
      <c r="H28" s="3477" t="s">
        <v>4879</v>
      </c>
      <c r="I28" s="3477" t="s">
        <v>4880</v>
      </c>
      <c r="J28" s="3477" t="s">
        <v>4881</v>
      </c>
      <c r="K28" s="3477" t="s">
        <v>4882</v>
      </c>
      <c r="L28" s="3477" t="s">
        <v>4883</v>
      </c>
      <c r="Q28" s="3207" t="s">
        <v>4874</v>
      </c>
      <c r="R28" s="3207">
        <v>44</v>
      </c>
      <c r="S28" s="3207">
        <v>2852</v>
      </c>
      <c r="T28" s="3207">
        <v>24993</v>
      </c>
      <c r="U28" s="3207">
        <v>7126.75</v>
      </c>
      <c r="V28" s="3207" t="s">
        <v>3427</v>
      </c>
      <c r="W28" s="3207" t="s">
        <v>3427</v>
      </c>
      <c r="X28" s="3207">
        <v>18</v>
      </c>
      <c r="Y28" s="3207">
        <v>1196</v>
      </c>
    </row>
    <row r="29" spans="3:25" ht="14.25">
      <c r="D29" s="3170" t="s">
        <v>4871</v>
      </c>
      <c r="E29" s="3170">
        <v>1</v>
      </c>
      <c r="F29" s="3170">
        <v>11</v>
      </c>
      <c r="G29" s="3170">
        <v>3233</v>
      </c>
      <c r="H29" s="3170">
        <v>3.4</v>
      </c>
      <c r="I29" s="3170">
        <v>633</v>
      </c>
      <c r="J29" s="3170">
        <v>9293</v>
      </c>
      <c r="K29" s="3170">
        <v>5</v>
      </c>
      <c r="L29" s="3170">
        <v>63</v>
      </c>
      <c r="Q29" s="3170"/>
      <c r="R29" s="3170"/>
      <c r="S29" s="3170"/>
      <c r="T29" s="3170"/>
      <c r="U29" s="3170"/>
      <c r="V29" s="3170"/>
      <c r="W29" s="3170"/>
      <c r="X29" s="3170"/>
      <c r="Y29" s="3170"/>
    </row>
    <row r="30" spans="3:25" ht="14.25">
      <c r="D30" s="3211" t="s">
        <v>4897</v>
      </c>
      <c r="E30" s="3211">
        <v>1</v>
      </c>
      <c r="F30" s="3211">
        <v>11</v>
      </c>
      <c r="G30" s="3211">
        <v>3233</v>
      </c>
      <c r="H30" s="3211">
        <v>3.4</v>
      </c>
      <c r="I30" s="3211" t="s">
        <v>3427</v>
      </c>
      <c r="J30" s="3211" t="s">
        <v>3427</v>
      </c>
      <c r="K30" s="3211">
        <v>3</v>
      </c>
      <c r="L30" s="3211">
        <v>48</v>
      </c>
      <c r="Q30" s="3170"/>
      <c r="R30" s="3170"/>
      <c r="S30" s="3170"/>
      <c r="T30" s="3170"/>
      <c r="U30" s="3170"/>
      <c r="V30" s="3170"/>
      <c r="W30" s="3170"/>
      <c r="X30" s="3170"/>
      <c r="Y30" s="3170"/>
    </row>
    <row r="31" spans="3:25" ht="14.25">
      <c r="D31" s="3170" t="s">
        <v>4898</v>
      </c>
      <c r="E31" s="3170" t="s">
        <v>3427</v>
      </c>
      <c r="F31" s="3170" t="s">
        <v>3427</v>
      </c>
      <c r="G31" s="3170" t="s">
        <v>3427</v>
      </c>
      <c r="H31" s="3170" t="s">
        <v>3427</v>
      </c>
      <c r="I31" s="3170" t="s">
        <v>3427</v>
      </c>
      <c r="J31" s="3170" t="s">
        <v>3427</v>
      </c>
      <c r="K31" s="3170">
        <v>3</v>
      </c>
      <c r="L31" s="3170">
        <v>48</v>
      </c>
      <c r="Q31" s="3170"/>
      <c r="R31" s="3170"/>
      <c r="S31" s="3170"/>
      <c r="T31" s="3170"/>
      <c r="U31" s="3170"/>
      <c r="V31" s="3170"/>
      <c r="W31" s="3170"/>
      <c r="X31" s="3170"/>
      <c r="Y31" s="3170"/>
    </row>
    <row r="32" spans="3:25" ht="14.25">
      <c r="Q32" s="3170"/>
      <c r="R32" s="3170"/>
      <c r="S32" s="3170"/>
      <c r="T32" s="3170"/>
      <c r="U32" s="3170"/>
      <c r="V32" s="3170"/>
      <c r="W32" s="3170"/>
      <c r="X32" s="3170"/>
      <c r="Y32" s="3170"/>
    </row>
    <row r="34" spans="2:25" ht="14.25">
      <c r="O34">
        <v>2020</v>
      </c>
      <c r="P34" s="1405" t="s">
        <v>4907</v>
      </c>
      <c r="Q34" s="3477" t="s">
        <v>4877</v>
      </c>
      <c r="R34" s="3477" t="s">
        <v>3419</v>
      </c>
      <c r="S34" s="3477" t="s">
        <v>3420</v>
      </c>
      <c r="T34" s="3477" t="s">
        <v>4878</v>
      </c>
      <c r="U34" s="3477" t="s">
        <v>4879</v>
      </c>
      <c r="V34" s="3477" t="s">
        <v>4880</v>
      </c>
      <c r="W34" s="3477" t="s">
        <v>4881</v>
      </c>
      <c r="X34" s="3477" t="s">
        <v>4882</v>
      </c>
      <c r="Y34" s="3477" t="s">
        <v>4883</v>
      </c>
    </row>
    <row r="35" spans="2:25" ht="14.25">
      <c r="B35">
        <v>2013</v>
      </c>
      <c r="C35" s="1405" t="s">
        <v>4900</v>
      </c>
      <c r="D35" s="3477" t="s">
        <v>4877</v>
      </c>
      <c r="E35" s="3170" t="s">
        <v>3419</v>
      </c>
      <c r="F35" s="3170" t="s">
        <v>3420</v>
      </c>
      <c r="G35" s="3170" t="s">
        <v>4878</v>
      </c>
      <c r="H35" s="3170" t="s">
        <v>4879</v>
      </c>
      <c r="I35" s="3170" t="s">
        <v>4880</v>
      </c>
      <c r="J35" s="3170" t="s">
        <v>4881</v>
      </c>
      <c r="K35" s="3170" t="s">
        <v>4882</v>
      </c>
      <c r="L35" s="3170" t="s">
        <v>4883</v>
      </c>
      <c r="O35">
        <f>1-(2025-O34)/60</f>
        <v>0.91666666666666663</v>
      </c>
      <c r="Q35" s="3170" t="s">
        <v>4871</v>
      </c>
      <c r="R35" s="3170">
        <v>121</v>
      </c>
      <c r="S35" s="3170">
        <v>3221</v>
      </c>
      <c r="T35" s="3170">
        <v>3785</v>
      </c>
      <c r="U35" s="3170">
        <v>1219.3900000000001</v>
      </c>
      <c r="V35" s="3170">
        <v>2263</v>
      </c>
      <c r="W35" s="3170">
        <v>43554</v>
      </c>
      <c r="X35" s="3170">
        <v>8</v>
      </c>
      <c r="Y35" s="3170">
        <v>188</v>
      </c>
    </row>
    <row r="36" spans="2:25" ht="14.25">
      <c r="B36">
        <f>1-(2025-B35)/60</f>
        <v>0.8</v>
      </c>
      <c r="D36" s="3170" t="s">
        <v>4871</v>
      </c>
      <c r="E36" s="3170">
        <v>25</v>
      </c>
      <c r="F36" s="3170">
        <v>7631</v>
      </c>
      <c r="G36" s="3170">
        <v>11998</v>
      </c>
      <c r="H36" s="3170">
        <v>9155.8799999999992</v>
      </c>
      <c r="I36" s="3170">
        <v>80</v>
      </c>
      <c r="J36" s="3170">
        <v>19629</v>
      </c>
      <c r="K36" s="3170">
        <v>14</v>
      </c>
      <c r="L36" s="3170">
        <v>1922</v>
      </c>
      <c r="Q36" s="3211" t="s">
        <v>4204</v>
      </c>
      <c r="R36" s="3211">
        <v>2</v>
      </c>
      <c r="S36" s="3211">
        <v>19</v>
      </c>
      <c r="T36" s="3211">
        <v>2722</v>
      </c>
      <c r="U36" s="3211">
        <v>5.04</v>
      </c>
      <c r="V36" s="3211" t="s">
        <v>3427</v>
      </c>
      <c r="W36" s="3211" t="s">
        <v>3427</v>
      </c>
      <c r="X36" s="3211">
        <v>21</v>
      </c>
      <c r="Y36" s="3211">
        <v>579</v>
      </c>
    </row>
    <row r="37" spans="2:25" ht="14.25">
      <c r="D37" s="3207" t="s">
        <v>4201</v>
      </c>
      <c r="E37" s="3207">
        <v>2</v>
      </c>
      <c r="F37" s="3207">
        <v>568</v>
      </c>
      <c r="G37" s="3207">
        <v>12021</v>
      </c>
      <c r="H37" s="3207">
        <v>683.08</v>
      </c>
      <c r="I37" s="3207" t="s">
        <v>3427</v>
      </c>
      <c r="J37" s="3207" t="s">
        <v>3427</v>
      </c>
      <c r="K37" s="3207">
        <v>14</v>
      </c>
      <c r="L37" s="3207">
        <v>1922</v>
      </c>
      <c r="Q37" s="3170" t="s">
        <v>4203</v>
      </c>
      <c r="R37" s="3170" t="s">
        <v>3427</v>
      </c>
      <c r="S37" s="3170" t="s">
        <v>3427</v>
      </c>
      <c r="T37" s="3170" t="s">
        <v>3427</v>
      </c>
      <c r="U37" s="3170" t="s">
        <v>3427</v>
      </c>
      <c r="V37" s="3170" t="s">
        <v>3427</v>
      </c>
      <c r="W37" s="3170" t="s">
        <v>3427</v>
      </c>
      <c r="X37" s="3170">
        <v>21</v>
      </c>
      <c r="Y37" s="3170">
        <v>579</v>
      </c>
    </row>
    <row r="38" spans="2:25" ht="14.25">
      <c r="Q38" s="3170" t="s">
        <v>4884</v>
      </c>
      <c r="R38" s="3170" t="s">
        <v>3427</v>
      </c>
      <c r="S38" s="3170" t="s">
        <v>3427</v>
      </c>
      <c r="T38" s="3170" t="s">
        <v>3427</v>
      </c>
      <c r="U38" s="3170" t="s">
        <v>3427</v>
      </c>
      <c r="V38" s="3170" t="s">
        <v>3427</v>
      </c>
      <c r="W38" s="3170" t="s">
        <v>3427</v>
      </c>
      <c r="X38" s="3170">
        <v>23</v>
      </c>
      <c r="Y38" s="3170">
        <v>598</v>
      </c>
    </row>
    <row r="39" spans="2:25" ht="14.25">
      <c r="C39" s="1405" t="s">
        <v>4901</v>
      </c>
      <c r="D39" s="3477" t="s">
        <v>4877</v>
      </c>
      <c r="E39" s="3477" t="s">
        <v>3419</v>
      </c>
      <c r="F39" s="3477" t="s">
        <v>3420</v>
      </c>
      <c r="G39" s="3477" t="s">
        <v>4878</v>
      </c>
      <c r="H39" s="3477" t="s">
        <v>4879</v>
      </c>
      <c r="I39" s="3477" t="s">
        <v>4880</v>
      </c>
      <c r="J39" s="3477" t="s">
        <v>4881</v>
      </c>
      <c r="K39" s="3477" t="s">
        <v>4882</v>
      </c>
      <c r="L39" s="3477" t="s">
        <v>4883</v>
      </c>
      <c r="Q39" s="3170" t="s">
        <v>4201</v>
      </c>
      <c r="R39" s="3170">
        <v>4</v>
      </c>
      <c r="S39" s="3170">
        <v>55</v>
      </c>
      <c r="T39" s="3170">
        <v>2729</v>
      </c>
      <c r="U39" s="3170">
        <v>15.1</v>
      </c>
      <c r="V39" s="3170" t="s">
        <v>3427</v>
      </c>
      <c r="W39" s="3170" t="s">
        <v>3427</v>
      </c>
      <c r="X39" s="3170">
        <v>23</v>
      </c>
      <c r="Y39" s="3170">
        <v>598</v>
      </c>
    </row>
    <row r="40" spans="2:25" ht="14.25">
      <c r="D40" s="3208" t="s">
        <v>4201</v>
      </c>
      <c r="E40" s="3208">
        <v>2</v>
      </c>
      <c r="F40" s="3208">
        <v>130</v>
      </c>
      <c r="G40" s="3208">
        <v>8002</v>
      </c>
      <c r="H40" s="3208">
        <v>103.85</v>
      </c>
      <c r="I40" s="3208" t="s">
        <v>3427</v>
      </c>
      <c r="J40" s="3208" t="s">
        <v>3427</v>
      </c>
      <c r="K40" s="3208">
        <v>5</v>
      </c>
      <c r="L40" s="3208">
        <v>1990</v>
      </c>
      <c r="P40" s="1405" t="s">
        <v>4908</v>
      </c>
      <c r="Q40" s="3477" t="s">
        <v>4877</v>
      </c>
      <c r="R40" s="3477" t="s">
        <v>3419</v>
      </c>
      <c r="S40" s="3477" t="s">
        <v>3420</v>
      </c>
      <c r="T40" s="3477" t="s">
        <v>4878</v>
      </c>
      <c r="U40" s="3477" t="s">
        <v>4879</v>
      </c>
      <c r="V40" s="3477" t="s">
        <v>4880</v>
      </c>
      <c r="W40" s="3477" t="s">
        <v>4881</v>
      </c>
      <c r="X40" s="3477" t="s">
        <v>4882</v>
      </c>
      <c r="Y40" s="3477" t="s">
        <v>4883</v>
      </c>
    </row>
    <row r="41" spans="2:25" ht="14.25">
      <c r="Q41" s="3170" t="s">
        <v>4871</v>
      </c>
      <c r="R41" s="3170">
        <v>287</v>
      </c>
      <c r="S41" s="3170">
        <v>40127</v>
      </c>
      <c r="T41" s="3170">
        <v>24107</v>
      </c>
      <c r="U41" s="3170">
        <v>96733.4</v>
      </c>
      <c r="V41" s="3170">
        <v>1397</v>
      </c>
      <c r="W41" s="3170">
        <v>109409</v>
      </c>
      <c r="X41" s="3170">
        <v>1</v>
      </c>
      <c r="Y41" s="3170">
        <v>102</v>
      </c>
    </row>
    <row r="42" spans="2:25" ht="14.25">
      <c r="Q42" s="3170" t="s">
        <v>3584</v>
      </c>
      <c r="R42" s="3170" t="s">
        <v>3427</v>
      </c>
      <c r="S42" s="3170" t="s">
        <v>3427</v>
      </c>
      <c r="T42" s="3170" t="s">
        <v>3427</v>
      </c>
      <c r="U42" s="3170" t="s">
        <v>3427</v>
      </c>
      <c r="V42" s="3170" t="s">
        <v>3427</v>
      </c>
      <c r="W42" s="3170" t="s">
        <v>3427</v>
      </c>
      <c r="X42" s="3170">
        <v>1</v>
      </c>
      <c r="Y42" s="3170">
        <v>102</v>
      </c>
    </row>
    <row r="43" spans="2:25" ht="14.25">
      <c r="C43" s="1405" t="s">
        <v>4902</v>
      </c>
      <c r="D43" s="3477" t="s">
        <v>4877</v>
      </c>
      <c r="E43" s="3477" t="s">
        <v>3419</v>
      </c>
      <c r="F43" s="3477" t="s">
        <v>3420</v>
      </c>
      <c r="G43" s="3477" t="s">
        <v>4878</v>
      </c>
      <c r="H43" s="3477" t="s">
        <v>4879</v>
      </c>
      <c r="I43" s="3477" t="s">
        <v>4880</v>
      </c>
      <c r="J43" s="3477" t="s">
        <v>4881</v>
      </c>
      <c r="K43" s="3477" t="s">
        <v>4882</v>
      </c>
      <c r="L43" s="3477" t="s">
        <v>4883</v>
      </c>
      <c r="Q43" s="3170" t="s">
        <v>3573</v>
      </c>
      <c r="R43" s="3170" t="s">
        <v>3427</v>
      </c>
      <c r="S43" s="3170" t="s">
        <v>3427</v>
      </c>
      <c r="T43" s="3170" t="s">
        <v>3427</v>
      </c>
      <c r="U43" s="3170" t="s">
        <v>3427</v>
      </c>
      <c r="V43" s="3170" t="s">
        <v>3427</v>
      </c>
      <c r="W43" s="3170" t="s">
        <v>3427</v>
      </c>
      <c r="X43" s="3170">
        <v>1</v>
      </c>
      <c r="Y43" s="3170">
        <v>102</v>
      </c>
    </row>
    <row r="44" spans="2:25" ht="14.25">
      <c r="D44" s="3170" t="s">
        <v>4200</v>
      </c>
      <c r="E44" s="3170" t="s">
        <v>3427</v>
      </c>
      <c r="F44" s="3170" t="s">
        <v>3427</v>
      </c>
      <c r="G44" s="3170" t="s">
        <v>3427</v>
      </c>
      <c r="H44" s="3170" t="s">
        <v>3427</v>
      </c>
      <c r="I44" s="3170" t="s">
        <v>3427</v>
      </c>
      <c r="J44" s="3170" t="s">
        <v>3427</v>
      </c>
      <c r="K44" s="3170">
        <v>69</v>
      </c>
      <c r="L44" s="3170">
        <v>1296</v>
      </c>
      <c r="Q44" s="3207" t="s">
        <v>4872</v>
      </c>
      <c r="R44" s="3207">
        <v>1</v>
      </c>
      <c r="S44" s="3207">
        <v>20793</v>
      </c>
      <c r="T44" s="3207">
        <v>24582</v>
      </c>
      <c r="U44" s="3207">
        <v>51113.08</v>
      </c>
      <c r="V44" s="3207" t="s">
        <v>3427</v>
      </c>
      <c r="W44" s="3207" t="s">
        <v>3427</v>
      </c>
      <c r="X44" s="3207">
        <v>1</v>
      </c>
      <c r="Y44" s="3207">
        <v>102</v>
      </c>
    </row>
    <row r="45" spans="2:25" ht="14.25">
      <c r="D45" s="3170" t="s">
        <v>4204</v>
      </c>
      <c r="E45" s="3170" t="s">
        <v>3427</v>
      </c>
      <c r="F45" s="3170" t="s">
        <v>3427</v>
      </c>
      <c r="G45" s="3170" t="s">
        <v>3427</v>
      </c>
      <c r="H45" s="3170" t="s">
        <v>3427</v>
      </c>
      <c r="I45" s="3170" t="s">
        <v>3427</v>
      </c>
      <c r="J45" s="3170" t="s">
        <v>3427</v>
      </c>
      <c r="K45" s="3170">
        <v>69</v>
      </c>
      <c r="L45" s="3170">
        <v>1296</v>
      </c>
      <c r="Q45" s="3170" t="s">
        <v>3495</v>
      </c>
      <c r="R45" s="3170" t="s">
        <v>3427</v>
      </c>
      <c r="S45" s="3170" t="s">
        <v>3427</v>
      </c>
      <c r="T45" s="3170" t="s">
        <v>3427</v>
      </c>
      <c r="U45" s="3170" t="s">
        <v>3427</v>
      </c>
      <c r="V45" s="3170" t="s">
        <v>3427</v>
      </c>
      <c r="W45" s="3170" t="s">
        <v>3427</v>
      </c>
      <c r="X45" s="3170">
        <v>2</v>
      </c>
      <c r="Y45" s="3170">
        <v>20895</v>
      </c>
    </row>
    <row r="46" spans="2:25" ht="14.25">
      <c r="D46" s="3211" t="s">
        <v>4203</v>
      </c>
      <c r="E46" s="3211">
        <v>1</v>
      </c>
      <c r="F46" s="3211">
        <v>7</v>
      </c>
      <c r="G46" s="3211">
        <v>3473</v>
      </c>
      <c r="H46" s="3211">
        <v>2.57</v>
      </c>
      <c r="I46" s="3211" t="s">
        <v>3427</v>
      </c>
      <c r="J46" s="3211" t="s">
        <v>3427</v>
      </c>
      <c r="K46" s="3211">
        <v>69</v>
      </c>
      <c r="L46" s="3211">
        <v>1296</v>
      </c>
      <c r="Q46" s="3170" t="s">
        <v>4873</v>
      </c>
      <c r="R46" s="3170" t="s">
        <v>3427</v>
      </c>
      <c r="S46" s="3170" t="s">
        <v>3427</v>
      </c>
      <c r="T46" s="3170" t="s">
        <v>3427</v>
      </c>
      <c r="U46" s="3170" t="s">
        <v>3427</v>
      </c>
      <c r="V46" s="3170">
        <v>1</v>
      </c>
      <c r="W46" s="3170">
        <v>20793</v>
      </c>
      <c r="X46" s="3170">
        <v>1</v>
      </c>
      <c r="Y46" s="3170">
        <v>102</v>
      </c>
    </row>
    <row r="47" spans="2:25" ht="14.25">
      <c r="Q47" s="3170" t="s">
        <v>4874</v>
      </c>
      <c r="R47" s="3170" t="s">
        <v>3427</v>
      </c>
      <c r="S47" s="3170" t="s">
        <v>3427</v>
      </c>
      <c r="T47" s="3170" t="s">
        <v>3427</v>
      </c>
      <c r="U47" s="3170" t="s">
        <v>3427</v>
      </c>
      <c r="V47" s="3170" t="s">
        <v>3427</v>
      </c>
      <c r="W47" s="3170" t="s">
        <v>3427</v>
      </c>
      <c r="X47" s="3170">
        <v>1</v>
      </c>
      <c r="Y47" s="3170">
        <v>102</v>
      </c>
    </row>
    <row r="48" spans="2:25" ht="14.25">
      <c r="Q48" s="3170" t="s">
        <v>3849</v>
      </c>
      <c r="R48" s="3170" t="s">
        <v>3427</v>
      </c>
      <c r="S48" s="3170" t="s">
        <v>3427</v>
      </c>
      <c r="T48" s="3170" t="s">
        <v>3427</v>
      </c>
      <c r="U48" s="3170" t="s">
        <v>3427</v>
      </c>
      <c r="V48" s="3170" t="s">
        <v>3427</v>
      </c>
      <c r="W48" s="3170" t="s">
        <v>3427</v>
      </c>
      <c r="X48" s="3170">
        <v>1</v>
      </c>
      <c r="Y48" s="3170">
        <v>119</v>
      </c>
    </row>
    <row r="49" spans="16:25" ht="14.25">
      <c r="Q49" s="3170" t="s">
        <v>3781</v>
      </c>
      <c r="R49" s="3170" t="s">
        <v>3427</v>
      </c>
      <c r="S49" s="3170" t="s">
        <v>3427</v>
      </c>
      <c r="T49" s="3170" t="s">
        <v>3427</v>
      </c>
      <c r="U49" s="3170" t="s">
        <v>3427</v>
      </c>
      <c r="V49" s="3170" t="s">
        <v>3427</v>
      </c>
      <c r="W49" s="3170" t="s">
        <v>3427</v>
      </c>
      <c r="X49" s="3170">
        <v>1</v>
      </c>
      <c r="Y49" s="3170">
        <v>119</v>
      </c>
    </row>
    <row r="50" spans="16:25" ht="14.25">
      <c r="Q50" s="3170" t="s">
        <v>4895</v>
      </c>
      <c r="R50" s="3170" t="s">
        <v>3427</v>
      </c>
      <c r="S50" s="3170" t="s">
        <v>3427</v>
      </c>
      <c r="T50" s="3170" t="s">
        <v>3427</v>
      </c>
      <c r="U50" s="3170" t="s">
        <v>3427</v>
      </c>
      <c r="V50" s="3170" t="s">
        <v>3427</v>
      </c>
      <c r="W50" s="3170" t="s">
        <v>3427</v>
      </c>
      <c r="X50" s="3170">
        <v>1</v>
      </c>
      <c r="Y50" s="3170">
        <v>119</v>
      </c>
    </row>
    <row r="51" spans="16:25" ht="14.25">
      <c r="Q51" s="3170" t="s">
        <v>4195</v>
      </c>
      <c r="R51" s="3170" t="s">
        <v>3427</v>
      </c>
      <c r="S51" s="3170" t="s">
        <v>3427</v>
      </c>
      <c r="T51" s="3170" t="s">
        <v>3427</v>
      </c>
      <c r="U51" s="3170" t="s">
        <v>3427</v>
      </c>
      <c r="V51" s="3170" t="s">
        <v>3427</v>
      </c>
      <c r="W51" s="3170" t="s">
        <v>3427</v>
      </c>
      <c r="X51" s="3170">
        <v>1</v>
      </c>
      <c r="Y51" s="3170">
        <v>119</v>
      </c>
    </row>
    <row r="52" spans="16:25" ht="14.25">
      <c r="Q52" s="3170" t="s">
        <v>4162</v>
      </c>
      <c r="R52" s="3170" t="s">
        <v>3427</v>
      </c>
      <c r="S52" s="3170" t="s">
        <v>3427</v>
      </c>
      <c r="T52" s="3170" t="s">
        <v>3427</v>
      </c>
      <c r="U52" s="3170" t="s">
        <v>3427</v>
      </c>
      <c r="V52" s="3170" t="s">
        <v>3427</v>
      </c>
      <c r="W52" s="3170" t="s">
        <v>3427</v>
      </c>
      <c r="X52" s="3170">
        <v>1</v>
      </c>
      <c r="Y52" s="3170">
        <v>119</v>
      </c>
    </row>
    <row r="53" spans="16:25" ht="14.25">
      <c r="Q53" s="3170" t="s">
        <v>4159</v>
      </c>
      <c r="R53" s="3170">
        <v>2</v>
      </c>
      <c r="S53" s="3170">
        <v>144</v>
      </c>
      <c r="T53" s="3170">
        <v>24624</v>
      </c>
      <c r="U53" s="3170">
        <v>354.51</v>
      </c>
      <c r="V53" s="3170" t="s">
        <v>3427</v>
      </c>
      <c r="W53" s="3170" t="s">
        <v>3427</v>
      </c>
      <c r="X53" s="3170">
        <v>1</v>
      </c>
      <c r="Y53" s="3170">
        <v>119</v>
      </c>
    </row>
    <row r="54" spans="16:25" ht="14.25">
      <c r="Q54" s="3170" t="s">
        <v>4200</v>
      </c>
      <c r="R54" s="3170" t="s">
        <v>3427</v>
      </c>
      <c r="S54" s="3170" t="s">
        <v>3427</v>
      </c>
      <c r="T54" s="3170" t="s">
        <v>3427</v>
      </c>
      <c r="U54" s="3170" t="s">
        <v>3427</v>
      </c>
      <c r="V54" s="3170" t="s">
        <v>3427</v>
      </c>
      <c r="W54" s="3170" t="s">
        <v>3427</v>
      </c>
      <c r="X54" s="3170">
        <v>3</v>
      </c>
      <c r="Y54" s="3170">
        <v>263</v>
      </c>
    </row>
    <row r="55" spans="16:25" ht="14.25">
      <c r="Q55" s="3170" t="s">
        <v>4204</v>
      </c>
      <c r="R55" s="3170" t="s">
        <v>3427</v>
      </c>
      <c r="S55" s="3170" t="s">
        <v>3427</v>
      </c>
      <c r="T55" s="3170" t="s">
        <v>3427</v>
      </c>
      <c r="U55" s="3170" t="s">
        <v>3427</v>
      </c>
      <c r="V55" s="3170" t="s">
        <v>3427</v>
      </c>
      <c r="W55" s="3170" t="s">
        <v>3427</v>
      </c>
      <c r="X55" s="3170">
        <v>3</v>
      </c>
      <c r="Y55" s="3170">
        <v>263</v>
      </c>
    </row>
    <row r="56" spans="16:25" ht="14.25">
      <c r="Q56" s="3170" t="s">
        <v>4203</v>
      </c>
      <c r="R56" s="3170" t="s">
        <v>3427</v>
      </c>
      <c r="S56" s="3170" t="s">
        <v>3427</v>
      </c>
      <c r="T56" s="3170" t="s">
        <v>3427</v>
      </c>
      <c r="U56" s="3170" t="s">
        <v>3427</v>
      </c>
      <c r="V56" s="3170" t="s">
        <v>3427</v>
      </c>
      <c r="W56" s="3170" t="s">
        <v>3427</v>
      </c>
      <c r="X56" s="3170">
        <v>3</v>
      </c>
      <c r="Y56" s="3170">
        <v>263</v>
      </c>
    </row>
    <row r="57" spans="16:25" ht="14.25">
      <c r="Q57" s="3170" t="s">
        <v>4884</v>
      </c>
      <c r="R57" s="3170">
        <v>1</v>
      </c>
      <c r="S57" s="3170">
        <v>271</v>
      </c>
      <c r="T57" s="3170">
        <v>24566</v>
      </c>
      <c r="U57" s="3170">
        <v>665.33</v>
      </c>
      <c r="V57" s="3170" t="s">
        <v>3427</v>
      </c>
      <c r="W57" s="3170" t="s">
        <v>3427</v>
      </c>
      <c r="X57" s="3170">
        <v>3</v>
      </c>
      <c r="Y57" s="3170">
        <v>263</v>
      </c>
    </row>
    <row r="58" spans="16:25" ht="14.25">
      <c r="Q58" s="3170" t="s">
        <v>4201</v>
      </c>
      <c r="R58" s="3170">
        <v>2</v>
      </c>
      <c r="S58" s="3170">
        <v>74</v>
      </c>
      <c r="T58" s="3170">
        <v>24660</v>
      </c>
      <c r="U58" s="3170">
        <v>182.44</v>
      </c>
      <c r="V58" s="3170" t="s">
        <v>3427</v>
      </c>
      <c r="W58" s="3170" t="s">
        <v>3427</v>
      </c>
      <c r="X58" s="3170">
        <v>3</v>
      </c>
      <c r="Y58" s="3170">
        <v>263</v>
      </c>
    </row>
    <row r="59" spans="16:25" ht="14.25">
      <c r="Q59" s="3170" t="s">
        <v>4885</v>
      </c>
      <c r="R59" s="3170" t="s">
        <v>3427</v>
      </c>
      <c r="S59" s="3170" t="s">
        <v>3427</v>
      </c>
      <c r="T59" s="3170" t="s">
        <v>3427</v>
      </c>
      <c r="U59" s="3170" t="s">
        <v>3427</v>
      </c>
      <c r="V59" s="3170" t="s">
        <v>3427</v>
      </c>
      <c r="W59" s="3170" t="s">
        <v>3427</v>
      </c>
      <c r="X59" s="3170">
        <v>3</v>
      </c>
      <c r="Y59" s="3170">
        <v>263</v>
      </c>
    </row>
    <row r="60" spans="16:25" ht="14.25">
      <c r="Q60" s="3170" t="s">
        <v>4896</v>
      </c>
      <c r="R60" s="3170">
        <v>1</v>
      </c>
      <c r="S60" s="3170">
        <v>52</v>
      </c>
      <c r="T60" s="3170">
        <v>24667</v>
      </c>
      <c r="U60" s="3170">
        <v>128.94</v>
      </c>
      <c r="V60" s="3170" t="s">
        <v>3427</v>
      </c>
      <c r="W60" s="3170" t="s">
        <v>3427</v>
      </c>
      <c r="X60" s="3170">
        <v>3</v>
      </c>
      <c r="Y60" s="3170">
        <v>263</v>
      </c>
    </row>
    <row r="61" spans="16:25" ht="14.25">
      <c r="P61" s="1405" t="s">
        <v>4909</v>
      </c>
      <c r="Q61" s="3477" t="s">
        <v>4877</v>
      </c>
      <c r="R61" s="3477" t="s">
        <v>3419</v>
      </c>
      <c r="S61" s="3477" t="s">
        <v>3420</v>
      </c>
      <c r="T61" s="3477" t="s">
        <v>4878</v>
      </c>
      <c r="U61" s="3477" t="s">
        <v>4879</v>
      </c>
      <c r="V61" s="3477" t="s">
        <v>4880</v>
      </c>
      <c r="W61" s="3477" t="s">
        <v>4881</v>
      </c>
      <c r="X61" s="3477" t="s">
        <v>4882</v>
      </c>
      <c r="Y61" s="3477" t="s">
        <v>4883</v>
      </c>
    </row>
    <row r="62" spans="16:25" ht="14.25">
      <c r="Q62" s="3170" t="s">
        <v>4871</v>
      </c>
      <c r="R62" s="3170">
        <v>1140</v>
      </c>
      <c r="S62" s="3170">
        <v>35549</v>
      </c>
      <c r="T62" s="3170">
        <v>5097</v>
      </c>
      <c r="U62" s="3170">
        <v>18119.63</v>
      </c>
      <c r="V62" s="3170">
        <v>3223</v>
      </c>
      <c r="W62" s="3170">
        <v>102339</v>
      </c>
      <c r="X62" s="3170">
        <v>83</v>
      </c>
      <c r="Y62" s="3170">
        <v>2049</v>
      </c>
    </row>
    <row r="63" spans="16:25" ht="14.25">
      <c r="Q63" s="3210" t="s">
        <v>3584</v>
      </c>
      <c r="R63" s="3210">
        <v>4</v>
      </c>
      <c r="S63" s="3210">
        <v>120</v>
      </c>
      <c r="T63" s="3210">
        <v>5181</v>
      </c>
      <c r="U63" s="3210">
        <v>61.97</v>
      </c>
      <c r="V63" s="3210" t="s">
        <v>3427</v>
      </c>
      <c r="W63" s="3210" t="s">
        <v>3427</v>
      </c>
      <c r="X63" s="3210">
        <v>83</v>
      </c>
      <c r="Y63" s="3210">
        <v>2049</v>
      </c>
    </row>
    <row r="64" spans="16:25" ht="14.25">
      <c r="Q64" s="3170" t="s">
        <v>3573</v>
      </c>
      <c r="R64" s="3170">
        <v>15</v>
      </c>
      <c r="S64" s="3170">
        <v>467</v>
      </c>
      <c r="T64" s="3170">
        <v>5177</v>
      </c>
      <c r="U64" s="3170">
        <v>241.73</v>
      </c>
      <c r="V64" s="3170" t="s">
        <v>3427</v>
      </c>
      <c r="W64" s="3170" t="s">
        <v>3427</v>
      </c>
      <c r="X64" s="3170">
        <v>83</v>
      </c>
      <c r="Y64" s="3170">
        <v>2049</v>
      </c>
    </row>
    <row r="65" spans="16:25" ht="14.25">
      <c r="Q65" s="3170" t="s">
        <v>4872</v>
      </c>
      <c r="R65" s="3170">
        <v>10</v>
      </c>
      <c r="S65" s="3170">
        <v>294</v>
      </c>
      <c r="T65" s="3170">
        <v>5179</v>
      </c>
      <c r="U65" s="3170">
        <v>152.01</v>
      </c>
      <c r="V65" s="3170" t="s">
        <v>3427</v>
      </c>
      <c r="W65" s="3170" t="s">
        <v>3427</v>
      </c>
      <c r="X65" s="3170">
        <v>86</v>
      </c>
      <c r="Y65" s="3170">
        <v>2143</v>
      </c>
    </row>
    <row r="66" spans="16:25" ht="14.25">
      <c r="Q66" s="3170" t="s">
        <v>3495</v>
      </c>
      <c r="R66" s="3170" t="s">
        <v>3427</v>
      </c>
      <c r="S66" s="3170" t="s">
        <v>3427</v>
      </c>
      <c r="T66" s="3170" t="s">
        <v>3427</v>
      </c>
      <c r="U66" s="3170" t="s">
        <v>3427</v>
      </c>
      <c r="V66" s="3170" t="s">
        <v>3427</v>
      </c>
      <c r="W66" s="3170" t="s">
        <v>3427</v>
      </c>
      <c r="X66" s="3170">
        <v>86</v>
      </c>
      <c r="Y66" s="3170">
        <v>2143</v>
      </c>
    </row>
    <row r="67" spans="16:25" ht="14.25">
      <c r="Q67" s="3170" t="s">
        <v>4873</v>
      </c>
      <c r="R67" s="3170">
        <v>3</v>
      </c>
      <c r="S67" s="3170">
        <v>88</v>
      </c>
      <c r="T67" s="3170">
        <v>5186</v>
      </c>
      <c r="U67" s="3170">
        <v>45.88</v>
      </c>
      <c r="V67" s="3170" t="s">
        <v>3427</v>
      </c>
      <c r="W67" s="3170" t="s">
        <v>3427</v>
      </c>
      <c r="X67" s="3170">
        <v>86</v>
      </c>
      <c r="Y67" s="3170">
        <v>2143</v>
      </c>
    </row>
    <row r="68" spans="16:25" ht="14.25">
      <c r="Q68" s="3170" t="s">
        <v>4874</v>
      </c>
      <c r="R68" s="3170">
        <v>2</v>
      </c>
      <c r="S68" s="3170">
        <v>62</v>
      </c>
      <c r="T68" s="3170">
        <v>5182</v>
      </c>
      <c r="U68" s="3170">
        <v>32.26</v>
      </c>
      <c r="V68" s="3170" t="s">
        <v>3427</v>
      </c>
      <c r="W68" s="3170" t="s">
        <v>3427</v>
      </c>
      <c r="X68" s="3170">
        <v>88</v>
      </c>
      <c r="Y68" s="3170">
        <v>2202</v>
      </c>
    </row>
    <row r="69" spans="16:25" ht="14.25">
      <c r="Q69" s="3170" t="s">
        <v>3489</v>
      </c>
      <c r="R69" s="3170">
        <v>1</v>
      </c>
      <c r="S69" s="3170">
        <v>29</v>
      </c>
      <c r="T69" s="3170">
        <v>5182</v>
      </c>
      <c r="U69" s="3170">
        <v>15.28</v>
      </c>
      <c r="V69" s="3170" t="s">
        <v>3427</v>
      </c>
      <c r="W69" s="3170" t="s">
        <v>3427</v>
      </c>
      <c r="X69" s="3170">
        <v>86</v>
      </c>
      <c r="Y69" s="3170">
        <v>2142</v>
      </c>
    </row>
    <row r="70" spans="16:25" ht="14.25">
      <c r="Q70" s="3170" t="s">
        <v>3493</v>
      </c>
      <c r="R70" s="3170">
        <v>2</v>
      </c>
      <c r="S70" s="3170">
        <v>69</v>
      </c>
      <c r="T70" s="3170">
        <v>5187</v>
      </c>
      <c r="U70" s="3170">
        <v>35.76</v>
      </c>
      <c r="V70" s="3170" t="s">
        <v>3427</v>
      </c>
      <c r="W70" s="3170" t="s">
        <v>3427</v>
      </c>
      <c r="X70" s="3170">
        <v>89</v>
      </c>
      <c r="Y70" s="3170">
        <v>2234</v>
      </c>
    </row>
    <row r="71" spans="16:25" ht="14.25">
      <c r="Q71" s="3170" t="s">
        <v>3581</v>
      </c>
      <c r="R71" s="3170">
        <v>9</v>
      </c>
      <c r="S71" s="3170">
        <v>279</v>
      </c>
      <c r="T71" s="3170">
        <v>5179</v>
      </c>
      <c r="U71" s="3170">
        <v>144.26</v>
      </c>
      <c r="V71" s="3170" t="s">
        <v>3427</v>
      </c>
      <c r="W71" s="3170" t="s">
        <v>3427</v>
      </c>
      <c r="X71" s="3170">
        <v>88</v>
      </c>
      <c r="Y71" s="3170">
        <v>2208</v>
      </c>
    </row>
    <row r="72" spans="16:25" ht="14.25">
      <c r="Q72" s="3170" t="s">
        <v>3578</v>
      </c>
      <c r="R72" s="3170">
        <v>4</v>
      </c>
      <c r="S72" s="3170">
        <v>123</v>
      </c>
      <c r="T72" s="3170">
        <v>5177</v>
      </c>
      <c r="U72" s="3170">
        <v>63.61</v>
      </c>
      <c r="V72" s="3170" t="s">
        <v>3427</v>
      </c>
      <c r="W72" s="3170" t="s">
        <v>3427</v>
      </c>
      <c r="X72" s="3170">
        <v>90</v>
      </c>
      <c r="Y72" s="3170">
        <v>2263</v>
      </c>
    </row>
    <row r="73" spans="16:25" ht="14.25">
      <c r="Q73" s="3170" t="s">
        <v>4875</v>
      </c>
      <c r="R73" s="3170">
        <v>1</v>
      </c>
      <c r="S73" s="3170">
        <v>31</v>
      </c>
      <c r="T73" s="3170">
        <v>5169</v>
      </c>
      <c r="U73" s="3170">
        <v>16.09</v>
      </c>
      <c r="V73" s="3170" t="s">
        <v>3427</v>
      </c>
      <c r="W73" s="3170" t="s">
        <v>3427</v>
      </c>
      <c r="X73" s="3170">
        <v>88</v>
      </c>
      <c r="Y73" s="3170">
        <v>2200</v>
      </c>
    </row>
    <row r="74" spans="16:25" ht="14.25">
      <c r="Q74" s="3170" t="s">
        <v>4078</v>
      </c>
      <c r="R74" s="3170">
        <v>1</v>
      </c>
      <c r="S74" s="3170">
        <v>29</v>
      </c>
      <c r="T74" s="3170">
        <v>5182</v>
      </c>
      <c r="U74" s="3170">
        <v>15.28</v>
      </c>
      <c r="V74" s="3170" t="s">
        <v>3427</v>
      </c>
      <c r="W74" s="3170" t="s">
        <v>3427</v>
      </c>
      <c r="X74" s="3170">
        <v>165</v>
      </c>
      <c r="Y74" s="3170">
        <v>3898</v>
      </c>
    </row>
    <row r="75" spans="16:25" ht="14.25">
      <c r="Q75" s="3170" t="s">
        <v>3849</v>
      </c>
      <c r="R75" s="3170">
        <v>2</v>
      </c>
      <c r="S75" s="3170">
        <v>65</v>
      </c>
      <c r="T75" s="3170">
        <v>5189</v>
      </c>
      <c r="U75" s="3170">
        <v>33.71</v>
      </c>
      <c r="V75" s="3170" t="s">
        <v>3427</v>
      </c>
      <c r="W75" s="3170" t="s">
        <v>3427</v>
      </c>
      <c r="X75" s="3170">
        <v>182</v>
      </c>
      <c r="Y75" s="3170">
        <v>4408</v>
      </c>
    </row>
    <row r="76" spans="16:25" ht="14.25">
      <c r="Q76" s="3170" t="s">
        <v>3781</v>
      </c>
      <c r="R76" s="3170">
        <v>3</v>
      </c>
      <c r="S76" s="3170">
        <v>91</v>
      </c>
      <c r="T76" s="3170">
        <v>5184</v>
      </c>
      <c r="U76" s="3170">
        <v>47.41</v>
      </c>
      <c r="V76" s="3170">
        <v>147</v>
      </c>
      <c r="W76" s="3170">
        <v>3324</v>
      </c>
      <c r="X76" s="3170">
        <v>40</v>
      </c>
      <c r="Y76" s="3170">
        <v>1242</v>
      </c>
    </row>
    <row r="77" spans="16:25" ht="14.25">
      <c r="P77" s="1405" t="s">
        <v>4910</v>
      </c>
      <c r="Q77" s="3477" t="s">
        <v>4877</v>
      </c>
      <c r="R77" s="3477" t="s">
        <v>3419</v>
      </c>
      <c r="S77" s="3477" t="s">
        <v>3420</v>
      </c>
      <c r="T77" s="3477" t="s">
        <v>4878</v>
      </c>
      <c r="U77" s="3477" t="s">
        <v>4879</v>
      </c>
      <c r="V77" s="3477" t="s">
        <v>4880</v>
      </c>
      <c r="W77" s="3477" t="s">
        <v>4881</v>
      </c>
      <c r="X77" s="3477" t="s">
        <v>4882</v>
      </c>
      <c r="Y77" s="3477" t="s">
        <v>4883</v>
      </c>
    </row>
    <row r="78" spans="16:25" ht="14.25">
      <c r="Q78" s="3170" t="s">
        <v>4871</v>
      </c>
      <c r="R78" s="3170">
        <v>811</v>
      </c>
      <c r="S78" s="3170">
        <v>32466</v>
      </c>
      <c r="T78" s="3170">
        <v>12761</v>
      </c>
      <c r="U78" s="3170">
        <v>41428.5</v>
      </c>
      <c r="V78" s="3170">
        <v>1776</v>
      </c>
      <c r="W78" s="3170">
        <v>71524</v>
      </c>
      <c r="X78" s="3170">
        <v>1</v>
      </c>
      <c r="Y78" s="3170">
        <v>54</v>
      </c>
    </row>
    <row r="79" spans="16:25" ht="14.25">
      <c r="Q79" s="3208" t="s">
        <v>3581</v>
      </c>
      <c r="R79" s="3208">
        <v>1</v>
      </c>
      <c r="S79" s="3208">
        <v>38</v>
      </c>
      <c r="T79" s="3208">
        <v>8401</v>
      </c>
      <c r="U79" s="3208">
        <v>31.99</v>
      </c>
      <c r="V79" s="3208" t="s">
        <v>3427</v>
      </c>
      <c r="W79" s="3208" t="s">
        <v>3427</v>
      </c>
      <c r="X79" s="3208">
        <v>10</v>
      </c>
      <c r="Y79" s="3208">
        <v>428</v>
      </c>
    </row>
    <row r="80" spans="16:25" ht="14.25">
      <c r="Q80" s="3170" t="s">
        <v>3578</v>
      </c>
      <c r="R80" s="3170" t="s">
        <v>3427</v>
      </c>
      <c r="S80" s="3170" t="s">
        <v>3427</v>
      </c>
      <c r="T80" s="3170" t="s">
        <v>3427</v>
      </c>
      <c r="U80" s="3170" t="s">
        <v>3427</v>
      </c>
      <c r="V80" s="3170" t="s">
        <v>3427</v>
      </c>
      <c r="W80" s="3170" t="s">
        <v>3427</v>
      </c>
      <c r="X80" s="3170">
        <v>4</v>
      </c>
      <c r="Y80" s="3170">
        <v>177</v>
      </c>
    </row>
    <row r="81" spans="17:25" ht="14.25">
      <c r="Q81" s="3170" t="s">
        <v>4875</v>
      </c>
      <c r="R81" s="3170" t="s">
        <v>3427</v>
      </c>
      <c r="S81" s="3170" t="s">
        <v>3427</v>
      </c>
      <c r="T81" s="3170" t="s">
        <v>3427</v>
      </c>
      <c r="U81" s="3170" t="s">
        <v>3427</v>
      </c>
      <c r="V81" s="3170" t="s">
        <v>3427</v>
      </c>
      <c r="W81" s="3170" t="s">
        <v>3427</v>
      </c>
      <c r="X81" s="3170">
        <v>1</v>
      </c>
      <c r="Y81" s="3170">
        <v>54</v>
      </c>
    </row>
    <row r="82" spans="17:25" ht="14.25">
      <c r="Q82" s="3170" t="s">
        <v>4078</v>
      </c>
      <c r="R82" s="3170">
        <v>2</v>
      </c>
      <c r="S82" s="3170">
        <v>76</v>
      </c>
      <c r="T82" s="3170">
        <v>8546</v>
      </c>
      <c r="U82" s="3170">
        <v>65.040000000000006</v>
      </c>
      <c r="V82" s="3170" t="s">
        <v>3427</v>
      </c>
      <c r="W82" s="3170" t="s">
        <v>3427</v>
      </c>
      <c r="X82" s="3170">
        <v>1</v>
      </c>
      <c r="Y82" s="3170">
        <v>54</v>
      </c>
    </row>
    <row r="83" spans="17:25" ht="14.25">
      <c r="Q83" s="3170" t="s">
        <v>3849</v>
      </c>
      <c r="R83" s="3170">
        <v>3</v>
      </c>
      <c r="S83" s="3170">
        <v>114</v>
      </c>
      <c r="T83" s="3170">
        <v>8467</v>
      </c>
      <c r="U83" s="3170">
        <v>96.73</v>
      </c>
      <c r="V83" s="3170" t="s">
        <v>3427</v>
      </c>
      <c r="W83" s="3170" t="s">
        <v>3427</v>
      </c>
      <c r="X83" s="3170">
        <v>1</v>
      </c>
      <c r="Y83" s="3170">
        <v>54</v>
      </c>
    </row>
    <row r="84" spans="17:25" ht="14.25">
      <c r="Q84" s="3170" t="s">
        <v>3781</v>
      </c>
      <c r="R84" s="3170">
        <v>3</v>
      </c>
      <c r="S84" s="3170">
        <v>150</v>
      </c>
      <c r="T84" s="3170">
        <v>8335</v>
      </c>
      <c r="U84" s="3170">
        <v>124.75</v>
      </c>
      <c r="V84" s="3170" t="s">
        <v>3427</v>
      </c>
      <c r="W84" s="3170" t="s">
        <v>3427</v>
      </c>
      <c r="X84" s="3170">
        <v>7</v>
      </c>
      <c r="Y84" s="3170">
        <v>306</v>
      </c>
    </row>
    <row r="85" spans="17:25" ht="14.25">
      <c r="Q85" s="3170" t="s">
        <v>4895</v>
      </c>
      <c r="R85" s="3170">
        <v>10</v>
      </c>
      <c r="S85" s="3170">
        <v>386</v>
      </c>
      <c r="T85" s="3170">
        <v>8391</v>
      </c>
      <c r="U85" s="3170">
        <v>324.27999999999997</v>
      </c>
      <c r="V85" s="3170" t="s">
        <v>3427</v>
      </c>
      <c r="W85" s="3170" t="s">
        <v>3427</v>
      </c>
      <c r="X85" s="3170">
        <v>9</v>
      </c>
      <c r="Y85" s="3170">
        <v>416</v>
      </c>
    </row>
    <row r="86" spans="17:25" ht="14.25">
      <c r="Q86" s="3170"/>
      <c r="R86" s="3170"/>
      <c r="S86" s="3170"/>
      <c r="T86" s="3170"/>
      <c r="U86" s="3170"/>
      <c r="V86" s="3170"/>
      <c r="W86" s="3170"/>
      <c r="X86" s="3170"/>
      <c r="Y86" s="3170"/>
    </row>
    <row r="94" spans="17:25" ht="14.25">
      <c r="Q94" s="3170"/>
      <c r="R94" s="3170"/>
      <c r="S94" s="3170"/>
      <c r="T94" s="3170"/>
      <c r="U94" s="3170"/>
      <c r="V94" s="3170"/>
      <c r="W94" s="3170"/>
      <c r="X94" s="3170"/>
      <c r="Y94" s="3170"/>
    </row>
  </sheetData>
  <mergeCells count="127">
    <mergeCell ref="V77"/>
    <mergeCell ref="W77"/>
    <mergeCell ref="X77"/>
    <mergeCell ref="Y77"/>
    <mergeCell ref="Q77"/>
    <mergeCell ref="R77"/>
    <mergeCell ref="S77"/>
    <mergeCell ref="T77"/>
    <mergeCell ref="U77"/>
    <mergeCell ref="V61"/>
    <mergeCell ref="W61"/>
    <mergeCell ref="X61"/>
    <mergeCell ref="Y61"/>
    <mergeCell ref="Q61"/>
    <mergeCell ref="R61"/>
    <mergeCell ref="S61"/>
    <mergeCell ref="T61"/>
    <mergeCell ref="U61"/>
    <mergeCell ref="V40"/>
    <mergeCell ref="W40"/>
    <mergeCell ref="X40"/>
    <mergeCell ref="Y40"/>
    <mergeCell ref="Q40"/>
    <mergeCell ref="R40"/>
    <mergeCell ref="S40"/>
    <mergeCell ref="T40"/>
    <mergeCell ref="U40"/>
    <mergeCell ref="V34"/>
    <mergeCell ref="W34"/>
    <mergeCell ref="X34"/>
    <mergeCell ref="Y34"/>
    <mergeCell ref="Q34"/>
    <mergeCell ref="R34"/>
    <mergeCell ref="S34"/>
    <mergeCell ref="T34"/>
    <mergeCell ref="U34"/>
    <mergeCell ref="V26"/>
    <mergeCell ref="W26"/>
    <mergeCell ref="X26"/>
    <mergeCell ref="Y26"/>
    <mergeCell ref="Q26"/>
    <mergeCell ref="R26"/>
    <mergeCell ref="S26"/>
    <mergeCell ref="T26"/>
    <mergeCell ref="U26"/>
    <mergeCell ref="V23"/>
    <mergeCell ref="W23"/>
    <mergeCell ref="X23"/>
    <mergeCell ref="Y23"/>
    <mergeCell ref="Q23"/>
    <mergeCell ref="R23"/>
    <mergeCell ref="S23"/>
    <mergeCell ref="T23"/>
    <mergeCell ref="U23"/>
    <mergeCell ref="V15"/>
    <mergeCell ref="W15"/>
    <mergeCell ref="X15"/>
    <mergeCell ref="Y15"/>
    <mergeCell ref="Q15"/>
    <mergeCell ref="R15"/>
    <mergeCell ref="S15"/>
    <mergeCell ref="T15"/>
    <mergeCell ref="U15"/>
    <mergeCell ref="V1"/>
    <mergeCell ref="W1"/>
    <mergeCell ref="X1"/>
    <mergeCell ref="Y1"/>
    <mergeCell ref="Q1"/>
    <mergeCell ref="R1"/>
    <mergeCell ref="S1"/>
    <mergeCell ref="T1"/>
    <mergeCell ref="U1"/>
    <mergeCell ref="I43"/>
    <mergeCell ref="J43"/>
    <mergeCell ref="K43"/>
    <mergeCell ref="L43"/>
    <mergeCell ref="D43"/>
    <mergeCell ref="E43"/>
    <mergeCell ref="F43"/>
    <mergeCell ref="G43"/>
    <mergeCell ref="H43"/>
    <mergeCell ref="I39"/>
    <mergeCell ref="J39"/>
    <mergeCell ref="K39"/>
    <mergeCell ref="L39"/>
    <mergeCell ref="D39"/>
    <mergeCell ref="E39"/>
    <mergeCell ref="F39"/>
    <mergeCell ref="G39"/>
    <mergeCell ref="H39"/>
    <mergeCell ref="D35"/>
    <mergeCell ref="I28"/>
    <mergeCell ref="J28"/>
    <mergeCell ref="K28"/>
    <mergeCell ref="L28"/>
    <mergeCell ref="D28"/>
    <mergeCell ref="E28"/>
    <mergeCell ref="F28"/>
    <mergeCell ref="G28"/>
    <mergeCell ref="H28"/>
    <mergeCell ref="I22"/>
    <mergeCell ref="J22"/>
    <mergeCell ref="K22"/>
    <mergeCell ref="L22"/>
    <mergeCell ref="D22"/>
    <mergeCell ref="E22"/>
    <mergeCell ref="F22"/>
    <mergeCell ref="G22"/>
    <mergeCell ref="H22"/>
    <mergeCell ref="I6"/>
    <mergeCell ref="J6"/>
    <mergeCell ref="K6"/>
    <mergeCell ref="L6"/>
    <mergeCell ref="D6"/>
    <mergeCell ref="E6"/>
    <mergeCell ref="F6"/>
    <mergeCell ref="G6"/>
    <mergeCell ref="H6"/>
    <mergeCell ref="I1"/>
    <mergeCell ref="J1"/>
    <mergeCell ref="K1"/>
    <mergeCell ref="L1"/>
    <mergeCell ref="D1"/>
    <mergeCell ref="E1"/>
    <mergeCell ref="F1"/>
    <mergeCell ref="G1"/>
    <mergeCell ref="H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4766</v>
      </c>
      <c r="D4" s="1626" t="s">
        <v>4917</v>
      </c>
      <c r="E4" s="3387" t="s">
        <v>1265</v>
      </c>
      <c r="F4" s="3388"/>
      <c r="G4" s="3388"/>
      <c r="H4" s="3388"/>
      <c r="I4" s="3389"/>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1675.18</v>
      </c>
      <c r="D19" s="127">
        <f ca="1">SUMIF(INDIRECT("'"&amp;D4&amp;"'"&amp;"!A:A"),'结果表-办公'!B19,INDIRECT("'"&amp;D4&amp;"'"&amp;"!B:B"))</f>
        <v>2246.7519000000002</v>
      </c>
      <c r="E19" s="1630" t="s">
        <v>1290</v>
      </c>
      <c r="F19" s="1631" t="s">
        <v>1289</v>
      </c>
      <c r="G19" s="128">
        <f ca="1">ROUND(C19*$C$18+D19*$D$18,0)</f>
        <v>1904</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5434</v>
      </c>
      <c r="D20" s="130">
        <f ca="1">SUMIF(INDIRECT("'"&amp;D4&amp;"'"&amp;"!A:A"),'结果表-办公'!B20,INDIRECT("'"&amp;D4&amp;"'"&amp;"!B:B"))</f>
        <v>7288</v>
      </c>
      <c r="E20" s="1633"/>
      <c r="F20" s="43" t="s">
        <v>1293</v>
      </c>
      <c r="G20" s="131">
        <f ca="1">ROUND(C20*$C$18+D20*$D$18,0)</f>
        <v>6176</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0.34120028892417542</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6176</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IF(AND(J55="",J56=""),4,IF(项目基本情况!K6="上海银行",'结果表-办公'!J56+1,'结果表-办公'!J55+1))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(元)-办公</v>
      </c>
      <c r="D101" s="2372" t="str">
        <f>D4</f>
        <v>比较法-办公</v>
      </c>
      <c r="E101" s="3318" t="s">
        <v>1429</v>
      </c>
      <c r="F101" s="3319"/>
      <c r="G101" s="1687" t="s">
        <v>1430</v>
      </c>
      <c r="H101" s="2381" t="e">
        <f ca="1">H118</f>
        <v>#REF!</v>
      </c>
      <c r="I101" s="121"/>
    </row>
    <row r="102" spans="1:35" ht="18.75" customHeight="1">
      <c r="A102" s="3350" t="s">
        <v>1431</v>
      </c>
      <c r="B102" s="2370" t="s">
        <v>1430</v>
      </c>
      <c r="C102" s="2371">
        <f ca="1">IF(D32="楼面单价",ROUND(C19,0),C19)</f>
        <v>1675.18</v>
      </c>
      <c r="D102" s="2372">
        <f ca="1">IF(D32="楼面单价",ROUND(D19,0),D19)</f>
        <v>2246.7519000000002</v>
      </c>
      <c r="E102" s="3318"/>
      <c r="F102" s="3319"/>
      <c r="G102" s="1687" t="s">
        <v>1432</v>
      </c>
      <c r="H102" s="2341" t="e">
        <f ca="1">I118</f>
        <v>#REF!</v>
      </c>
      <c r="I102" s="121"/>
    </row>
    <row r="103" spans="1:35" ht="42.75" customHeight="1">
      <c r="A103" s="3350"/>
      <c r="B103" s="2370" t="s">
        <v>1432</v>
      </c>
      <c r="C103" s="2373">
        <f ca="1">C20</f>
        <v>5434</v>
      </c>
      <c r="D103" s="2374">
        <f ca="1">D20</f>
        <v>7288</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1675.18</v>
      </c>
      <c r="C2" s="1289" t="s">
        <v>804</v>
      </c>
      <c r="D2" s="1375">
        <f ca="1">C40+J29+L46</f>
        <v>16751800</v>
      </c>
      <c r="E2" s="1295" t="s">
        <v>879</v>
      </c>
      <c r="F2" s="1296"/>
      <c r="G2" s="2479"/>
      <c r="H2" s="2469"/>
      <c r="I2" s="2469"/>
      <c r="J2" s="2469"/>
      <c r="K2" s="2470"/>
      <c r="L2" s="2469"/>
      <c r="M2" s="2469"/>
    </row>
    <row r="3" spans="1:37" ht="18" customHeight="1" thickBot="1">
      <c r="A3" s="1297" t="s">
        <v>805</v>
      </c>
      <c r="B3" s="1298">
        <f ca="1">IF(ISERROR(D2/F43),0,ROUND(D2/F43,0))</f>
        <v>5434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1316514</v>
      </c>
      <c r="D6" s="147" t="s">
        <v>2104</v>
      </c>
      <c r="E6" s="294" t="s">
        <v>695</v>
      </c>
      <c r="F6" s="295">
        <f ca="1">INDIRECT("'数据-取费表'!u"&amp;$G$1)</f>
        <v>1.3</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3082.8099999999981</v>
      </c>
      <c r="G7" s="1292"/>
      <c r="H7" s="296"/>
      <c r="I7" s="3411"/>
      <c r="J7" s="298"/>
      <c r="K7" s="299"/>
      <c r="L7" s="294" t="s">
        <v>696</v>
      </c>
      <c r="M7" s="295">
        <f ca="1">F7</f>
        <v>3082.8099999999981</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0.1</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11336082</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9248430</v>
      </c>
      <c r="D14" s="1257" t="s">
        <v>707</v>
      </c>
      <c r="E14" s="1255"/>
      <c r="F14" s="311"/>
      <c r="G14" s="1292"/>
      <c r="H14" s="928" t="s">
        <v>398</v>
      </c>
      <c r="I14" s="294" t="s">
        <v>708</v>
      </c>
      <c r="J14" s="21">
        <f ca="1">C29</f>
        <v>13336567</v>
      </c>
      <c r="K14" s="12"/>
      <c r="L14" s="759"/>
      <c r="M14" s="760"/>
    </row>
    <row r="15" spans="1:37" s="1304" customFormat="1" ht="18" customHeight="1" thickBot="1">
      <c r="A15" s="928" t="s">
        <v>399</v>
      </c>
      <c r="B15" s="294" t="s">
        <v>709</v>
      </c>
      <c r="C15" s="21">
        <f ca="1">ROUND(C14*F15,0)</f>
        <v>462422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26673</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184969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10654192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106542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26673</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336811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-26673</v>
      </c>
      <c r="K25" s="1032" t="s">
        <v>752</v>
      </c>
      <c r="L25" s="1033"/>
      <c r="M25" s="1034"/>
    </row>
    <row r="26" spans="1:37" ht="18" customHeight="1">
      <c r="A26" s="928" t="s">
        <v>397</v>
      </c>
      <c r="B26" s="294" t="s">
        <v>753</v>
      </c>
      <c r="C26" s="21">
        <f ca="1">ROUND((C19+C20)*F26,0)</f>
        <v>1076073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13336567</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271864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26673</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11336</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1046296</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16181741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5249</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570059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16181741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570059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13336567</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6684062</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16751800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11336082</v>
      </c>
      <c r="D56" s="1352"/>
      <c r="E56" s="1353"/>
      <c r="F56" s="1345"/>
      <c r="I56" s="1354" t="s">
        <v>841</v>
      </c>
      <c r="J56" s="1355" t="s">
        <v>4789</v>
      </c>
      <c r="K56" s="1328" t="s">
        <v>842</v>
      </c>
      <c r="L56" s="1331" t="str">
        <f ca="1">IF(L48&lt;J51,"——",L48-J51)</f>
        <v>——</v>
      </c>
      <c r="O56" s="1325" t="s">
        <v>403</v>
      </c>
      <c r="P56" s="1326" t="s">
        <v>816</v>
      </c>
      <c r="Q56" s="1327">
        <f ca="1">C40+J29</f>
        <v>16181741</v>
      </c>
      <c r="R56" s="1327" t="s">
        <v>817</v>
      </c>
    </row>
    <row r="57" spans="1:18" s="1292" customFormat="1" ht="24.75" thickBot="1">
      <c r="A57" s="1356"/>
      <c r="B57" s="896" t="s">
        <v>766</v>
      </c>
      <c r="C57" s="230">
        <f ca="1">C29</f>
        <v>13336567</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38009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5334627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570059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16181741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26673</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11336</v>
      </c>
      <c r="D65" s="910" t="s">
        <v>742</v>
      </c>
      <c r="E65" s="896" t="s">
        <v>711</v>
      </c>
      <c r="F65" s="321">
        <f t="shared" ca="1" si="0"/>
        <v>1E-3</v>
      </c>
      <c r="I65" s="1367" t="s">
        <v>866</v>
      </c>
      <c r="J65" s="610">
        <v>40</v>
      </c>
      <c r="K65" s="610">
        <v>30</v>
      </c>
      <c r="L65" s="610">
        <v>50</v>
      </c>
      <c r="M65" s="1369">
        <v>0.02</v>
      </c>
      <c r="O65" s="1325" t="s">
        <v>403</v>
      </c>
      <c r="P65" s="1326" t="s">
        <v>816</v>
      </c>
      <c r="Q65" s="1327">
        <f ca="1">C40+J29</f>
        <v>16181741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-38009</v>
      </c>
      <c r="D67" s="909" t="s">
        <v>752</v>
      </c>
      <c r="E67" s="914"/>
      <c r="F67" s="915"/>
      <c r="O67" s="1334" t="s">
        <v>405</v>
      </c>
      <c r="P67" s="1326" t="s">
        <v>849</v>
      </c>
      <c r="Q67" s="1370">
        <f ca="1">L51</f>
        <v>6684062</v>
      </c>
      <c r="R67" s="1327" t="s">
        <v>869</v>
      </c>
    </row>
    <row r="68" spans="1:18" s="1292" customFormat="1" ht="16.5" thickBot="1">
      <c r="A68" s="893" t="s">
        <v>395</v>
      </c>
      <c r="B68" s="894" t="s">
        <v>773</v>
      </c>
      <c r="C68" s="293">
        <f ca="1">ROUND(C67*(1-((1+F70)/(1+F68))^F69)/(F68-F70),0)</f>
        <v>-587837</v>
      </c>
      <c r="D68" s="911" t="s">
        <v>757</v>
      </c>
      <c r="E68" s="896" t="s">
        <v>758</v>
      </c>
      <c r="F68" s="304">
        <f ca="1">F40</f>
        <v>5.5E-2</v>
      </c>
      <c r="O68" s="1334" t="s">
        <v>406</v>
      </c>
      <c r="P68" s="1371" t="s">
        <v>870</v>
      </c>
      <c r="Q68" s="1327">
        <f ca="1">ROUND(Q69-Q70*Q71,0)</f>
        <v>366131</v>
      </c>
      <c r="R68" s="1327" t="s">
        <v>414</v>
      </c>
    </row>
    <row r="69" spans="1:18" s="1292" customFormat="1" ht="13.5" thickBot="1">
      <c r="A69" s="897"/>
      <c r="B69" s="898"/>
      <c r="C69" s="298"/>
      <c r="D69" s="916" t="s">
        <v>761</v>
      </c>
      <c r="E69" s="896" t="s">
        <v>762</v>
      </c>
      <c r="F69" s="324">
        <f ca="1">F41</f>
        <v>35.51</v>
      </c>
      <c r="O69" s="1334" t="s">
        <v>411</v>
      </c>
      <c r="P69" s="1371" t="s">
        <v>871</v>
      </c>
      <c r="Q69" s="1327">
        <f ca="1">C39</f>
        <v>1046296</v>
      </c>
      <c r="R69" s="1327" t="s">
        <v>817</v>
      </c>
    </row>
    <row r="70" spans="1:18" s="1292" customFormat="1" ht="13.5" thickBot="1">
      <c r="A70" s="900"/>
      <c r="B70" s="901"/>
      <c r="C70" s="302"/>
      <c r="D70" s="912"/>
      <c r="E70" s="896" t="s">
        <v>765</v>
      </c>
      <c r="F70" s="991"/>
      <c r="O70" s="1334" t="s">
        <v>412</v>
      </c>
      <c r="P70" s="1371" t="s">
        <v>872</v>
      </c>
      <c r="Q70" s="1327">
        <f ca="1">C13</f>
        <v>11336082</v>
      </c>
      <c r="R70" s="1327" t="s">
        <v>817</v>
      </c>
    </row>
    <row r="71" spans="1:18" s="1292" customFormat="1" ht="13.5" thickBot="1">
      <c r="A71" s="917" t="s">
        <v>396</v>
      </c>
      <c r="B71" s="918" t="s">
        <v>775</v>
      </c>
      <c r="C71" s="327">
        <f ca="1">ROUND(C68/F71,0)</f>
        <v>-191</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680165</v>
      </c>
      <c r="D75" s="1292"/>
      <c r="E75" s="1292"/>
      <c r="F75" s="1292"/>
      <c r="K75" s="1309"/>
      <c r="L75" s="1292"/>
      <c r="O75" s="1325" t="s">
        <v>409</v>
      </c>
      <c r="P75" s="1326" t="s">
        <v>837</v>
      </c>
      <c r="Q75" s="1327">
        <f ca="1">Q65+Q66</f>
        <v>16181741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0.35</v>
      </c>
    </row>
    <row r="80" spans="1:18">
      <c r="B80" s="331" t="s">
        <v>799</v>
      </c>
      <c r="C80" s="266">
        <f ca="1">ROUND(C75/C39,3)</f>
        <v>0.65</v>
      </c>
    </row>
    <row r="81" spans="2:3">
      <c r="B81" s="262" t="s">
        <v>800</v>
      </c>
      <c r="C81" s="230"/>
    </row>
    <row r="82" spans="2:3">
      <c r="B82" s="265" t="s">
        <v>801</v>
      </c>
      <c r="C82" s="267">
        <f ca="1">1-C83</f>
        <v>0.29900000000000004</v>
      </c>
    </row>
    <row r="83" spans="2:3">
      <c r="B83" s="265" t="s">
        <v>802</v>
      </c>
      <c r="C83" s="266">
        <f ca="1">ROUND(C13/C40,3)</f>
        <v>0.70099999999999996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115" zoomScaleNormal="70" zoomScaleSheetLayoutView="115" workbookViewId="0">
      <selection activeCell="E38" sqref="E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2246.7519000000002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7288</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85" t="s">
        <v>1773</v>
      </c>
      <c r="Q4" s="3486"/>
      <c r="R4" s="3479" t="s">
        <v>1769</v>
      </c>
      <c r="S4" s="3480"/>
      <c r="T4" s="3479" t="s">
        <v>1770</v>
      </c>
      <c r="U4" s="3480"/>
      <c r="V4" s="3489" t="s">
        <v>1771</v>
      </c>
      <c r="W4" s="3489"/>
      <c r="X4" s="1809"/>
      <c r="Y4" s="3479" t="s">
        <v>1773</v>
      </c>
      <c r="Z4" s="3480"/>
      <c r="AA4" s="3478" t="s">
        <v>1769</v>
      </c>
      <c r="AB4" s="3478" t="s">
        <v>1770</v>
      </c>
      <c r="AC4" s="3482" t="s">
        <v>1771</v>
      </c>
    </row>
    <row r="5" spans="1:29" ht="15">
      <c r="A5" s="348"/>
      <c r="B5" s="349"/>
      <c r="C5" s="3444" t="s">
        <v>1671</v>
      </c>
      <c r="D5" s="3445"/>
      <c r="E5" s="3442" t="str">
        <f>市场售价案例!$C$39</f>
        <v>泉星小区办公</v>
      </c>
      <c r="F5" s="3443"/>
      <c r="G5" s="3444" t="str">
        <f>市场售价案例!$P$77</f>
        <v>世茂天城办公</v>
      </c>
      <c r="H5" s="3445"/>
      <c r="I5" s="3481" t="s">
        <v>4918</v>
      </c>
      <c r="J5" s="3445"/>
      <c r="K5" s="537"/>
      <c r="L5" s="2487"/>
      <c r="M5" s="2488"/>
      <c r="N5" s="2488"/>
      <c r="O5" s="2488"/>
      <c r="P5" s="3487"/>
      <c r="Q5" s="3458"/>
      <c r="R5" s="3440"/>
      <c r="S5" s="3441"/>
      <c r="T5" s="3440"/>
      <c r="U5" s="3441"/>
      <c r="V5" s="3435"/>
      <c r="W5" s="3435"/>
      <c r="X5" s="1265"/>
      <c r="Y5" s="3440"/>
      <c r="Z5" s="3441"/>
      <c r="AA5" s="3433"/>
      <c r="AB5" s="3433"/>
      <c r="AC5" s="348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88"/>
      <c r="Q6" s="3460"/>
      <c r="R6" s="3440"/>
      <c r="S6" s="3441"/>
      <c r="T6" s="3461"/>
      <c r="U6" s="3462"/>
      <c r="V6" s="3435"/>
      <c r="W6" s="3435"/>
      <c r="X6" s="1265"/>
      <c r="Y6" s="3461"/>
      <c r="Z6" s="3462"/>
      <c r="AA6" s="3434"/>
      <c r="AB6" s="3434"/>
      <c r="AC6" s="3484"/>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490" t="s">
        <v>1678</v>
      </c>
      <c r="Q7" s="3463"/>
      <c r="R7" s="664" t="s">
        <v>14</v>
      </c>
      <c r="S7" s="665">
        <f t="shared" ref="S7:S15" si="0">F7</f>
        <v>101</v>
      </c>
      <c r="T7" s="664" t="s">
        <v>14</v>
      </c>
      <c r="U7" s="665">
        <f t="shared" ref="U7:U15" si="1">H7</f>
        <v>100</v>
      </c>
      <c r="V7" s="664" t="s">
        <v>14</v>
      </c>
      <c r="W7" s="665">
        <f t="shared" ref="W7:W15" si="2">J7</f>
        <v>101</v>
      </c>
      <c r="X7" s="666"/>
      <c r="Y7" s="3436" t="s">
        <v>1678</v>
      </c>
      <c r="Z7" s="3437"/>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0" t="s">
        <v>1681</v>
      </c>
      <c r="Q8" s="3437"/>
      <c r="R8" s="664" t="s">
        <v>14</v>
      </c>
      <c r="S8" s="665">
        <f t="shared" si="0"/>
        <v>100</v>
      </c>
      <c r="T8" s="664" t="s">
        <v>14</v>
      </c>
      <c r="U8" s="665">
        <f t="shared" si="1"/>
        <v>100</v>
      </c>
      <c r="V8" s="664" t="s">
        <v>14</v>
      </c>
      <c r="W8" s="665">
        <f t="shared" si="2"/>
        <v>100</v>
      </c>
      <c r="X8" s="666"/>
      <c r="Y8" s="3436" t="s">
        <v>1681</v>
      </c>
      <c r="Z8" s="343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102</v>
      </c>
      <c r="I10" s="3133" t="s">
        <v>4934</v>
      </c>
      <c r="J10" s="119">
        <f>SUMIF(66:66,I10,67:67)-SUMIF(66:66,C10,67:67)+100</f>
        <v>100</v>
      </c>
      <c r="K10" s="38"/>
      <c r="L10" s="2490"/>
      <c r="M10" s="2491"/>
      <c r="N10" s="2491"/>
      <c r="O10" s="2491"/>
      <c r="P10" s="3450"/>
      <c r="Q10" s="530" t="str">
        <f t="shared" si="6"/>
        <v>土地使用年限（年）</v>
      </c>
      <c r="R10" s="664" t="s">
        <v>14</v>
      </c>
      <c r="S10" s="665">
        <f t="shared" si="0"/>
        <v>100</v>
      </c>
      <c r="T10" s="664" t="s">
        <v>14</v>
      </c>
      <c r="U10" s="665">
        <f t="shared" si="1"/>
        <v>102</v>
      </c>
      <c r="V10" s="664" t="s">
        <v>14</v>
      </c>
      <c r="W10" s="665">
        <f t="shared" si="2"/>
        <v>100</v>
      </c>
      <c r="X10" s="666"/>
      <c r="Y10" s="3381"/>
      <c r="Z10" s="50" t="str">
        <f t="shared" si="7"/>
        <v>土地使用年限（年）</v>
      </c>
      <c r="AA10" s="50">
        <f t="shared" si="3"/>
        <v>1</v>
      </c>
      <c r="AB10" s="50">
        <f t="shared" si="4"/>
        <v>0.98039215686274506</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102</v>
      </c>
      <c r="I15" s="381"/>
      <c r="J15" s="380">
        <f>SUMIF(77:77,I16,78:78)-SUMIF(77:77,C16,78:78)+100</f>
        <v>100</v>
      </c>
      <c r="K15" s="540">
        <v>2</v>
      </c>
      <c r="L15" s="2493"/>
      <c r="M15" s="2488"/>
      <c r="N15" s="2488"/>
      <c r="O15" s="2488"/>
      <c r="P15" s="3464" t="s">
        <v>1689</v>
      </c>
      <c r="Q15" s="1263" t="str">
        <f t="shared" si="6"/>
        <v>办公集聚程度</v>
      </c>
      <c r="R15" s="667" t="s">
        <v>14</v>
      </c>
      <c r="S15" s="668">
        <f t="shared" si="0"/>
        <v>100</v>
      </c>
      <c r="T15" s="667" t="s">
        <v>14</v>
      </c>
      <c r="U15" s="668">
        <f t="shared" si="1"/>
        <v>102</v>
      </c>
      <c r="V15" s="667" t="s">
        <v>14</v>
      </c>
      <c r="W15" s="668">
        <f t="shared" si="2"/>
        <v>100</v>
      </c>
      <c r="X15" s="1265"/>
      <c r="Y15" s="3466" t="s">
        <v>1689</v>
      </c>
      <c r="Z15" s="1264" t="str">
        <f t="shared" si="7"/>
        <v>办公集聚程度</v>
      </c>
      <c r="AA15" s="1264">
        <f t="shared" si="3"/>
        <v>1</v>
      </c>
      <c r="AB15" s="1264">
        <f t="shared" si="4"/>
        <v>0.98039215686274506</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65"/>
      <c r="Q16" s="1263"/>
      <c r="R16" s="667"/>
      <c r="S16" s="668"/>
      <c r="T16" s="667"/>
      <c r="U16" s="668"/>
      <c r="V16" s="667"/>
      <c r="W16" s="668"/>
      <c r="X16" s="1265"/>
      <c r="Y16" s="3467"/>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65"/>
      <c r="Q17" s="1263" t="str">
        <f>B17</f>
        <v>交通便捷度</v>
      </c>
      <c r="R17" s="667" t="s">
        <v>14</v>
      </c>
      <c r="S17" s="668">
        <f>F17</f>
        <v>102</v>
      </c>
      <c r="T17" s="667" t="s">
        <v>14</v>
      </c>
      <c r="U17" s="668">
        <f>H17</f>
        <v>102</v>
      </c>
      <c r="V17" s="667" t="s">
        <v>14</v>
      </c>
      <c r="W17" s="668">
        <f>J17</f>
        <v>100</v>
      </c>
      <c r="X17" s="1265"/>
      <c r="Y17" s="3467"/>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65"/>
      <c r="Q18" s="1263"/>
      <c r="R18" s="667"/>
      <c r="S18" s="668"/>
      <c r="T18" s="667"/>
      <c r="U18" s="668"/>
      <c r="V18" s="667"/>
      <c r="W18" s="668"/>
      <c r="X18" s="1265"/>
      <c r="Y18" s="3467"/>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65"/>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65"/>
      <c r="Q20" s="1263"/>
      <c r="R20" s="667"/>
      <c r="S20" s="668"/>
      <c r="T20" s="667"/>
      <c r="U20" s="668"/>
      <c r="V20" s="667"/>
      <c r="W20" s="668"/>
      <c r="X20" s="1265"/>
      <c r="Y20" s="3467"/>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65"/>
      <c r="Q22" s="1263"/>
      <c r="R22" s="667"/>
      <c r="S22" s="668"/>
      <c r="T22" s="667"/>
      <c r="U22" s="668"/>
      <c r="V22" s="667"/>
      <c r="W22" s="668"/>
      <c r="X22" s="1265"/>
      <c r="Y22" s="3467"/>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65"/>
      <c r="Q23" s="1263" t="str">
        <f>B23</f>
        <v>环境质量</v>
      </c>
      <c r="R23" s="667" t="s">
        <v>14</v>
      </c>
      <c r="S23" s="668">
        <f>F23</f>
        <v>100</v>
      </c>
      <c r="T23" s="667" t="s">
        <v>14</v>
      </c>
      <c r="U23" s="668">
        <f>H23</f>
        <v>100</v>
      </c>
      <c r="V23" s="667" t="s">
        <v>14</v>
      </c>
      <c r="W23" s="668">
        <f>J23</f>
        <v>100</v>
      </c>
      <c r="X23" s="1265"/>
      <c r="Y23" s="34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65"/>
      <c r="Q24" s="1263"/>
      <c r="R24" s="667"/>
      <c r="S24" s="668"/>
      <c r="T24" s="667"/>
      <c r="U24" s="668"/>
      <c r="V24" s="667"/>
      <c r="W24" s="668"/>
      <c r="X24" s="1265"/>
      <c r="Y24" s="3467"/>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65"/>
      <c r="Q25" s="1263" t="str">
        <f>B25</f>
        <v>毗邻道路的类型与等级</v>
      </c>
      <c r="R25" s="667" t="s">
        <v>14</v>
      </c>
      <c r="S25" s="668">
        <f>F25</f>
        <v>100</v>
      </c>
      <c r="T25" s="667" t="s">
        <v>14</v>
      </c>
      <c r="U25" s="668">
        <f>H25</f>
        <v>100</v>
      </c>
      <c r="V25" s="667" t="s">
        <v>14</v>
      </c>
      <c r="W25" s="668">
        <f>J25</f>
        <v>100</v>
      </c>
      <c r="X25" s="1265"/>
      <c r="Y25" s="34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65"/>
      <c r="Q26" s="1263"/>
      <c r="R26" s="667"/>
      <c r="S26" s="668"/>
      <c r="T26" s="667"/>
      <c r="U26" s="668"/>
      <c r="V26" s="667"/>
      <c r="W26" s="668"/>
      <c r="X26" s="1265"/>
      <c r="Y26" s="3467"/>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65"/>
      <c r="Q27" s="1263" t="str">
        <f t="shared" ref="Q27:Q47" si="11">B27</f>
        <v>楼层</v>
      </c>
      <c r="R27" s="667" t="s">
        <v>14</v>
      </c>
      <c r="S27" s="668">
        <f>F27</f>
        <v>100</v>
      </c>
      <c r="T27" s="667" t="s">
        <v>14</v>
      </c>
      <c r="U27" s="668">
        <f>H27</f>
        <v>100</v>
      </c>
      <c r="V27" s="667" t="s">
        <v>14</v>
      </c>
      <c r="W27" s="668">
        <f>J27</f>
        <v>100</v>
      </c>
      <c r="X27" s="1265"/>
      <c r="Y27" s="3467"/>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65"/>
      <c r="Q28" s="530" t="str">
        <f t="shared" si="11"/>
        <v>朝向</v>
      </c>
      <c r="R28" s="664" t="s">
        <v>14</v>
      </c>
      <c r="S28" s="665">
        <f>F28</f>
        <v>100</v>
      </c>
      <c r="T28" s="664" t="s">
        <v>14</v>
      </c>
      <c r="U28" s="665">
        <f>H28</f>
        <v>100</v>
      </c>
      <c r="V28" s="664" t="s">
        <v>14</v>
      </c>
      <c r="W28" s="665">
        <f>J28</f>
        <v>100</v>
      </c>
      <c r="X28" s="666"/>
      <c r="Y28" s="34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65"/>
      <c r="Q29" s="1263">
        <f t="shared" si="11"/>
        <v>111</v>
      </c>
      <c r="R29" s="667" t="s">
        <v>14</v>
      </c>
      <c r="S29" s="668">
        <f t="shared" ref="S29:S47" si="12">F29</f>
        <v>100</v>
      </c>
      <c r="T29" s="667" t="s">
        <v>14</v>
      </c>
      <c r="U29" s="668">
        <f t="shared" ref="U29:U47" si="13">H29</f>
        <v>100</v>
      </c>
      <c r="V29" s="667" t="s">
        <v>14</v>
      </c>
      <c r="W29" s="668">
        <f t="shared" ref="W29:W47" si="14">J29</f>
        <v>100</v>
      </c>
      <c r="X29" s="1265"/>
      <c r="Y29" s="34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65"/>
      <c r="Q30" s="1263">
        <f t="shared" si="11"/>
        <v>111</v>
      </c>
      <c r="R30" s="667" t="s">
        <v>14</v>
      </c>
      <c r="S30" s="668">
        <f t="shared" si="12"/>
        <v>100</v>
      </c>
      <c r="T30" s="667" t="s">
        <v>14</v>
      </c>
      <c r="U30" s="668">
        <f t="shared" si="13"/>
        <v>100</v>
      </c>
      <c r="V30" s="667" t="s">
        <v>14</v>
      </c>
      <c r="W30" s="668">
        <f t="shared" si="14"/>
        <v>100</v>
      </c>
      <c r="X30" s="1265"/>
      <c r="Y30" s="34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65"/>
      <c r="Q31" s="1263">
        <f t="shared" si="11"/>
        <v>111</v>
      </c>
      <c r="R31" s="667" t="s">
        <v>14</v>
      </c>
      <c r="S31" s="668">
        <f t="shared" si="12"/>
        <v>100</v>
      </c>
      <c r="T31" s="667" t="s">
        <v>14</v>
      </c>
      <c r="U31" s="668">
        <f t="shared" si="13"/>
        <v>100</v>
      </c>
      <c r="V31" s="667" t="s">
        <v>14</v>
      </c>
      <c r="W31" s="668">
        <f t="shared" si="14"/>
        <v>100</v>
      </c>
      <c r="X31" s="1265"/>
      <c r="Y31" s="346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65"/>
      <c r="Q32" s="1263">
        <f t="shared" si="11"/>
        <v>111</v>
      </c>
      <c r="R32" s="667" t="s">
        <v>14</v>
      </c>
      <c r="S32" s="668">
        <f t="shared" si="12"/>
        <v>100</v>
      </c>
      <c r="T32" s="667" t="s">
        <v>14</v>
      </c>
      <c r="U32" s="668">
        <f t="shared" si="13"/>
        <v>100</v>
      </c>
      <c r="V32" s="667" t="s">
        <v>14</v>
      </c>
      <c r="W32" s="668">
        <f t="shared" si="14"/>
        <v>100</v>
      </c>
      <c r="X32" s="1265"/>
      <c r="Y32" s="3467"/>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8" t="s">
        <v>1694</v>
      </c>
      <c r="Q33" s="1263" t="str">
        <f t="shared" si="11"/>
        <v>建筑类型</v>
      </c>
      <c r="R33" s="667" t="s">
        <v>14</v>
      </c>
      <c r="S33" s="668">
        <f t="shared" si="12"/>
        <v>100</v>
      </c>
      <c r="T33" s="667" t="s">
        <v>14</v>
      </c>
      <c r="U33" s="668">
        <f t="shared" si="13"/>
        <v>100</v>
      </c>
      <c r="V33" s="667" t="s">
        <v>14</v>
      </c>
      <c r="W33" s="668">
        <f t="shared" si="14"/>
        <v>100</v>
      </c>
      <c r="X33" s="1265"/>
      <c r="Y33" s="3471"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69"/>
      <c r="Q34" s="531" t="str">
        <f t="shared" si="11"/>
        <v>项目建筑规模</v>
      </c>
      <c r="R34" s="669" t="s">
        <v>14</v>
      </c>
      <c r="S34" s="670">
        <f t="shared" si="12"/>
        <v>100</v>
      </c>
      <c r="T34" s="669" t="s">
        <v>14</v>
      </c>
      <c r="U34" s="670">
        <f t="shared" si="13"/>
        <v>102</v>
      </c>
      <c r="V34" s="669" t="s">
        <v>14</v>
      </c>
      <c r="W34" s="670">
        <f t="shared" si="14"/>
        <v>102</v>
      </c>
      <c r="X34" s="671"/>
      <c r="Y34" s="3471"/>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9"/>
      <c r="Q35" s="1263" t="str">
        <f t="shared" si="11"/>
        <v>建筑结构</v>
      </c>
      <c r="R35" s="667" t="s">
        <v>14</v>
      </c>
      <c r="S35" s="668">
        <f t="shared" si="12"/>
        <v>100</v>
      </c>
      <c r="T35" s="667" t="s">
        <v>14</v>
      </c>
      <c r="U35" s="668">
        <f t="shared" si="13"/>
        <v>100</v>
      </c>
      <c r="V35" s="667" t="s">
        <v>14</v>
      </c>
      <c r="W35" s="668">
        <f t="shared" si="14"/>
        <v>100</v>
      </c>
      <c r="X35" s="1265"/>
      <c r="Y35" s="3471"/>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9"/>
      <c r="Q36" s="1263" t="str">
        <f t="shared" si="11"/>
        <v>公共部分装修</v>
      </c>
      <c r="R36" s="667" t="s">
        <v>14</v>
      </c>
      <c r="S36" s="668">
        <f t="shared" si="12"/>
        <v>100</v>
      </c>
      <c r="T36" s="667" t="s">
        <v>14</v>
      </c>
      <c r="U36" s="668">
        <f t="shared" si="13"/>
        <v>100</v>
      </c>
      <c r="V36" s="667" t="s">
        <v>14</v>
      </c>
      <c r="W36" s="668">
        <f t="shared" si="14"/>
        <v>100</v>
      </c>
      <c r="X36" s="1265"/>
      <c r="Y36" s="3471"/>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69"/>
      <c r="Q37" s="1263" t="str">
        <f t="shared" si="11"/>
        <v>成新度</v>
      </c>
      <c r="R37" s="667" t="s">
        <v>14</v>
      </c>
      <c r="S37" s="668">
        <f t="shared" si="12"/>
        <v>100</v>
      </c>
      <c r="T37" s="667" t="s">
        <v>14</v>
      </c>
      <c r="U37" s="668">
        <f t="shared" si="13"/>
        <v>102</v>
      </c>
      <c r="V37" s="667" t="s">
        <v>14</v>
      </c>
      <c r="W37" s="668">
        <f t="shared" si="14"/>
        <v>100</v>
      </c>
      <c r="X37" s="1265"/>
      <c r="Y37" s="3471"/>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9"/>
      <c r="Q38" s="530" t="str">
        <f t="shared" si="11"/>
        <v>写字楼等级</v>
      </c>
      <c r="R38" s="664" t="s">
        <v>14</v>
      </c>
      <c r="S38" s="665">
        <f t="shared" si="12"/>
        <v>100</v>
      </c>
      <c r="T38" s="664" t="s">
        <v>14</v>
      </c>
      <c r="U38" s="665">
        <f t="shared" si="13"/>
        <v>100</v>
      </c>
      <c r="V38" s="664" t="s">
        <v>14</v>
      </c>
      <c r="W38" s="665">
        <f t="shared" si="14"/>
        <v>100</v>
      </c>
      <c r="X38" s="666"/>
      <c r="Y38" s="3471"/>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9" t="s">
        <v>1694</v>
      </c>
      <c r="Q39" s="1263" t="str">
        <f t="shared" si="11"/>
        <v>物业管理</v>
      </c>
      <c r="R39" s="667" t="s">
        <v>14</v>
      </c>
      <c r="S39" s="668">
        <f t="shared" si="12"/>
        <v>100</v>
      </c>
      <c r="T39" s="667" t="s">
        <v>14</v>
      </c>
      <c r="U39" s="668">
        <f t="shared" si="13"/>
        <v>100</v>
      </c>
      <c r="V39" s="667" t="s">
        <v>14</v>
      </c>
      <c r="W39" s="668">
        <f t="shared" si="14"/>
        <v>100</v>
      </c>
      <c r="X39" s="1265"/>
      <c r="Y39" s="3471"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9"/>
      <c r="Q40" s="1263" t="str">
        <f t="shared" si="11"/>
        <v>市政基础设施</v>
      </c>
      <c r="R40" s="667" t="s">
        <v>14</v>
      </c>
      <c r="S40" s="668">
        <f t="shared" si="12"/>
        <v>100</v>
      </c>
      <c r="T40" s="667" t="s">
        <v>14</v>
      </c>
      <c r="U40" s="668">
        <f t="shared" si="13"/>
        <v>100</v>
      </c>
      <c r="V40" s="667" t="s">
        <v>14</v>
      </c>
      <c r="W40" s="668">
        <f t="shared" si="14"/>
        <v>100</v>
      </c>
      <c r="X40" s="1265"/>
      <c r="Y40" s="3471"/>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9"/>
      <c r="Q41" s="1263" t="str">
        <f t="shared" si="11"/>
        <v>层高</v>
      </c>
      <c r="R41" s="667" t="s">
        <v>14</v>
      </c>
      <c r="S41" s="668">
        <f t="shared" si="12"/>
        <v>100</v>
      </c>
      <c r="T41" s="667" t="s">
        <v>14</v>
      </c>
      <c r="U41" s="668">
        <f t="shared" si="13"/>
        <v>100</v>
      </c>
      <c r="V41" s="667" t="s">
        <v>14</v>
      </c>
      <c r="W41" s="668">
        <f t="shared" si="14"/>
        <v>100</v>
      </c>
      <c r="X41" s="1265"/>
      <c r="Y41" s="3471"/>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9"/>
      <c r="Q42" s="531" t="str">
        <f t="shared" si="11"/>
        <v>单套建筑面积</v>
      </c>
      <c r="R42" s="669" t="s">
        <v>14</v>
      </c>
      <c r="S42" s="670">
        <f t="shared" si="12"/>
        <v>100</v>
      </c>
      <c r="T42" s="669" t="s">
        <v>14</v>
      </c>
      <c r="U42" s="670">
        <f t="shared" si="13"/>
        <v>100</v>
      </c>
      <c r="V42" s="669" t="s">
        <v>14</v>
      </c>
      <c r="W42" s="670">
        <f t="shared" si="14"/>
        <v>100</v>
      </c>
      <c r="X42" s="671"/>
      <c r="Y42" s="3471"/>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9"/>
      <c r="Q43" s="1263" t="str">
        <f t="shared" si="11"/>
        <v>内部装修</v>
      </c>
      <c r="R43" s="667" t="s">
        <v>14</v>
      </c>
      <c r="S43" s="668">
        <f t="shared" si="12"/>
        <v>100</v>
      </c>
      <c r="T43" s="667" t="s">
        <v>14</v>
      </c>
      <c r="U43" s="668">
        <f t="shared" si="13"/>
        <v>100</v>
      </c>
      <c r="V43" s="667" t="s">
        <v>14</v>
      </c>
      <c r="W43" s="668">
        <f t="shared" si="14"/>
        <v>100</v>
      </c>
      <c r="X43" s="1265"/>
      <c r="Y43" s="3471"/>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9"/>
      <c r="Q44" s="1263" t="str">
        <f t="shared" si="11"/>
        <v>内部装修维护情况</v>
      </c>
      <c r="R44" s="667" t="s">
        <v>14</v>
      </c>
      <c r="S44" s="668">
        <f t="shared" si="12"/>
        <v>100</v>
      </c>
      <c r="T44" s="667" t="s">
        <v>14</v>
      </c>
      <c r="U44" s="668">
        <f t="shared" si="13"/>
        <v>100</v>
      </c>
      <c r="V44" s="667" t="s">
        <v>14</v>
      </c>
      <c r="W44" s="668">
        <f t="shared" si="14"/>
        <v>100</v>
      </c>
      <c r="X44" s="1265"/>
      <c r="Y44" s="34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9"/>
      <c r="Q45" s="530">
        <f t="shared" si="11"/>
        <v>111</v>
      </c>
      <c r="R45" s="664" t="s">
        <v>14</v>
      </c>
      <c r="S45" s="665">
        <f t="shared" si="12"/>
        <v>100</v>
      </c>
      <c r="T45" s="664" t="s">
        <v>14</v>
      </c>
      <c r="U45" s="665">
        <f t="shared" si="13"/>
        <v>100</v>
      </c>
      <c r="V45" s="664" t="s">
        <v>14</v>
      </c>
      <c r="W45" s="665">
        <f t="shared" si="14"/>
        <v>100</v>
      </c>
      <c r="X45" s="666"/>
      <c r="Y45" s="34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9"/>
      <c r="Q46" s="1263">
        <f t="shared" si="11"/>
        <v>111</v>
      </c>
      <c r="R46" s="667" t="s">
        <v>14</v>
      </c>
      <c r="S46" s="668">
        <f t="shared" si="12"/>
        <v>100</v>
      </c>
      <c r="T46" s="667" t="s">
        <v>14</v>
      </c>
      <c r="U46" s="668">
        <f t="shared" si="13"/>
        <v>100</v>
      </c>
      <c r="V46" s="667" t="s">
        <v>14</v>
      </c>
      <c r="W46" s="668">
        <f t="shared" si="14"/>
        <v>100</v>
      </c>
      <c r="X46" s="1265"/>
      <c r="Y46" s="347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0"/>
      <c r="Q47" s="1263">
        <f t="shared" si="11"/>
        <v>111</v>
      </c>
      <c r="R47" s="667" t="s">
        <v>14</v>
      </c>
      <c r="S47" s="668">
        <f t="shared" si="12"/>
        <v>100</v>
      </c>
      <c r="T47" s="667" t="s">
        <v>14</v>
      </c>
      <c r="U47" s="668">
        <f t="shared" si="13"/>
        <v>100</v>
      </c>
      <c r="V47" s="667" t="s">
        <v>14</v>
      </c>
      <c r="W47" s="668">
        <f t="shared" si="14"/>
        <v>100</v>
      </c>
      <c r="X47" s="1265"/>
      <c r="Y47" s="3472"/>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50" t="str">
        <f>A48</f>
        <v>成交单价（元/平方米）</v>
      </c>
      <c r="Q48" s="3473"/>
      <c r="R48" s="3435">
        <f>E48</f>
        <v>8002</v>
      </c>
      <c r="S48" s="3435"/>
      <c r="T48" s="3435">
        <f>G48</f>
        <v>8401</v>
      </c>
      <c r="U48" s="3435"/>
      <c r="V48" s="3435">
        <f>I48</f>
        <v>6683</v>
      </c>
      <c r="W48" s="3435"/>
      <c r="X48" s="385"/>
      <c r="Y48" s="673"/>
      <c r="Z48" s="385"/>
      <c r="AA48" s="385"/>
      <c r="AB48" s="385"/>
      <c r="AC48" s="555"/>
    </row>
    <row r="49" spans="1:29" ht="15.75" thickBot="1">
      <c r="A49" s="423" t="s">
        <v>1791</v>
      </c>
      <c r="B49" s="424"/>
      <c r="C49" s="1082">
        <f>R50</f>
        <v>7288</v>
      </c>
      <c r="D49" s="2141" t="s">
        <v>2136</v>
      </c>
      <c r="E49" s="1083">
        <f>R49</f>
        <v>7767</v>
      </c>
      <c r="F49" s="2142"/>
      <c r="G49" s="1082">
        <f>T49</f>
        <v>7609</v>
      </c>
      <c r="H49" s="2142"/>
      <c r="I49" s="1083">
        <f>V49</f>
        <v>6487</v>
      </c>
      <c r="J49" s="2142"/>
      <c r="K49" s="2144">
        <f>F49+H49+J49</f>
        <v>0</v>
      </c>
      <c r="L49" s="2495"/>
      <c r="M49" s="2488"/>
      <c r="N49" s="2488"/>
      <c r="O49" s="2488"/>
      <c r="P49" s="3450" t="str">
        <f>A49</f>
        <v>比较价值（元/平方米）</v>
      </c>
      <c r="Q49" s="3473"/>
      <c r="R49" s="3435">
        <f>IF(F1="售价",ROUND(PRODUCT(R48,AA7:AA47),0),ROUND(PRODUCT(R48,AA7:AA47),1))</f>
        <v>7767</v>
      </c>
      <c r="S49" s="3435"/>
      <c r="T49" s="3435">
        <f>IF(F1="售价",ROUND(PRODUCT(T48,AB7:AB47),0),ROUND(PRODUCT(T48,AB7:AB47),1))</f>
        <v>7609</v>
      </c>
      <c r="U49" s="3435"/>
      <c r="V49" s="3435">
        <f>IF(F1="售价",ROUND(PRODUCT(V48,AC7:AC47),0),ROUND(PRODUCT(V48,AC7:AC47),1))</f>
        <v>6487</v>
      </c>
      <c r="W49" s="3435"/>
      <c r="X49" s="385"/>
      <c r="Y49" s="385"/>
      <c r="Z49" s="385"/>
      <c r="AA49" s="385"/>
      <c r="AB49" s="385"/>
      <c r="AC49" s="555"/>
    </row>
    <row r="50" spans="1:29" ht="15.75" thickBot="1">
      <c r="A50" s="427" t="s">
        <v>1792</v>
      </c>
      <c r="B50" s="428"/>
      <c r="C50" s="351">
        <f>R50</f>
        <v>7288</v>
      </c>
      <c r="D50" s="351"/>
      <c r="E50" s="351"/>
      <c r="F50" s="351"/>
      <c r="G50" s="351"/>
      <c r="H50" s="351"/>
      <c r="I50" s="351"/>
      <c r="J50" s="429"/>
      <c r="K50" s="675"/>
      <c r="L50" s="2495"/>
      <c r="M50" s="2488"/>
      <c r="N50" s="2488"/>
      <c r="O50" s="2488"/>
      <c r="P50" s="3491" t="str">
        <f>A50</f>
        <v>估价对象XX用房的比较价值（楼面单价，元/平方米）</v>
      </c>
      <c r="Q50" s="3492"/>
      <c r="R50" s="3493">
        <f>IF(F1="售价",ROUND(IF(D49="简单平均",AVERAGE(R49:V49),R49*F49+T49*H49+V49*J49),0),ROUND(IF(D49="简单平均",AVERAGE(R49:V49),R49*F49+T49*H49+V49*J49),1))</f>
        <v>7288</v>
      </c>
      <c r="S50" s="3493"/>
      <c r="T50" s="3493"/>
      <c r="U50" s="3493"/>
      <c r="V50" s="3493"/>
      <c r="W50" s="349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3.0256212179734732E-2</v>
      </c>
      <c r="F53" s="435" t="str">
        <f>IF(OR(E53&gt;=0.3,E53&lt;=-0.3),"超过30%","")</f>
        <v/>
      </c>
      <c r="G53" s="434">
        <f>IF(G48&lt;G49,G49/G48-1,G48/G49-1)</f>
        <v>0.10408726508082533</v>
      </c>
      <c r="H53" s="435" t="str">
        <f>IF(OR(G53&gt;=0.3,G53&lt;=-0.3),"超过30%","")</f>
        <v/>
      </c>
      <c r="I53" s="434">
        <f>IF(I48&lt;I49,I49/I48-1,I48/I49-1)</f>
        <v>3.0214274703252553E-2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2.0764883690366664E-2</v>
      </c>
      <c r="F54" s="435" t="str">
        <f>IF(OR(E54&gt;=0.2,E54&lt;=-0.2),"超过20%","")</f>
        <v/>
      </c>
      <c r="G54" s="434">
        <f>IF(G49&lt;I49,I49/G49-1,G49/I49-1)</f>
        <v>0.17296130722984437</v>
      </c>
      <c r="H54" s="435" t="str">
        <f>IF(OR(G54&gt;=0.2,G54&lt;=-0.2),"超过20%","")</f>
        <v/>
      </c>
      <c r="I54" s="434">
        <f>IF(I49&lt;E49,E49/I49-1,I49/E49-1)</f>
        <v>0.19731771234777251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212">
        <f t="shared" ref="P59" si="17">EDATE(O59,-1)</f>
        <v>45566</v>
      </c>
      <c r="Q59" s="3212">
        <f t="shared" ref="Q59" si="18">EDATE(P59,-1)</f>
        <v>45536</v>
      </c>
      <c r="R59" s="3212">
        <f t="shared" ref="R59" si="19">EDATE(Q59,-1)</f>
        <v>45505</v>
      </c>
      <c r="S59" s="3212">
        <f t="shared" ref="S59" si="20">EDATE(R59,-1)</f>
        <v>45474</v>
      </c>
      <c r="T59" s="3212">
        <f t="shared" ref="T59" si="21">EDATE(S59,-1)</f>
        <v>45444</v>
      </c>
      <c r="U59" s="3212">
        <f t="shared" ref="U59" si="22">EDATE(T59,-1)</f>
        <v>45413</v>
      </c>
      <c r="V59" s="3212">
        <f t="shared" ref="V59" si="23">EDATE(U59,-1)</f>
        <v>45383</v>
      </c>
      <c r="W59" s="3212">
        <f t="shared" ref="W59" si="24">EDATE(V59,-1)</f>
        <v>45352</v>
      </c>
      <c r="X59" s="3212">
        <f t="shared" ref="X59" si="25">EDATE(W59,-1)</f>
        <v>45323</v>
      </c>
      <c r="Y59" s="3212">
        <f t="shared" ref="Y59" si="26">EDATE(X59,-1)</f>
        <v>45292</v>
      </c>
      <c r="Z59" s="3212">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54">
      <c r="A10" s="138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"本次评估采用的主估价方法为"&amp;'结果表-1层商业'!K4&amp;"和"&amp;'结果表-1层商业'!L4&amp;"。"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4780</v>
      </c>
      <c r="D4" s="1626" t="s">
        <v>4784</v>
      </c>
      <c r="E4" s="3387" t="s">
        <v>1265</v>
      </c>
      <c r="F4" s="3388"/>
      <c r="G4" s="3388"/>
      <c r="H4" s="3388"/>
      <c r="I4" s="3389"/>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6</v>
      </c>
      <c r="D14" s="3372">
        <f>10-C14</f>
        <v>4</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6</v>
      </c>
      <c r="D17" s="124">
        <f>SUM(D5:D16)</f>
        <v>4</v>
      </c>
      <c r="E17" s="121"/>
      <c r="F17" s="121"/>
      <c r="G17" s="121"/>
      <c r="H17" s="121"/>
      <c r="I17" s="121"/>
      <c r="K17" s="294"/>
      <c r="L17" s="294" t="s">
        <v>1284</v>
      </c>
      <c r="M17" s="294" t="s">
        <v>1285</v>
      </c>
    </row>
    <row r="18" spans="1:36" ht="31.9" customHeight="1" thickBot="1">
      <c r="A18" s="1629" t="s">
        <v>1286</v>
      </c>
      <c r="B18" s="1542"/>
      <c r="C18" s="125">
        <f>ROUND(C17/SUM(C17:D17),2)</f>
        <v>0.6</v>
      </c>
      <c r="D18" s="125">
        <f>1-C18</f>
        <v>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560.14419999999996</v>
      </c>
      <c r="D19" s="127">
        <f ca="1">SUMIF(INDIRECT("'"&amp;D4&amp;"'"&amp;"!A:A"),'结果表-车位'!B19,INDIRECT("'"&amp;D4&amp;"'"&amp;"!B:B"))</f>
        <v>3173</v>
      </c>
      <c r="E19" s="1630" t="s">
        <v>1290</v>
      </c>
      <c r="F19" s="1631" t="s">
        <v>1289</v>
      </c>
      <c r="G19" s="128">
        <f ca="1">ROUND(C19*$C$18+D19*$D$18,0)</f>
        <v>1605</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840</v>
      </c>
      <c r="D20" s="130">
        <f ca="1">SUMIF(INDIRECT("'"&amp;D4&amp;"'"&amp;"!A:A"),'结果表-车位'!B20,INDIRECT("'"&amp;D4&amp;"'"&amp;"!B:B"))</f>
        <v>4759</v>
      </c>
      <c r="E20" s="1633"/>
      <c r="F20" s="43" t="s">
        <v>1293</v>
      </c>
      <c r="G20" s="131">
        <f ca="1">ROUND(C20*$C$18+D20*$D$18,0)</f>
        <v>2408</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4.6646127907778041</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2408</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IF(AND(J55="",J56=""),4,IF(项目基本情况!K6="上海银行",'结果表-车位'!J56+1,'结果表-车位'!J55+1))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(元)-车位</v>
      </c>
      <c r="D101" s="2372" t="str">
        <f>D4</f>
        <v>比较法-车位</v>
      </c>
      <c r="E101" s="3318" t="s">
        <v>1429</v>
      </c>
      <c r="F101" s="3319"/>
      <c r="G101" s="1687" t="s">
        <v>1430</v>
      </c>
      <c r="H101" s="2381" t="e">
        <f ca="1">H118</f>
        <v>#REF!</v>
      </c>
      <c r="I101" s="121"/>
    </row>
    <row r="102" spans="1:35" ht="18.75" customHeight="1">
      <c r="A102" s="3350" t="s">
        <v>1431</v>
      </c>
      <c r="B102" s="2370" t="s">
        <v>1430</v>
      </c>
      <c r="C102" s="2371">
        <f ca="1">IF(D32="楼面单价",ROUND(C19,0),C19)</f>
        <v>560.14419999999996</v>
      </c>
      <c r="D102" s="2372">
        <f ca="1">IF(D32="楼面单价",ROUND(D19,0),D19)</f>
        <v>3173</v>
      </c>
      <c r="E102" s="3318"/>
      <c r="F102" s="3319"/>
      <c r="G102" s="1687" t="s">
        <v>1432</v>
      </c>
      <c r="H102" s="2341" t="e">
        <f ca="1">I118</f>
        <v>#REF!</v>
      </c>
      <c r="I102" s="121"/>
    </row>
    <row r="103" spans="1:35" ht="42.75" customHeight="1">
      <c r="A103" s="3350"/>
      <c r="B103" s="2370" t="s">
        <v>1432</v>
      </c>
      <c r="C103" s="2373">
        <f ca="1">C20</f>
        <v>840</v>
      </c>
      <c r="D103" s="2374">
        <f ca="1">D20</f>
        <v>4759</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560.14419999999996</v>
      </c>
      <c r="C2" s="1289" t="s">
        <v>804</v>
      </c>
      <c r="D2" s="1375">
        <f ca="1">C40+J29+L46</f>
        <v>5601442</v>
      </c>
      <c r="E2" s="1295" t="s">
        <v>879</v>
      </c>
      <c r="F2" s="1296"/>
      <c r="G2" s="2479"/>
      <c r="H2" s="2469"/>
      <c r="I2" s="2469"/>
      <c r="J2" s="2469"/>
      <c r="K2" s="2470"/>
      <c r="L2" s="2469"/>
      <c r="M2" s="2469"/>
    </row>
    <row r="3" spans="1:37" ht="18" customHeight="1" thickBot="1">
      <c r="A3" s="1297" t="s">
        <v>805</v>
      </c>
      <c r="B3" s="1298">
        <f ca="1">IF(ISERROR(D2/F43),0,ROUND(D2/F43,0))</f>
        <v>840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443520</v>
      </c>
      <c r="D6" s="147" t="s">
        <v>2104</v>
      </c>
      <c r="E6" s="294" t="s">
        <v>695</v>
      </c>
      <c r="F6" s="295">
        <f ca="1">INDIRECT("'数据-取费表'!u"&amp;$G$1)</f>
        <v>300</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154</v>
      </c>
      <c r="G7" s="1292"/>
      <c r="H7" s="296"/>
      <c r="I7" s="3411"/>
      <c r="J7" s="298"/>
      <c r="K7" s="299"/>
      <c r="L7" s="294" t="s">
        <v>696</v>
      </c>
      <c r="M7" s="295">
        <f ca="1">F7</f>
        <v>154</v>
      </c>
    </row>
    <row r="8" spans="1:37" ht="18" customHeight="1">
      <c r="A8" s="296"/>
      <c r="B8" s="3411"/>
      <c r="C8" s="298"/>
      <c r="D8" s="299"/>
      <c r="E8" s="294" t="s">
        <v>697</v>
      </c>
      <c r="F8" s="295">
        <f ca="1">INDIRECT("'数据-取费表'!ai"&amp;$G$1)</f>
        <v>12</v>
      </c>
      <c r="G8" s="1292"/>
      <c r="H8" s="296"/>
      <c r="I8" s="3411"/>
      <c r="J8" s="298"/>
      <c r="K8" s="299"/>
      <c r="L8" s="294" t="s">
        <v>697</v>
      </c>
      <c r="M8" s="295">
        <f ca="1">INDIRECT("'数据-取费表'!ai"&amp;$G$1)</f>
        <v>12</v>
      </c>
    </row>
    <row r="9" spans="1:37" ht="18" customHeight="1">
      <c r="A9" s="296"/>
      <c r="B9" s="3412"/>
      <c r="C9" s="298"/>
      <c r="D9" s="299"/>
      <c r="E9" s="294" t="s">
        <v>698</v>
      </c>
      <c r="F9" s="304">
        <f ca="1">INDIRECT("'数据-取费表'!w"&amp;$G$1)</f>
        <v>0.2</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30634919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26666400</v>
      </c>
      <c r="D14" s="1257" t="s">
        <v>707</v>
      </c>
      <c r="E14" s="1255"/>
      <c r="F14" s="311"/>
      <c r="G14" s="1292"/>
      <c r="H14" s="928" t="s">
        <v>398</v>
      </c>
      <c r="I14" s="294" t="s">
        <v>708</v>
      </c>
      <c r="J14" s="21">
        <f ca="1">C29</f>
        <v>36041081</v>
      </c>
      <c r="K14" s="12"/>
      <c r="L14" s="759"/>
      <c r="M14" s="760"/>
    </row>
    <row r="15" spans="1:37" s="1304" customFormat="1" ht="18" customHeight="1" thickBot="1">
      <c r="A15" s="928" t="s">
        <v>399</v>
      </c>
      <c r="B15" s="294" t="s">
        <v>709</v>
      </c>
      <c r="C15" s="21">
        <f ca="1">ROUND(C14*F15,0)</f>
        <v>1333320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72082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533328</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30173032</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301730</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72082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953860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-72082</v>
      </c>
      <c r="K25" s="1032" t="s">
        <v>752</v>
      </c>
      <c r="L25" s="1033"/>
      <c r="M25" s="1034"/>
    </row>
    <row r="26" spans="1:37" ht="18" customHeight="1">
      <c r="A26" s="928" t="s">
        <v>397</v>
      </c>
      <c r="B26" s="294" t="s">
        <v>753</v>
      </c>
      <c r="C26" s="21">
        <f ca="1">ROUND((C19+C20)*F26,0)</f>
        <v>1523738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36041081</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181500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72082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30635</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262574</v>
      </c>
      <c r="D39" s="1032" t="s">
        <v>752</v>
      </c>
      <c r="E39" s="1033"/>
      <c r="F39" s="1034"/>
      <c r="G39" s="1292"/>
      <c r="H39" s="2474"/>
      <c r="I39" s="1305"/>
      <c r="J39" s="1306"/>
      <c r="K39" s="2472"/>
      <c r="L39" s="2474"/>
      <c r="M39" s="2474"/>
    </row>
    <row r="40" spans="1:18" ht="18" customHeight="1">
      <c r="A40" s="291" t="s">
        <v>395</v>
      </c>
      <c r="B40" s="292" t="s">
        <v>773</v>
      </c>
      <c r="C40" s="293">
        <f ca="1">ROUND(C39*(1-((1+F42)/(1+F40))^F41)/(F40-F42),0)</f>
        <v>4060901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609</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1540541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4060901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1540541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36041081</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-28762596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5601442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30634919</v>
      </c>
      <c r="D56" s="1352"/>
      <c r="E56" s="1353"/>
      <c r="F56" s="1345"/>
      <c r="I56" s="1354" t="s">
        <v>841</v>
      </c>
      <c r="J56" s="1355" t="s">
        <v>4789</v>
      </c>
      <c r="K56" s="1328" t="s">
        <v>842</v>
      </c>
      <c r="L56" s="1331" t="str">
        <f ca="1">IF(L48&lt;J51,"——",L48-J51)</f>
        <v>——</v>
      </c>
      <c r="O56" s="1325" t="s">
        <v>403</v>
      </c>
      <c r="P56" s="1326" t="s">
        <v>816</v>
      </c>
      <c r="Q56" s="1327">
        <f ca="1">C40+J29</f>
        <v>4060901</v>
      </c>
      <c r="R56" s="1327" t="s">
        <v>817</v>
      </c>
    </row>
    <row r="57" spans="1:18" s="1292" customFormat="1" ht="24.75" thickBot="1">
      <c r="A57" s="1356"/>
      <c r="B57" s="896" t="s">
        <v>766</v>
      </c>
      <c r="C57" s="230">
        <f ca="1">C29</f>
        <v>36041081</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102717</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14416432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1540541</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4060901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72082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30635</v>
      </c>
      <c r="D65" s="910" t="s">
        <v>742</v>
      </c>
      <c r="E65" s="896" t="s">
        <v>711</v>
      </c>
      <c r="F65" s="321">
        <f t="shared" ca="1" si="0"/>
        <v>1E-3</v>
      </c>
      <c r="I65" s="1367" t="s">
        <v>866</v>
      </c>
      <c r="J65" s="610">
        <v>40</v>
      </c>
      <c r="K65" s="610">
        <v>30</v>
      </c>
      <c r="L65" s="610">
        <v>50</v>
      </c>
      <c r="M65" s="1369">
        <v>0.02</v>
      </c>
      <c r="O65" s="1325" t="s">
        <v>403</v>
      </c>
      <c r="P65" s="1326" t="s">
        <v>816</v>
      </c>
      <c r="Q65" s="1327">
        <f ca="1">C40+J29</f>
        <v>4060901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-102717</v>
      </c>
      <c r="D67" s="909" t="s">
        <v>752</v>
      </c>
      <c r="E67" s="914"/>
      <c r="F67" s="915"/>
      <c r="O67" s="1334" t="s">
        <v>405</v>
      </c>
      <c r="P67" s="1326" t="s">
        <v>849</v>
      </c>
      <c r="Q67" s="1370">
        <f ca="1">L51</f>
        <v>-28762596</v>
      </c>
      <c r="R67" s="1327" t="s">
        <v>869</v>
      </c>
    </row>
    <row r="68" spans="1:18" s="1292" customFormat="1" ht="16.5" thickBot="1">
      <c r="A68" s="893" t="s">
        <v>395</v>
      </c>
      <c r="B68" s="894" t="s">
        <v>773</v>
      </c>
      <c r="C68" s="293">
        <f ca="1">ROUND(C67*(1-((1+F70)/(1+F68))^F69)/(F68-F70),0)</f>
        <v>-1588594</v>
      </c>
      <c r="D68" s="911" t="s">
        <v>757</v>
      </c>
      <c r="E68" s="896" t="s">
        <v>758</v>
      </c>
      <c r="F68" s="304">
        <f ca="1">F40</f>
        <v>5.5E-2</v>
      </c>
      <c r="O68" s="1334" t="s">
        <v>406</v>
      </c>
      <c r="P68" s="1371" t="s">
        <v>870</v>
      </c>
      <c r="Q68" s="1327">
        <f ca="1">ROUND(Q69-Q70*Q71,0)</f>
        <v>-1575521</v>
      </c>
      <c r="R68" s="1327" t="s">
        <v>414</v>
      </c>
    </row>
    <row r="69" spans="1:18" s="1292" customFormat="1" ht="13.5" thickBot="1">
      <c r="A69" s="897"/>
      <c r="B69" s="898"/>
      <c r="C69" s="298"/>
      <c r="D69" s="916" t="s">
        <v>761</v>
      </c>
      <c r="E69" s="896" t="s">
        <v>762</v>
      </c>
      <c r="F69" s="324">
        <f ca="1">F41</f>
        <v>35.51</v>
      </c>
      <c r="O69" s="1334" t="s">
        <v>411</v>
      </c>
      <c r="P69" s="1371" t="s">
        <v>871</v>
      </c>
      <c r="Q69" s="1327">
        <f ca="1">C39</f>
        <v>262574</v>
      </c>
      <c r="R69" s="1327" t="s">
        <v>817</v>
      </c>
    </row>
    <row r="70" spans="1:18" s="1292" customFormat="1" ht="13.5" thickBot="1">
      <c r="A70" s="900"/>
      <c r="B70" s="901"/>
      <c r="C70" s="302"/>
      <c r="D70" s="912"/>
      <c r="E70" s="896" t="s">
        <v>765</v>
      </c>
      <c r="F70" s="991"/>
      <c r="O70" s="1334" t="s">
        <v>412</v>
      </c>
      <c r="P70" s="1371" t="s">
        <v>872</v>
      </c>
      <c r="Q70" s="1327">
        <f ca="1">C13</f>
        <v>30634919</v>
      </c>
      <c r="R70" s="1327" t="s">
        <v>817</v>
      </c>
    </row>
    <row r="71" spans="1:18" s="1292" customFormat="1" ht="13.5" thickBot="1">
      <c r="A71" s="917" t="s">
        <v>396</v>
      </c>
      <c r="B71" s="918" t="s">
        <v>775</v>
      </c>
      <c r="C71" s="327">
        <f ca="1">ROUND(C68/F71,0)</f>
        <v>-238</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1838095</v>
      </c>
      <c r="D75" s="1292"/>
      <c r="E75" s="1292"/>
      <c r="F75" s="1292"/>
      <c r="K75" s="1309"/>
      <c r="L75" s="1292"/>
      <c r="O75" s="1325" t="s">
        <v>409</v>
      </c>
      <c r="P75" s="1326" t="s">
        <v>837</v>
      </c>
      <c r="Q75" s="1327">
        <f ca="1">Q65+Q66</f>
        <v>4060901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-6</v>
      </c>
    </row>
    <row r="80" spans="1:18">
      <c r="B80" s="331" t="s">
        <v>799</v>
      </c>
      <c r="C80" s="266">
        <f ca="1">ROUND(C75/C39,3)</f>
        <v>7</v>
      </c>
    </row>
    <row r="81" spans="2:3">
      <c r="B81" s="262" t="s">
        <v>800</v>
      </c>
      <c r="C81" s="230"/>
    </row>
    <row r="82" spans="2:3">
      <c r="B82" s="265" t="s">
        <v>801</v>
      </c>
      <c r="C82" s="267">
        <f ca="1">1-C83</f>
        <v>-6.5439999999999996</v>
      </c>
    </row>
    <row r="83" spans="2:3">
      <c r="B83" s="265" t="s">
        <v>802</v>
      </c>
      <c r="C83" s="266">
        <f ca="1">ROUND(C13/C40,3)</f>
        <v>7.5439999999999996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Normal="60" zoomScaleSheetLayoutView="100" workbookViewId="0">
      <selection activeCell="N55" sqref="N5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3173</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4759</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3173</v>
      </c>
      <c r="N3" s="2505"/>
      <c r="O3" s="2505"/>
      <c r="P3" s="1086"/>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tr">
        <f>市场售价案例!C6</f>
        <v>金科澜山公馆车位</v>
      </c>
      <c r="F5" s="3443"/>
      <c r="G5" s="3444" t="str">
        <f>市场售价案例!P1</f>
        <v>博翠明湖车位</v>
      </c>
      <c r="H5" s="3445"/>
      <c r="I5" s="3444" t="str">
        <f>市场售价案例!P61</f>
        <v>世茂天城车位</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436" t="s">
        <v>1678</v>
      </c>
      <c r="Q7" s="3463"/>
      <c r="R7" s="664" t="s">
        <v>14</v>
      </c>
      <c r="S7" s="665">
        <f t="shared" ref="S7:S14" si="0">F7</f>
        <v>100</v>
      </c>
      <c r="T7" s="664" t="s">
        <v>14</v>
      </c>
      <c r="U7" s="665">
        <f t="shared" ref="U7:U14" si="1">H7</f>
        <v>100</v>
      </c>
      <c r="V7" s="664" t="s">
        <v>14</v>
      </c>
      <c r="W7" s="665">
        <f t="shared" ref="W7:W14" si="2">J7</f>
        <v>100</v>
      </c>
      <c r="X7" s="666"/>
      <c r="Y7" s="3436" t="s">
        <v>1678</v>
      </c>
      <c r="Z7" s="3437"/>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3" t="s">
        <v>1684</v>
      </c>
      <c r="Q9" s="530" t="str">
        <f t="shared" ref="Q9:Q14" si="6">B9</f>
        <v>用途</v>
      </c>
      <c r="R9" s="664" t="s">
        <v>14</v>
      </c>
      <c r="S9" s="665">
        <f t="shared" si="0"/>
        <v>100</v>
      </c>
      <c r="T9" s="664" t="s">
        <v>14</v>
      </c>
      <c r="U9" s="665">
        <f t="shared" si="1"/>
        <v>100</v>
      </c>
      <c r="V9" s="664" t="s">
        <v>14</v>
      </c>
      <c r="W9" s="665">
        <f t="shared" si="2"/>
        <v>100</v>
      </c>
      <c r="X9" s="666"/>
      <c r="Y9" s="3381"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102</v>
      </c>
      <c r="G10" s="3134" t="s">
        <v>4935</v>
      </c>
      <c r="H10" s="119">
        <f>SUMIF(55:55,G10,56:56)-SUMIF(55:55,C10,56:56)+100</f>
        <v>102</v>
      </c>
      <c r="I10" s="3133" t="s">
        <v>4935</v>
      </c>
      <c r="J10" s="119">
        <f>SUMIF(55:55,I10,56:56)-SUMIF(55:55,C10,56:56)+100</f>
        <v>102</v>
      </c>
      <c r="K10" s="38"/>
      <c r="L10" s="2490"/>
      <c r="M10" s="2491"/>
      <c r="N10" s="2491"/>
      <c r="O10" s="2491"/>
      <c r="P10" s="3473"/>
      <c r="Q10" s="530" t="str">
        <f t="shared" si="6"/>
        <v>土地使用年限（年）</v>
      </c>
      <c r="R10" s="664" t="s">
        <v>14</v>
      </c>
      <c r="S10" s="665">
        <f t="shared" si="0"/>
        <v>102</v>
      </c>
      <c r="T10" s="664" t="s">
        <v>14</v>
      </c>
      <c r="U10" s="665">
        <f t="shared" si="1"/>
        <v>102</v>
      </c>
      <c r="V10" s="664" t="s">
        <v>14</v>
      </c>
      <c r="W10" s="665">
        <f t="shared" si="2"/>
        <v>102</v>
      </c>
      <c r="X10" s="666"/>
      <c r="Y10" s="3381"/>
      <c r="Z10" s="50" t="str">
        <f t="shared" si="7"/>
        <v>土地使用年限（年）</v>
      </c>
      <c r="AA10" s="50">
        <f t="shared" si="3"/>
        <v>0.98039215686274506</v>
      </c>
      <c r="AB10" s="50">
        <f t="shared" si="4"/>
        <v>0.98039215686274506</v>
      </c>
      <c r="AC10" s="50">
        <f t="shared" si="5"/>
        <v>0.98039215686274506</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3"/>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66" t="s">
        <v>1689</v>
      </c>
      <c r="Q14" s="1263" t="str">
        <f t="shared" si="6"/>
        <v>交通便捷度</v>
      </c>
      <c r="R14" s="667" t="s">
        <v>14</v>
      </c>
      <c r="S14" s="668">
        <f t="shared" si="0"/>
        <v>98</v>
      </c>
      <c r="T14" s="667" t="s">
        <v>14</v>
      </c>
      <c r="U14" s="668">
        <f t="shared" si="1"/>
        <v>100</v>
      </c>
      <c r="V14" s="667" t="s">
        <v>14</v>
      </c>
      <c r="W14" s="668">
        <f t="shared" si="2"/>
        <v>102</v>
      </c>
      <c r="X14" s="1265"/>
      <c r="Y14" s="3466"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67"/>
      <c r="Q15" s="1263"/>
      <c r="R15" s="667"/>
      <c r="S15" s="668"/>
      <c r="T15" s="667"/>
      <c r="U15" s="668"/>
      <c r="V15" s="667"/>
      <c r="W15" s="668"/>
      <c r="X15" s="1265"/>
      <c r="Y15" s="3467"/>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7"/>
      <c r="Q16" s="1263" t="str">
        <f>B16</f>
        <v>公共配套设施</v>
      </c>
      <c r="R16" s="667" t="s">
        <v>14</v>
      </c>
      <c r="S16" s="668">
        <f>F16</f>
        <v>100</v>
      </c>
      <c r="T16" s="667" t="s">
        <v>14</v>
      </c>
      <c r="U16" s="668">
        <f>H16</f>
        <v>100</v>
      </c>
      <c r="V16" s="667" t="s">
        <v>14</v>
      </c>
      <c r="W16" s="668">
        <f>J16</f>
        <v>100</v>
      </c>
      <c r="X16" s="1265"/>
      <c r="Y16" s="34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7"/>
      <c r="Q17" s="1263"/>
      <c r="R17" s="667"/>
      <c r="S17" s="668"/>
      <c r="T17" s="667"/>
      <c r="U17" s="668"/>
      <c r="V17" s="667"/>
      <c r="W17" s="668"/>
      <c r="X17" s="1265"/>
      <c r="Y17" s="3467"/>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7"/>
      <c r="Q18" s="1263" t="str">
        <f>B18</f>
        <v>基础设施水平</v>
      </c>
      <c r="R18" s="667" t="s">
        <v>14</v>
      </c>
      <c r="S18" s="668">
        <f>F18</f>
        <v>100</v>
      </c>
      <c r="T18" s="667" t="s">
        <v>14</v>
      </c>
      <c r="U18" s="668">
        <f>H18</f>
        <v>100</v>
      </c>
      <c r="V18" s="667" t="s">
        <v>14</v>
      </c>
      <c r="W18" s="668">
        <f>J18</f>
        <v>100</v>
      </c>
      <c r="X18" s="1265"/>
      <c r="Y18" s="34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7"/>
      <c r="Q19" s="1263"/>
      <c r="R19" s="667"/>
      <c r="S19" s="668"/>
      <c r="T19" s="667"/>
      <c r="U19" s="668"/>
      <c r="V19" s="667"/>
      <c r="W19" s="668"/>
      <c r="X19" s="1265"/>
      <c r="Y19" s="3467"/>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7"/>
      <c r="Q20" s="1263" t="str">
        <f>B20</f>
        <v>自然及人文环境</v>
      </c>
      <c r="R20" s="667" t="s">
        <v>14</v>
      </c>
      <c r="S20" s="668">
        <f>F20</f>
        <v>100</v>
      </c>
      <c r="T20" s="667" t="s">
        <v>14</v>
      </c>
      <c r="U20" s="668">
        <f>H20</f>
        <v>100</v>
      </c>
      <c r="V20" s="667" t="s">
        <v>14</v>
      </c>
      <c r="W20" s="668">
        <f>J20</f>
        <v>100</v>
      </c>
      <c r="X20" s="1265"/>
      <c r="Y20" s="34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7"/>
      <c r="Q21" s="1263"/>
      <c r="R21" s="667"/>
      <c r="S21" s="668"/>
      <c r="T21" s="667"/>
      <c r="U21" s="668"/>
      <c r="V21" s="667"/>
      <c r="W21" s="668"/>
      <c r="X21" s="1265"/>
      <c r="Y21" s="3467"/>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7"/>
      <c r="Q22" s="1263" t="str">
        <f>B22</f>
        <v>楼层</v>
      </c>
      <c r="R22" s="667" t="s">
        <v>14</v>
      </c>
      <c r="S22" s="668">
        <f>F22</f>
        <v>100</v>
      </c>
      <c r="T22" s="667" t="s">
        <v>14</v>
      </c>
      <c r="U22" s="668">
        <f>H22</f>
        <v>100</v>
      </c>
      <c r="V22" s="667" t="s">
        <v>14</v>
      </c>
      <c r="W22" s="668">
        <f>J22</f>
        <v>100</v>
      </c>
      <c r="X22" s="1265"/>
      <c r="Y22" s="34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7"/>
      <c r="Q23" s="1263">
        <f>B23</f>
        <v>111</v>
      </c>
      <c r="R23" s="667" t="s">
        <v>14</v>
      </c>
      <c r="S23" s="668">
        <f>F23</f>
        <v>100</v>
      </c>
      <c r="T23" s="667" t="s">
        <v>14</v>
      </c>
      <c r="U23" s="668">
        <f>H23</f>
        <v>100</v>
      </c>
      <c r="V23" s="667" t="s">
        <v>14</v>
      </c>
      <c r="W23" s="668">
        <f>J23</f>
        <v>100</v>
      </c>
      <c r="X23" s="1265"/>
      <c r="Y23" s="34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7"/>
      <c r="Q24" s="1263">
        <f t="shared" ref="Q24:Q36" si="11">B24</f>
        <v>111</v>
      </c>
      <c r="R24" s="667" t="s">
        <v>14</v>
      </c>
      <c r="S24" s="668">
        <f>F24</f>
        <v>100</v>
      </c>
      <c r="T24" s="667" t="s">
        <v>14</v>
      </c>
      <c r="U24" s="668">
        <f>H24</f>
        <v>100</v>
      </c>
      <c r="V24" s="667" t="s">
        <v>14</v>
      </c>
      <c r="W24" s="668">
        <f>J24</f>
        <v>100</v>
      </c>
      <c r="X24" s="1265"/>
      <c r="Y24" s="346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7"/>
      <c r="Q25" s="530">
        <f t="shared" si="11"/>
        <v>111</v>
      </c>
      <c r="R25" s="664" t="s">
        <v>14</v>
      </c>
      <c r="S25" s="665">
        <f>F25</f>
        <v>100</v>
      </c>
      <c r="T25" s="664" t="s">
        <v>14</v>
      </c>
      <c r="U25" s="665">
        <f>H25</f>
        <v>100</v>
      </c>
      <c r="V25" s="664" t="s">
        <v>14</v>
      </c>
      <c r="W25" s="665">
        <f>J25</f>
        <v>100</v>
      </c>
      <c r="X25" s="666"/>
      <c r="Y25" s="3467"/>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494"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71"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1"/>
      <c r="Q27" s="531" t="str">
        <f t="shared" si="11"/>
        <v>项目停车位配比</v>
      </c>
      <c r="R27" s="669" t="s">
        <v>14</v>
      </c>
      <c r="S27" s="670">
        <f t="shared" si="12"/>
        <v>100</v>
      </c>
      <c r="T27" s="669" t="s">
        <v>14</v>
      </c>
      <c r="U27" s="670">
        <f t="shared" si="13"/>
        <v>100</v>
      </c>
      <c r="V27" s="669" t="s">
        <v>14</v>
      </c>
      <c r="W27" s="670">
        <f t="shared" si="14"/>
        <v>100</v>
      </c>
      <c r="X27" s="671"/>
      <c r="Y27" s="3471"/>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1"/>
      <c r="Q28" s="1263" t="str">
        <f t="shared" si="11"/>
        <v>公共部分装修</v>
      </c>
      <c r="R28" s="667" t="s">
        <v>14</v>
      </c>
      <c r="S28" s="668">
        <f t="shared" si="12"/>
        <v>100</v>
      </c>
      <c r="T28" s="667" t="s">
        <v>14</v>
      </c>
      <c r="U28" s="668">
        <f t="shared" si="13"/>
        <v>100</v>
      </c>
      <c r="V28" s="667" t="s">
        <v>14</v>
      </c>
      <c r="W28" s="668">
        <f t="shared" si="14"/>
        <v>100</v>
      </c>
      <c r="X28" s="1265"/>
      <c r="Y28" s="3471"/>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71"/>
      <c r="Q29" s="1263" t="str">
        <f t="shared" si="11"/>
        <v>成新率</v>
      </c>
      <c r="R29" s="667" t="s">
        <v>14</v>
      </c>
      <c r="S29" s="668">
        <f t="shared" si="12"/>
        <v>102</v>
      </c>
      <c r="T29" s="667" t="s">
        <v>14</v>
      </c>
      <c r="U29" s="668">
        <f t="shared" si="13"/>
        <v>102</v>
      </c>
      <c r="V29" s="667" t="s">
        <v>14</v>
      </c>
      <c r="W29" s="668">
        <f t="shared" si="14"/>
        <v>102</v>
      </c>
      <c r="X29" s="1265"/>
      <c r="Y29" s="3471"/>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1"/>
      <c r="Q30" s="1263" t="str">
        <f t="shared" si="11"/>
        <v>物业等级</v>
      </c>
      <c r="R30" s="667" t="s">
        <v>14</v>
      </c>
      <c r="S30" s="668">
        <f t="shared" si="12"/>
        <v>100</v>
      </c>
      <c r="T30" s="667" t="s">
        <v>14</v>
      </c>
      <c r="U30" s="668">
        <f t="shared" si="13"/>
        <v>100</v>
      </c>
      <c r="V30" s="667" t="s">
        <v>14</v>
      </c>
      <c r="W30" s="668">
        <f t="shared" si="14"/>
        <v>100</v>
      </c>
      <c r="X30" s="1265"/>
      <c r="Y30" s="3471"/>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71"/>
      <c r="Q31" s="530" t="str">
        <f t="shared" si="11"/>
        <v>停车位面积</v>
      </c>
      <c r="R31" s="664" t="s">
        <v>14</v>
      </c>
      <c r="S31" s="665">
        <f t="shared" si="12"/>
        <v>100</v>
      </c>
      <c r="T31" s="664" t="s">
        <v>14</v>
      </c>
      <c r="U31" s="665">
        <f t="shared" si="13"/>
        <v>100</v>
      </c>
      <c r="V31" s="664" t="s">
        <v>14</v>
      </c>
      <c r="W31" s="665">
        <f t="shared" si="14"/>
        <v>100</v>
      </c>
      <c r="X31" s="666"/>
      <c r="Y31" s="3471"/>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1" t="s">
        <v>1694</v>
      </c>
      <c r="Q32" s="1263" t="str">
        <f t="shared" si="11"/>
        <v>车位类型</v>
      </c>
      <c r="R32" s="667" t="s">
        <v>14</v>
      </c>
      <c r="S32" s="668">
        <f t="shared" si="12"/>
        <v>100</v>
      </c>
      <c r="T32" s="667" t="s">
        <v>14</v>
      </c>
      <c r="U32" s="668">
        <f t="shared" si="13"/>
        <v>100</v>
      </c>
      <c r="V32" s="667" t="s">
        <v>14</v>
      </c>
      <c r="W32" s="668">
        <f t="shared" si="14"/>
        <v>100</v>
      </c>
      <c r="X32" s="1265"/>
      <c r="Y32" s="3471"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1"/>
      <c r="Q33" s="1263" t="str">
        <f t="shared" si="11"/>
        <v>是否直接入户</v>
      </c>
      <c r="R33" s="667" t="s">
        <v>14</v>
      </c>
      <c r="S33" s="668">
        <f t="shared" si="12"/>
        <v>100</v>
      </c>
      <c r="T33" s="667" t="s">
        <v>14</v>
      </c>
      <c r="U33" s="668">
        <f t="shared" si="13"/>
        <v>100</v>
      </c>
      <c r="V33" s="667" t="s">
        <v>14</v>
      </c>
      <c r="W33" s="668">
        <f t="shared" si="14"/>
        <v>100</v>
      </c>
      <c r="X33" s="1265"/>
      <c r="Y33" s="34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1"/>
      <c r="Q34" s="1263">
        <f t="shared" si="11"/>
        <v>111</v>
      </c>
      <c r="R34" s="667" t="s">
        <v>14</v>
      </c>
      <c r="S34" s="668">
        <f t="shared" si="12"/>
        <v>100</v>
      </c>
      <c r="T34" s="667" t="s">
        <v>14</v>
      </c>
      <c r="U34" s="668">
        <f t="shared" si="13"/>
        <v>100</v>
      </c>
      <c r="V34" s="667" t="s">
        <v>14</v>
      </c>
      <c r="W34" s="668">
        <f t="shared" si="14"/>
        <v>100</v>
      </c>
      <c r="X34" s="1265"/>
      <c r="Y34" s="34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1"/>
      <c r="Q35" s="531">
        <f t="shared" si="11"/>
        <v>111</v>
      </c>
      <c r="R35" s="669" t="s">
        <v>14</v>
      </c>
      <c r="S35" s="670">
        <f t="shared" si="12"/>
        <v>100</v>
      </c>
      <c r="T35" s="669" t="s">
        <v>14</v>
      </c>
      <c r="U35" s="670">
        <f t="shared" si="13"/>
        <v>100</v>
      </c>
      <c r="V35" s="669" t="s">
        <v>14</v>
      </c>
      <c r="W35" s="670">
        <f t="shared" si="14"/>
        <v>100</v>
      </c>
      <c r="X35" s="671"/>
      <c r="Y35" s="347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1"/>
      <c r="Q36" s="1263">
        <f t="shared" si="11"/>
        <v>111</v>
      </c>
      <c r="R36" s="667" t="s">
        <v>14</v>
      </c>
      <c r="S36" s="668">
        <f t="shared" si="12"/>
        <v>100</v>
      </c>
      <c r="T36" s="667" t="s">
        <v>14</v>
      </c>
      <c r="U36" s="668">
        <f t="shared" si="13"/>
        <v>100</v>
      </c>
      <c r="V36" s="667" t="s">
        <v>14</v>
      </c>
      <c r="W36" s="668">
        <f t="shared" si="14"/>
        <v>100</v>
      </c>
      <c r="X36" s="1265"/>
      <c r="Y36" s="3471"/>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73" t="str">
        <f>A37</f>
        <v>成交单价</v>
      </c>
      <c r="Q37" s="3473"/>
      <c r="R37" s="3435">
        <f>E37</f>
        <v>4482</v>
      </c>
      <c r="S37" s="3435"/>
      <c r="T37" s="3435">
        <f>G37</f>
        <v>5201</v>
      </c>
      <c r="U37" s="3435"/>
      <c r="V37" s="3435">
        <f>I37</f>
        <v>5181</v>
      </c>
      <c r="W37" s="3435"/>
      <c r="X37" s="385"/>
      <c r="Y37" s="673"/>
      <c r="Z37" s="385"/>
      <c r="AA37" s="385"/>
      <c r="AB37" s="385"/>
      <c r="AC37" s="385"/>
    </row>
    <row r="38" spans="1:29" ht="15.75" thickBot="1">
      <c r="A38" s="423" t="s">
        <v>1843</v>
      </c>
      <c r="B38" s="424" t="str">
        <f>B37</f>
        <v>元/平方米</v>
      </c>
      <c r="C38" s="1082">
        <f>R39</f>
        <v>4759</v>
      </c>
      <c r="D38" s="2141" t="s">
        <v>2136</v>
      </c>
      <c r="E38" s="1083">
        <f>R38</f>
        <v>4396</v>
      </c>
      <c r="F38" s="2142"/>
      <c r="G38" s="1082">
        <f>T38</f>
        <v>4999</v>
      </c>
      <c r="H38" s="2142"/>
      <c r="I38" s="1083">
        <f>V38</f>
        <v>4882</v>
      </c>
      <c r="J38" s="2142"/>
      <c r="K38" s="2144">
        <f>F38+H38+J38</f>
        <v>0</v>
      </c>
      <c r="L38" s="2495"/>
      <c r="M38" s="2488"/>
      <c r="N38" s="2488"/>
      <c r="O38" s="2488"/>
      <c r="P38" s="3473" t="str">
        <f>A38</f>
        <v>比较价值（元/平方米）</v>
      </c>
      <c r="Q38" s="3473"/>
      <c r="R38" s="3435">
        <f>IF(F1="售价",ROUND(PRODUCT(R37,AA7:AA36),0),ROUND(PRODUCT(R37,AA7:AA36),1))</f>
        <v>4396</v>
      </c>
      <c r="S38" s="3435"/>
      <c r="T38" s="3435">
        <f>IF(F1="售价",ROUND(PRODUCT(T37,AB7:AB36),0),ROUND(PRODUCT(T37,AB7:AB36),1))</f>
        <v>4999</v>
      </c>
      <c r="U38" s="3435"/>
      <c r="V38" s="3435">
        <f>IF(F1="售价",ROUND(PRODUCT(V37,AC7:AC36),0),ROUND(PRODUCT(V37,AC7:AC36),1))</f>
        <v>4882</v>
      </c>
      <c r="W38" s="3435"/>
      <c r="X38" s="385"/>
      <c r="Y38" s="385"/>
      <c r="Z38" s="385"/>
      <c r="AA38" s="385"/>
      <c r="AB38" s="385"/>
      <c r="AC38" s="385"/>
    </row>
    <row r="39" spans="1:29" ht="15.75" thickBot="1">
      <c r="A39" s="427" t="s">
        <v>1844</v>
      </c>
      <c r="B39" s="428"/>
      <c r="C39" s="351">
        <f>R39</f>
        <v>4759</v>
      </c>
      <c r="D39" s="351"/>
      <c r="E39" s="351"/>
      <c r="F39" s="351"/>
      <c r="G39" s="351"/>
      <c r="H39" s="351"/>
      <c r="I39" s="351"/>
      <c r="J39" s="351"/>
      <c r="K39" s="546"/>
      <c r="L39" s="2495"/>
      <c r="M39" s="2488"/>
      <c r="N39" s="2488"/>
      <c r="O39" s="2488"/>
      <c r="P39" s="3474" t="str">
        <f>A39</f>
        <v>估价对象XX用房的比较价值（楼面单价，元/平方米）</v>
      </c>
      <c r="Q39" s="3475"/>
      <c r="R39" s="3495">
        <f>IF(F1="售价",ROUND(IF(D38="简单平均",AVERAGE(R38:W38),R38*F38+T38*H38+V38*J38),0),ROUND(IF(D38="简单平均",AVERAGE(R38:V38),R38*F38+T38*H38+V38*J38),1))</f>
        <v>4759</v>
      </c>
      <c r="S39" s="3495"/>
      <c r="T39" s="3495"/>
      <c r="U39" s="3495"/>
      <c r="V39" s="3495"/>
      <c r="W39" s="349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1.9563239308462155E-2</v>
      </c>
      <c r="F42" s="435" t="str">
        <f>IF(OR(E42&gt;=0.3,E42&lt;=-0.3),"超过30%","")</f>
        <v/>
      </c>
      <c r="G42" s="434">
        <f>IF(G37&lt;G38,G38/G37-1,G37/G38-1)</f>
        <v>4.0408081616323255E-2</v>
      </c>
      <c r="H42" s="435" t="str">
        <f>IF(OR(G42&gt;=0.3,G42&lt;=-0.3),"超过30%","")</f>
        <v/>
      </c>
      <c r="I42" s="434">
        <f>IF(I37&lt;I38,I38/I37-1,I37/I38-1)</f>
        <v>6.1245391233101243E-2</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0.13717015468607818</v>
      </c>
      <c r="F43" s="435" t="str">
        <f>IF(OR(E43&gt;=0.2,E43&lt;=-0.2),"超过20%","")</f>
        <v/>
      </c>
      <c r="G43" s="434">
        <f>IF(G38&lt;I38,I38/G38-1,G38/I38-1)</f>
        <v>2.3965587873822303E-2</v>
      </c>
      <c r="H43" s="435" t="str">
        <f>IF(OR(G43&gt;=0.2,G43&lt;=-0.2),"超过20%","")</f>
        <v/>
      </c>
      <c r="I43" s="434">
        <f>IF(I38&lt;E38,E38/I38-1,I38/E38-1)</f>
        <v>0.11055505004549593</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102</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8" t="str">
        <f>项目基本情况!S2</f>
        <v>房地产</v>
      </c>
      <c r="B2" s="3379"/>
      <c r="C2" s="3379"/>
      <c r="D2" s="3379"/>
      <c r="E2" s="3379"/>
      <c r="F2" s="3379"/>
      <c r="G2" s="3379"/>
      <c r="H2" s="3379"/>
      <c r="I2" s="3380"/>
    </row>
    <row r="3" spans="1:12" ht="12.75">
      <c r="A3" s="3382" t="s">
        <v>1262</v>
      </c>
      <c r="B3" s="3383"/>
      <c r="C3" s="3383"/>
      <c r="D3" s="3383"/>
      <c r="E3" s="3383"/>
      <c r="F3" s="3383"/>
      <c r="G3" s="3383"/>
      <c r="H3" s="3383"/>
      <c r="I3" s="3383"/>
    </row>
    <row r="4" spans="1:12" ht="14.25">
      <c r="A4" s="1624" t="s">
        <v>1263</v>
      </c>
      <c r="B4" s="1625" t="s">
        <v>1264</v>
      </c>
      <c r="C4" s="1626" t="s">
        <v>4782</v>
      </c>
      <c r="D4" s="1626" t="s">
        <v>4919</v>
      </c>
      <c r="E4" s="3387" t="s">
        <v>1265</v>
      </c>
      <c r="F4" s="3388"/>
      <c r="G4" s="3388"/>
      <c r="H4" s="3388"/>
      <c r="I4" s="3389"/>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26" t="s">
        <v>1266</v>
      </c>
      <c r="B5" s="3381">
        <v>25</v>
      </c>
      <c r="C5" s="3384"/>
      <c r="D5" s="3372"/>
      <c r="E5" s="123" t="s">
        <v>1267</v>
      </c>
      <c r="F5" s="1627"/>
      <c r="G5" s="1627"/>
      <c r="H5" s="1627"/>
      <c r="I5" s="1281"/>
    </row>
    <row r="6" spans="1:12" ht="12.75">
      <c r="A6" s="3326"/>
      <c r="B6" s="3381"/>
      <c r="C6" s="3386"/>
      <c r="D6" s="3372"/>
      <c r="E6" s="123" t="s">
        <v>1268</v>
      </c>
      <c r="F6" s="1627"/>
      <c r="G6" s="1627"/>
      <c r="H6" s="1627"/>
      <c r="I6" s="1281"/>
    </row>
    <row r="7" spans="1:12" ht="12.75">
      <c r="A7" s="3326"/>
      <c r="B7" s="3381"/>
      <c r="C7" s="3385"/>
      <c r="D7" s="3372"/>
      <c r="E7" s="123" t="s">
        <v>1269</v>
      </c>
      <c r="F7" s="1627"/>
      <c r="G7" s="1627"/>
      <c r="H7" s="1627"/>
      <c r="I7" s="1281"/>
    </row>
    <row r="8" spans="1:12" ht="12.75">
      <c r="A8" s="3326" t="s">
        <v>1270</v>
      </c>
      <c r="B8" s="3381">
        <v>15</v>
      </c>
      <c r="C8" s="3384"/>
      <c r="D8" s="3372"/>
      <c r="E8" s="123" t="s">
        <v>1271</v>
      </c>
      <c r="F8" s="1627"/>
      <c r="G8" s="1627"/>
      <c r="H8" s="1627"/>
      <c r="I8" s="1281"/>
    </row>
    <row r="9" spans="1:12" ht="12.75">
      <c r="A9" s="3326"/>
      <c r="B9" s="3381"/>
      <c r="C9" s="3385"/>
      <c r="D9" s="3372"/>
      <c r="E9" s="123" t="s">
        <v>1272</v>
      </c>
      <c r="F9" s="1627"/>
      <c r="G9" s="1627"/>
      <c r="H9" s="1627"/>
      <c r="I9" s="1281"/>
    </row>
    <row r="10" spans="1:12" ht="12.75">
      <c r="A10" s="3326" t="s">
        <v>1273</v>
      </c>
      <c r="B10" s="3381">
        <v>15</v>
      </c>
      <c r="C10" s="3384"/>
      <c r="D10" s="3372"/>
      <c r="E10" s="123" t="s">
        <v>1274</v>
      </c>
      <c r="F10" s="1627"/>
      <c r="G10" s="1627"/>
      <c r="H10" s="1627"/>
      <c r="I10" s="1281"/>
    </row>
    <row r="11" spans="1:12" ht="12.75">
      <c r="A11" s="3326"/>
      <c r="B11" s="3381"/>
      <c r="C11" s="3385"/>
      <c r="D11" s="3372"/>
      <c r="E11" s="123" t="s">
        <v>1275</v>
      </c>
      <c r="F11" s="1627"/>
      <c r="G11" s="1627"/>
      <c r="H11" s="1627"/>
      <c r="I11" s="1281"/>
    </row>
    <row r="12" spans="1:12" ht="12.75">
      <c r="A12" s="3326" t="s">
        <v>1276</v>
      </c>
      <c r="B12" s="3381">
        <v>15</v>
      </c>
      <c r="C12" s="3384"/>
      <c r="D12" s="3372"/>
      <c r="E12" s="123" t="s">
        <v>1277</v>
      </c>
      <c r="F12" s="1627"/>
      <c r="G12" s="1627"/>
      <c r="H12" s="1627"/>
      <c r="I12" s="1281"/>
    </row>
    <row r="13" spans="1:12" ht="12.75">
      <c r="A13" s="3326"/>
      <c r="B13" s="3381"/>
      <c r="C13" s="3385"/>
      <c r="D13" s="3372"/>
      <c r="E13" s="123" t="s">
        <v>1278</v>
      </c>
      <c r="F13" s="1627"/>
      <c r="G13" s="1627"/>
      <c r="H13" s="1627"/>
      <c r="I13" s="1281"/>
    </row>
    <row r="14" spans="1:12" ht="12.75">
      <c r="A14" s="3326" t="s">
        <v>1279</v>
      </c>
      <c r="B14" s="3381">
        <v>30</v>
      </c>
      <c r="C14" s="3384">
        <v>7</v>
      </c>
      <c r="D14" s="3372">
        <f>10-C14</f>
        <v>3</v>
      </c>
      <c r="E14" s="123" t="s">
        <v>1280</v>
      </c>
      <c r="F14" s="1627"/>
      <c r="G14" s="1627"/>
      <c r="H14" s="1627"/>
      <c r="I14" s="1281"/>
    </row>
    <row r="15" spans="1:12" ht="12.75">
      <c r="A15" s="3326"/>
      <c r="B15" s="3381"/>
      <c r="C15" s="3386"/>
      <c r="D15" s="3372"/>
      <c r="E15" s="123" t="s">
        <v>1281</v>
      </c>
      <c r="F15" s="1627"/>
      <c r="G15" s="1627"/>
      <c r="H15" s="1627"/>
      <c r="I15" s="1281"/>
    </row>
    <row r="16" spans="1:12" ht="12.75">
      <c r="A16" s="3326"/>
      <c r="B16" s="3381"/>
      <c r="C16" s="3385"/>
      <c r="D16" s="3372"/>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403" t="s">
        <v>2129</v>
      </c>
      <c r="F18" s="3404"/>
      <c r="G18" s="3404"/>
      <c r="H18" s="3404"/>
      <c r="I18" s="3404"/>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15.747299999999999</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1853</v>
      </c>
      <c r="D20" s="130">
        <f ca="1">SUMIF(INDIRECT("'"&amp;D4&amp;"'"&amp;"!A:A"),'结果表-仓储'!B20,INDIRECT("'"&amp;D4&amp;"'"&amp;"!B:B"))</f>
        <v>3448</v>
      </c>
      <c r="E20" s="1633"/>
      <c r="F20" s="43" t="s">
        <v>1293</v>
      </c>
      <c r="G20" s="131">
        <f ca="1">ROUND(C20*$C$18+D20*$D$18,0)</f>
        <v>2332</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96" t="s">
        <v>1297</v>
      </c>
      <c r="B24" s="1631" t="s">
        <v>1289</v>
      </c>
      <c r="C24" s="128">
        <f>IF(B30=0,0,D30)</f>
        <v>0</v>
      </c>
      <c r="D24" s="1637"/>
      <c r="E24" s="121"/>
      <c r="F24" s="121"/>
      <c r="G24" s="121"/>
      <c r="H24" s="121"/>
      <c r="I24" s="121"/>
    </row>
    <row r="25" spans="1:36" ht="14.25">
      <c r="A25" s="339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2332</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3" t="s">
        <v>1310</v>
      </c>
      <c r="B36" s="1652" t="s">
        <v>1311</v>
      </c>
      <c r="C36" s="137"/>
      <c r="D36" s="1653"/>
      <c r="E36" s="1567"/>
      <c r="F36" s="1654"/>
      <c r="G36" s="121"/>
      <c r="H36" s="121"/>
      <c r="I36" s="121"/>
    </row>
    <row r="37" spans="1:15" ht="15.75" thickBot="1">
      <c r="A37" s="3374"/>
      <c r="B37" s="1555" t="s">
        <v>1312</v>
      </c>
      <c r="C37" s="139"/>
      <c r="D37" s="1071"/>
      <c r="E37" s="1071"/>
      <c r="F37" s="1654"/>
      <c r="G37" s="121"/>
      <c r="H37" s="121"/>
      <c r="I37" s="121"/>
    </row>
    <row r="38" spans="1:15" ht="15.75" thickBot="1">
      <c r="A38" s="3375"/>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93" t="s">
        <v>1324</v>
      </c>
      <c r="B45" s="3394"/>
      <c r="C45" s="3395"/>
      <c r="D45" s="147" t="e">
        <f ca="1">ROUND(H101*F45,0)</f>
        <v>#REF!</v>
      </c>
      <c r="E45" s="148" t="s">
        <v>1325</v>
      </c>
      <c r="F45" s="149">
        <v>1</v>
      </c>
      <c r="G45" s="150" t="s">
        <v>1326</v>
      </c>
      <c r="H45" s="121"/>
      <c r="I45" s="121"/>
      <c r="J45" s="3313" t="s">
        <v>1327</v>
      </c>
      <c r="K45" s="3313"/>
      <c r="L45" s="3313"/>
      <c r="M45" s="3313"/>
      <c r="N45" s="3313"/>
      <c r="O45" s="3313"/>
    </row>
    <row r="46" spans="1:15" ht="14.25" customHeight="1">
      <c r="A46" s="3390" t="s">
        <v>1328</v>
      </c>
      <c r="B46" s="3391"/>
      <c r="C46" s="3391"/>
      <c r="D46" s="3391"/>
      <c r="E46" s="3391"/>
      <c r="F46" s="3391"/>
      <c r="G46" s="3392"/>
      <c r="H46" s="1668"/>
      <c r="I46" s="151"/>
      <c r="J46" s="2310">
        <v>1</v>
      </c>
      <c r="K46" s="3314" t="s">
        <v>1329</v>
      </c>
      <c r="L46" s="3314"/>
      <c r="M46" s="3315"/>
      <c r="N46" s="3315"/>
      <c r="O46" s="3315"/>
    </row>
    <row r="47" spans="1:15" ht="12" customHeight="1">
      <c r="A47" s="152" t="s">
        <v>1330</v>
      </c>
      <c r="B47" s="153"/>
      <c r="C47" s="154"/>
      <c r="D47" s="1024" t="s">
        <v>1331</v>
      </c>
      <c r="E47" s="294" t="s">
        <v>1332</v>
      </c>
      <c r="F47" s="155" t="s">
        <v>1333</v>
      </c>
      <c r="G47" s="2333" t="s">
        <v>1334</v>
      </c>
      <c r="H47" s="2334"/>
      <c r="I47" s="151"/>
      <c r="J47" s="2310">
        <v>2</v>
      </c>
      <c r="K47" s="3314" t="s">
        <v>1335</v>
      </c>
      <c r="L47" s="3314"/>
      <c r="M47" s="3316">
        <f>'数据-取费表'!B2</f>
        <v>45974</v>
      </c>
      <c r="N47" s="3316"/>
      <c r="O47" s="3316"/>
    </row>
    <row r="48" spans="1:15" ht="25.5">
      <c r="A48" s="3376" t="s">
        <v>1336</v>
      </c>
      <c r="B48" s="3377"/>
      <c r="C48" s="337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314" t="s">
        <v>1338</v>
      </c>
      <c r="L48" s="3314"/>
      <c r="M48" s="3317" t="e">
        <f ca="1">H101</f>
        <v>#REF!</v>
      </c>
      <c r="N48" s="3317"/>
      <c r="O48" s="3317"/>
    </row>
    <row r="49" spans="1:35" ht="25.5" customHeight="1">
      <c r="A49" s="2152" t="s">
        <v>1339</v>
      </c>
      <c r="B49" s="3362" t="s">
        <v>1340</v>
      </c>
      <c r="C49" s="3362"/>
      <c r="D49" s="1478">
        <v>0</v>
      </c>
      <c r="E49" s="316" t="s">
        <v>1341</v>
      </c>
      <c r="F49" s="2233" t="s">
        <v>28</v>
      </c>
      <c r="G49" s="3345"/>
      <c r="H49" s="2134" t="s">
        <v>2132</v>
      </c>
      <c r="I49" s="2135"/>
      <c r="J49" s="2310">
        <v>4</v>
      </c>
      <c r="K49" s="3314" t="str">
        <f>IF(项目基本情况!E8="房地产抵押价值","房地产抵押价值","抵押担保权已注销时的房地产抵押价值")</f>
        <v>抵押担保权已注销时的房地产抵押价值</v>
      </c>
      <c r="L49" s="3314"/>
      <c r="M49" s="3317" t="str">
        <f>IF(项目基本情况!E8="房地产抵押价值",H107,H109)</f>
        <v>——</v>
      </c>
      <c r="N49" s="3317"/>
      <c r="O49" s="3317"/>
    </row>
    <row r="50" spans="1:35" ht="25.5" customHeight="1">
      <c r="A50" s="2338"/>
      <c r="B50" s="3362" t="s">
        <v>1342</v>
      </c>
      <c r="C50" s="3362"/>
      <c r="D50" s="2189"/>
      <c r="E50" s="323"/>
      <c r="F50" s="2233"/>
      <c r="G50" s="3346"/>
      <c r="H50" s="2136" t="s">
        <v>2133</v>
      </c>
      <c r="I50" s="2135"/>
      <c r="J50" s="3313" t="s">
        <v>1343</v>
      </c>
      <c r="K50" s="3313"/>
      <c r="L50" s="3313"/>
      <c r="M50" s="3313"/>
      <c r="N50" s="3313"/>
      <c r="O50" s="3313"/>
    </row>
    <row r="51" spans="1:35" ht="20.45" customHeight="1">
      <c r="A51" s="2339"/>
      <c r="B51" s="3362" t="s">
        <v>1344</v>
      </c>
      <c r="C51" s="3362"/>
      <c r="D51" s="1024"/>
      <c r="E51" s="319"/>
      <c r="F51" s="2233"/>
      <c r="G51" s="3347"/>
      <c r="H51" s="2136" t="s">
        <v>2134</v>
      </c>
      <c r="I51" s="2135"/>
      <c r="J51" s="2311" t="s">
        <v>1345</v>
      </c>
      <c r="K51" s="3314" t="s">
        <v>1346</v>
      </c>
      <c r="L51" s="3314"/>
      <c r="M51" s="2311" t="s">
        <v>1347</v>
      </c>
      <c r="N51" s="2311" t="s">
        <v>1348</v>
      </c>
      <c r="O51" s="2311" t="s">
        <v>1349</v>
      </c>
    </row>
    <row r="52" spans="1:35" ht="24" customHeight="1">
      <c r="A52" s="2153" t="s">
        <v>1350</v>
      </c>
      <c r="B52" s="3362" t="s">
        <v>1351</v>
      </c>
      <c r="C52" s="3362"/>
      <c r="D52" s="1024" t="e">
        <f ca="1">ROUND(D45*'数据-取费表'!B41/(1+'数据-取费表'!C42),0)</f>
        <v>#REF!</v>
      </c>
      <c r="E52" s="1256" t="s">
        <v>1352</v>
      </c>
      <c r="F52" s="2340">
        <f>'数据-取费表'!B41</f>
        <v>5.6000000000000001E-2</v>
      </c>
      <c r="G52" s="2341"/>
      <c r="H52" s="2331"/>
      <c r="I52" s="1669"/>
      <c r="J52" s="2310">
        <v>1</v>
      </c>
      <c r="K52" s="3339" t="s">
        <v>1353</v>
      </c>
      <c r="L52" s="3339"/>
      <c r="M52" s="2312" t="b">
        <f>D48</f>
        <v>0</v>
      </c>
      <c r="N52" s="2310" t="str">
        <f>E48</f>
        <v>销售额×税（费）率</v>
      </c>
      <c r="O52" s="2313">
        <f>F48</f>
        <v>5.6000000000000001E-2</v>
      </c>
    </row>
    <row r="53" spans="1:35" ht="12" customHeight="1">
      <c r="A53" s="2153" t="s">
        <v>1354</v>
      </c>
      <c r="B53" s="3363" t="s">
        <v>2289</v>
      </c>
      <c r="C53" s="3364"/>
      <c r="D53" s="1024" t="e">
        <f ca="1">ROUND(D45*'数据-取费表'!B41/(1+'数据-取费表'!C42),0)</f>
        <v>#REF!</v>
      </c>
      <c r="E53" s="1256" t="s">
        <v>1352</v>
      </c>
      <c r="F53" s="2340">
        <f>'数据-取费表'!B41</f>
        <v>5.6000000000000001E-2</v>
      </c>
      <c r="G53" s="2341"/>
      <c r="H53" s="2331"/>
      <c r="I53" s="1669"/>
      <c r="J53" s="2310">
        <v>2</v>
      </c>
      <c r="K53" s="3339" t="s">
        <v>1355</v>
      </c>
      <c r="L53" s="3339"/>
      <c r="M53" s="2312" t="e">
        <f t="shared" ref="M53:O54" ca="1" si="0">D55</f>
        <v>#REF!</v>
      </c>
      <c r="N53" s="2310" t="str">
        <f t="shared" si="0"/>
        <v>销售额×税（费）率</v>
      </c>
      <c r="O53" s="2313" t="str">
        <f t="shared" si="0"/>
        <v>免征</v>
      </c>
    </row>
    <row r="54" spans="1:35" ht="12" customHeight="1">
      <c r="A54" s="2153" t="s">
        <v>1356</v>
      </c>
      <c r="B54" s="3363" t="s">
        <v>2290</v>
      </c>
      <c r="C54" s="3364"/>
      <c r="D54" s="1024" t="e">
        <f ca="1">C68</f>
        <v>#REF!</v>
      </c>
      <c r="E54" s="319" t="s">
        <v>1357</v>
      </c>
      <c r="F54" s="2340">
        <f>'数据-取费表'!B41</f>
        <v>5.6000000000000001E-2</v>
      </c>
      <c r="G54" s="2341"/>
      <c r="H54" s="2342"/>
      <c r="I54" s="1669"/>
      <c r="J54" s="2310">
        <v>3</v>
      </c>
      <c r="K54" s="3339" t="s">
        <v>1358</v>
      </c>
      <c r="L54" s="3339"/>
      <c r="M54" s="2312" t="e">
        <f t="shared" ca="1" si="0"/>
        <v>#REF!</v>
      </c>
      <c r="N54" s="2310" t="str">
        <f t="shared" si="0"/>
        <v>增值额×税（费）率</v>
      </c>
      <c r="O54" s="2314" t="str">
        <f t="shared" si="0"/>
        <v>免征</v>
      </c>
    </row>
    <row r="55" spans="1:35" ht="24" customHeight="1">
      <c r="A55" s="3399" t="s">
        <v>1359</v>
      </c>
      <c r="B55" s="3377"/>
      <c r="C55" s="3377"/>
      <c r="D55" s="12" t="e">
        <f ca="1">IF(H55="个人住宅",0,ROUND(D45*I55,0))</f>
        <v>#REF!</v>
      </c>
      <c r="E55" s="1256" t="s">
        <v>1360</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399" t="s">
        <v>1361</v>
      </c>
      <c r="B56" s="3377"/>
      <c r="C56" s="3377"/>
      <c r="D56" s="12" t="e">
        <f ca="1">IF(H56="个人住宅",D57,D58)</f>
        <v>#REF!</v>
      </c>
      <c r="E56" s="1256" t="s">
        <v>1362</v>
      </c>
      <c r="F56" s="2340" t="str">
        <f>IF(H56="正常",F58,"免征")</f>
        <v>免征</v>
      </c>
      <c r="G56" s="2343" t="s">
        <v>1363</v>
      </c>
      <c r="H56" s="2344"/>
      <c r="I56" s="1670"/>
      <c r="J56" s="2310" t="str">
        <f>IF(项目基本情况!K6="上海银行",IF(J55="",4,J55+1),"")</f>
        <v/>
      </c>
      <c r="K56" s="3320" t="str">
        <f>IF(项目基本情况!K6="上海银行","其他处置费用","")</f>
        <v/>
      </c>
      <c r="L56" s="3321"/>
      <c r="M56" s="2312" t="str">
        <f>IF(项目基本情况!K6="上海银行",M69,"")</f>
        <v/>
      </c>
      <c r="N56" s="3320" t="str">
        <f>IF(项目基本情况!K6="上海银行","包含处置中涉及的律师、诉讼、拍卖、评估等费用","")</f>
        <v/>
      </c>
      <c r="O56" s="3323"/>
    </row>
    <row r="57" spans="1:35" ht="12.75">
      <c r="A57" s="2153" t="s">
        <v>1339</v>
      </c>
      <c r="B57" s="3363" t="s">
        <v>1364</v>
      </c>
      <c r="C57" s="3364"/>
      <c r="D57" s="1478">
        <v>0</v>
      </c>
      <c r="E57" s="316" t="s">
        <v>1341</v>
      </c>
      <c r="F57" s="294"/>
      <c r="G57" s="2341"/>
      <c r="H57" s="2345"/>
      <c r="I57" s="1670"/>
      <c r="J57" s="3339">
        <f>IF(AND(J55="",J56=""),4,IF(项目基本情况!K6="上海银行",'结果表-仓储'!J56+1,'结果表-仓储'!J55+1))</f>
        <v>5</v>
      </c>
      <c r="K57" s="3339" t="s">
        <v>1365</v>
      </c>
      <c r="L57" s="2317" t="s">
        <v>1366</v>
      </c>
      <c r="M57" s="2318"/>
      <c r="N57" s="2319">
        <f ca="1">SUMIF(M52:M56,"&lt;9e307")</f>
        <v>0</v>
      </c>
      <c r="O57" s="2320"/>
      <c r="P57" s="2465" t="e">
        <f ca="1">N57/M49</f>
        <v>#VALUE!</v>
      </c>
    </row>
    <row r="58" spans="1:35" ht="24.75">
      <c r="A58" s="2153" t="s">
        <v>1350</v>
      </c>
      <c r="B58" s="3363" t="s">
        <v>1367</v>
      </c>
      <c r="C58" s="3362"/>
      <c r="D58" s="12" t="e">
        <f ca="1">IF(H58="转让取得",C81,C97)</f>
        <v>#REF!</v>
      </c>
      <c r="E58" s="1256" t="s">
        <v>1362</v>
      </c>
      <c r="F58" s="294" t="s">
        <v>28</v>
      </c>
      <c r="G58" s="2341"/>
      <c r="H58" s="2344"/>
      <c r="I58" s="1670"/>
      <c r="J58" s="3339"/>
      <c r="K58" s="3339"/>
      <c r="L58" s="2317" t="s">
        <v>1368</v>
      </c>
      <c r="M58" s="2321"/>
      <c r="N58" s="2322" t="str">
        <f ca="1">NUMBERSTRING(INT(N57*10000),2)&amp;"元整"</f>
        <v>零元整</v>
      </c>
      <c r="O58" s="2323"/>
    </row>
    <row r="59" spans="1:35" ht="24.75" thickBot="1">
      <c r="A59" s="3343" t="s">
        <v>1369</v>
      </c>
      <c r="B59" s="3344"/>
      <c r="C59" s="3344"/>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41">
        <f>J57+1</f>
        <v>6</v>
      </c>
      <c r="K59" s="3339" t="s">
        <v>1370</v>
      </c>
      <c r="L59" s="2310" t="s">
        <v>1366</v>
      </c>
      <c r="M59" s="2324"/>
      <c r="N59" s="2325" t="e">
        <f ca="1">M49-N57</f>
        <v>#VALUE!</v>
      </c>
      <c r="O59" s="2326"/>
    </row>
    <row r="60" spans="1:35" ht="12" customHeight="1">
      <c r="A60" s="1671"/>
      <c r="B60" s="646"/>
      <c r="C60" s="646"/>
      <c r="D60" s="646"/>
      <c r="E60" s="1466"/>
      <c r="F60" s="1670"/>
      <c r="G60" s="1670"/>
      <c r="H60" s="151"/>
      <c r="I60" s="121"/>
      <c r="J60" s="3342"/>
      <c r="K60" s="3339"/>
      <c r="L60" s="2317" t="s">
        <v>1368</v>
      </c>
      <c r="M60" s="2321"/>
      <c r="N60" s="2322" t="e">
        <f ca="1">NUMBERSTRING(INT(N59*10000),2)&amp;"元整"</f>
        <v>#VALUE!</v>
      </c>
      <c r="O60" s="2323"/>
    </row>
    <row r="61" spans="1:35" ht="13.5" thickBot="1">
      <c r="A61" s="3398" t="s">
        <v>1371</v>
      </c>
      <c r="B61" s="3398"/>
      <c r="C61" s="3398"/>
      <c r="D61" s="3398"/>
      <c r="E61" s="3398"/>
      <c r="F61" s="1670"/>
      <c r="G61" s="1670"/>
      <c r="H61" s="151"/>
      <c r="I61" s="121"/>
      <c r="J61" s="2310">
        <f>J59+1</f>
        <v>7</v>
      </c>
      <c r="K61" s="3339" t="s">
        <v>1372</v>
      </c>
      <c r="L61" s="3339"/>
      <c r="M61" s="2327"/>
      <c r="N61" s="2328" t="e">
        <f ca="1">ROUND(N59*10000/'数据-汇总表'!E3,0)</f>
        <v>#VALUE!</v>
      </c>
      <c r="O61" s="2329"/>
    </row>
    <row r="62" spans="1:35" ht="12.75">
      <c r="A62" s="3358" t="s">
        <v>1373</v>
      </c>
      <c r="B62" s="3359"/>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32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32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32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32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32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32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2"/>
      <c r="K69" s="1245" t="s">
        <v>1391</v>
      </c>
      <c r="L69" s="1245"/>
      <c r="M69" s="294" t="e">
        <f>ROUND(SUM(M63:M68),0)</f>
        <v>#VALUE!</v>
      </c>
      <c r="N69" s="2332" t="e">
        <f>M69/M49</f>
        <v>#VALUE!</v>
      </c>
      <c r="Z69" s="1623"/>
      <c r="AI69" s="1561"/>
    </row>
    <row r="70" spans="1:35" s="642" customFormat="1" ht="15" thickBot="1">
      <c r="A70" s="3366" t="s">
        <v>1392</v>
      </c>
      <c r="B70" s="3367"/>
      <c r="C70" s="3367"/>
      <c r="D70" s="3367"/>
      <c r="E70" s="3367"/>
      <c r="F70" s="3367"/>
      <c r="G70" s="3367"/>
      <c r="H70" s="33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58" t="s">
        <v>1373</v>
      </c>
      <c r="B71" s="3359"/>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3" t="s">
        <v>1400</v>
      </c>
      <c r="F76" s="3362"/>
      <c r="G76" s="3362"/>
      <c r="H76" s="33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5" t="s">
        <v>1404</v>
      </c>
      <c r="F78" s="3356"/>
      <c r="G78" s="3356"/>
      <c r="H78" s="335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66" t="s">
        <v>1408</v>
      </c>
      <c r="B83" s="3367"/>
      <c r="C83" s="3367"/>
      <c r="D83" s="3367"/>
      <c r="E83" s="3367"/>
      <c r="F83" s="3367"/>
      <c r="G83" s="3367"/>
      <c r="H83" s="33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58" t="s">
        <v>1373</v>
      </c>
      <c r="B84" s="3359"/>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24" t="s">
        <v>2127</v>
      </c>
      <c r="H90" s="332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5" t="s">
        <v>1417</v>
      </c>
      <c r="F91" s="3356"/>
      <c r="G91" s="335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5" t="s">
        <v>1420</v>
      </c>
      <c r="F92" s="3356"/>
      <c r="G92" s="3356"/>
      <c r="H92" s="335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5" t="s">
        <v>1404</v>
      </c>
      <c r="F93" s="3356"/>
      <c r="G93" s="3356"/>
      <c r="H93" s="335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00" t="s">
        <v>1424</v>
      </c>
      <c r="F94" s="3401"/>
      <c r="G94" s="3401"/>
      <c r="H94" s="34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05" t="s">
        <v>1426</v>
      </c>
      <c r="B100" s="3306"/>
      <c r="C100" s="3306"/>
      <c r="D100" s="3340"/>
      <c r="E100" s="3306" t="s">
        <v>1427</v>
      </c>
      <c r="F100" s="3306"/>
      <c r="G100" s="3306"/>
      <c r="H100" s="3340"/>
      <c r="I100" s="121"/>
    </row>
    <row r="101" spans="1:35" ht="18.75" customHeight="1">
      <c r="A101" s="3348" t="s">
        <v>1428</v>
      </c>
      <c r="B101" s="3349"/>
      <c r="C101" s="2371" t="str">
        <f>C4</f>
        <v>收益法 (元)-仓储</v>
      </c>
      <c r="D101" s="2372" t="str">
        <f>D4</f>
        <v>比较法-仓储</v>
      </c>
      <c r="E101" s="3318" t="s">
        <v>1429</v>
      </c>
      <c r="F101" s="3319"/>
      <c r="G101" s="1687" t="s">
        <v>1430</v>
      </c>
      <c r="H101" s="2381" t="e">
        <f ca="1">H118</f>
        <v>#REF!</v>
      </c>
      <c r="I101" s="121"/>
    </row>
    <row r="102" spans="1:35" ht="18.75" customHeight="1">
      <c r="A102" s="3350" t="s">
        <v>1431</v>
      </c>
      <c r="B102" s="2370" t="s">
        <v>1430</v>
      </c>
      <c r="C102" s="2371">
        <f ca="1">IF(D32="楼面单价",ROUND(C19,0),C19)</f>
        <v>15.747299999999999</v>
      </c>
      <c r="D102" s="2372">
        <f ca="1">IF(D32="楼面单价",ROUND(D19,0),D19)</f>
        <v>0</v>
      </c>
      <c r="E102" s="3318"/>
      <c r="F102" s="3319"/>
      <c r="G102" s="1687" t="s">
        <v>1432</v>
      </c>
      <c r="H102" s="2341" t="e">
        <f ca="1">I118</f>
        <v>#REF!</v>
      </c>
      <c r="I102" s="121"/>
    </row>
    <row r="103" spans="1:35" ht="42.75" customHeight="1">
      <c r="A103" s="3350"/>
      <c r="B103" s="2370" t="s">
        <v>1432</v>
      </c>
      <c r="C103" s="2373">
        <f ca="1">C20</f>
        <v>1853</v>
      </c>
      <c r="D103" s="2374">
        <f ca="1">D20</f>
        <v>3448</v>
      </c>
      <c r="E103" s="3311" t="s">
        <v>1433</v>
      </c>
      <c r="F103" s="3312"/>
      <c r="G103" s="1688" t="s">
        <v>1434</v>
      </c>
      <c r="H103" s="2381">
        <f>IF(D36="正常操作",H104+H105+H106,H105+H106)</f>
        <v>0</v>
      </c>
      <c r="I103" s="121"/>
    </row>
    <row r="104" spans="1:35" ht="18.75" customHeight="1">
      <c r="A104" s="3350"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60"/>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51" t="str">
        <f>IF(项目基本情况!E8="已注销","——","3.房地产抵押价值")</f>
        <v>3.房地产抵押价值</v>
      </c>
      <c r="F107" s="3319"/>
      <c r="G107" s="1687" t="s">
        <v>1430</v>
      </c>
      <c r="H107" s="2381" t="e">
        <f ca="1">IF(E107="——","——",H101-H103)</f>
        <v>#REF!</v>
      </c>
      <c r="I107" s="121"/>
    </row>
    <row r="108" spans="1:35" ht="18.75" customHeight="1">
      <c r="A108" s="121"/>
      <c r="B108" s="121"/>
      <c r="C108" s="121"/>
      <c r="D108" s="121"/>
      <c r="E108" s="3351"/>
      <c r="F108" s="3319"/>
      <c r="G108" s="1687" t="s">
        <v>1432</v>
      </c>
      <c r="H108" s="2341">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7" t="s">
        <v>1430</v>
      </c>
      <c r="H109" s="2384" t="str">
        <f>IF(E109="——","——",H101-H105-H106)</f>
        <v>——</v>
      </c>
      <c r="I109" s="121"/>
    </row>
    <row r="110" spans="1:35" ht="18.75" customHeight="1">
      <c r="A110" s="121"/>
      <c r="B110" s="121"/>
      <c r="C110" s="121"/>
      <c r="D110" s="121"/>
      <c r="E110" s="3351"/>
      <c r="F110" s="3319"/>
      <c r="G110" s="1687" t="s">
        <v>1432</v>
      </c>
      <c r="H110" s="2341"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7" t="s">
        <v>1430</v>
      </c>
      <c r="H111" s="2381" t="str">
        <f>IF(E111="——","——",N59)</f>
        <v>——</v>
      </c>
      <c r="I111" s="121"/>
    </row>
    <row r="112" spans="1:35" ht="18.75" customHeight="1" thickBot="1">
      <c r="A112" s="121"/>
      <c r="B112" s="121"/>
      <c r="C112" s="121"/>
      <c r="D112" s="121"/>
      <c r="E112" s="3353"/>
      <c r="F112" s="3354"/>
      <c r="G112" s="1690" t="s">
        <v>1432</v>
      </c>
      <c r="H112" s="2385" t="str">
        <f>IF(E111="——","——",N61)</f>
        <v>——</v>
      </c>
      <c r="I112" s="121"/>
    </row>
    <row r="113" spans="1:27" ht="18.75" customHeight="1">
      <c r="A113" s="121"/>
      <c r="B113" s="121"/>
      <c r="C113" s="121"/>
      <c r="D113" s="121"/>
      <c r="E113" s="3361" t="s">
        <v>1438</v>
      </c>
      <c r="F113" s="3361"/>
      <c r="G113" s="3361"/>
      <c r="H113" s="3361"/>
      <c r="I113" s="121"/>
    </row>
    <row r="114" spans="1:27" ht="3.75" customHeight="1">
      <c r="A114" s="646"/>
      <c r="B114" s="646"/>
      <c r="C114" s="646"/>
      <c r="D114" s="646"/>
      <c r="E114" s="1671"/>
      <c r="F114" s="1671"/>
      <c r="G114" s="1671"/>
      <c r="H114" s="1671"/>
      <c r="I114" s="646"/>
    </row>
    <row r="115" spans="1:27" ht="18.75" customHeight="1">
      <c r="A115" s="3369" t="s">
        <v>1440</v>
      </c>
      <c r="B115" s="3370"/>
      <c r="C115" s="3370"/>
      <c r="D115" s="3370"/>
      <c r="E115" s="3370"/>
      <c r="F115" s="3370"/>
      <c r="G115" s="3370"/>
      <c r="H115" s="3370"/>
      <c r="I115" s="3371"/>
    </row>
    <row r="116" spans="1:27" ht="27" customHeight="1">
      <c r="A116" s="3326" t="s">
        <v>1441</v>
      </c>
      <c r="B116" s="3330" t="s">
        <v>1442</v>
      </c>
      <c r="C116" s="3330" t="s">
        <v>1443</v>
      </c>
      <c r="D116" s="3336" t="s">
        <v>1444</v>
      </c>
      <c r="E116" s="3337"/>
      <c r="F116" s="3368" t="s">
        <v>1445</v>
      </c>
      <c r="G116" s="3368"/>
      <c r="H116" s="3326" t="s">
        <v>1446</v>
      </c>
      <c r="I116" s="3326"/>
    </row>
    <row r="117" spans="1:27" ht="18.75" customHeight="1">
      <c r="A117" s="3326"/>
      <c r="B117" s="3331"/>
      <c r="C117" s="3331"/>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6" t="s">
        <v>1450</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2" t="s">
        <v>1450</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
      </c>
      <c r="B122" s="3338"/>
      <c r="C122" s="3338"/>
      <c r="D122" s="3327" t="e">
        <f ca="1">H107</f>
        <v>#REF!</v>
      </c>
      <c r="E122" s="3328"/>
      <c r="F122" s="3328"/>
      <c r="G122" s="3328"/>
      <c r="H122" s="3328"/>
      <c r="I122" s="3329"/>
      <c r="AA122" s="684"/>
    </row>
    <row r="123" spans="1:27" ht="18.75" customHeight="1">
      <c r="A123" s="3326" t="s">
        <v>1450</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1450</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1450</v>
      </c>
      <c r="B127" s="3326"/>
      <c r="C127" s="3326"/>
      <c r="D127" s="3332" t="e">
        <f>NUMBERSTRING(INT(D126*10000),2)&amp;"元整"</f>
        <v>#VALUE!</v>
      </c>
      <c r="E127" s="3334"/>
      <c r="F127" s="3334"/>
      <c r="G127" s="3334"/>
      <c r="H127" s="3334"/>
      <c r="I127" s="3333"/>
      <c r="AA127" s="684"/>
    </row>
    <row r="128" spans="1:27" ht="21.75" customHeight="1">
      <c r="A128" s="3335" t="s">
        <v>1451</v>
      </c>
      <c r="B128" s="3335"/>
      <c r="C128" s="3335"/>
      <c r="D128" s="3335"/>
      <c r="E128" s="3335"/>
      <c r="F128" s="3335"/>
      <c r="G128" s="3335"/>
      <c r="H128" s="3335"/>
      <c r="I128" s="333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15.747299999999999</v>
      </c>
      <c r="C2" s="1289" t="s">
        <v>804</v>
      </c>
      <c r="D2" s="1375">
        <f ca="1">C40+J29+L46</f>
        <v>157473</v>
      </c>
      <c r="E2" s="1295" t="s">
        <v>879</v>
      </c>
      <c r="F2" s="1296"/>
      <c r="G2" s="2479"/>
      <c r="H2" s="2469"/>
      <c r="I2" s="2469"/>
      <c r="J2" s="2469"/>
      <c r="K2" s="2470"/>
      <c r="L2" s="2469"/>
      <c r="M2" s="2469"/>
    </row>
    <row r="3" spans="1:37" ht="18" customHeight="1" thickBot="1">
      <c r="A3" s="1297" t="s">
        <v>805</v>
      </c>
      <c r="B3" s="1298">
        <f ca="1">IF(ISERROR(D2/F43),0,ROUND(D2/F43,0))</f>
        <v>1853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410" t="s">
        <v>693</v>
      </c>
      <c r="C6" s="1011">
        <f ca="1">ROUND(F6*F8*F7*(1-F9),0)</f>
        <v>12410</v>
      </c>
      <c r="D6" s="147" t="s">
        <v>2104</v>
      </c>
      <c r="E6" s="294" t="s">
        <v>695</v>
      </c>
      <c r="F6" s="295">
        <f ca="1">INDIRECT("'数据-取费表'!u"&amp;$G$1)</f>
        <v>0.5</v>
      </c>
      <c r="G6" s="1292"/>
      <c r="H6" s="1006" t="s">
        <v>398</v>
      </c>
      <c r="I6" s="3410" t="s">
        <v>693</v>
      </c>
      <c r="J6" s="293">
        <f ca="1">ROUND(M6*M8*M7*(1-M9),0)</f>
        <v>0</v>
      </c>
      <c r="K6" s="1284" t="s">
        <v>2105</v>
      </c>
      <c r="L6" s="294" t="s">
        <v>695</v>
      </c>
      <c r="M6" s="295">
        <f ca="1">INDIRECT("'数据-取费表'!z"&amp;$G$1)</f>
        <v>0</v>
      </c>
    </row>
    <row r="7" spans="1:37" ht="18" customHeight="1">
      <c r="A7" s="1010"/>
      <c r="B7" s="3411"/>
      <c r="C7" s="1012"/>
      <c r="D7" s="299"/>
      <c r="E7" s="1013" t="s">
        <v>696</v>
      </c>
      <c r="F7" s="295">
        <f ca="1">IF(INDIRECT("'数据-取费表'!ah"&amp;$G$1)="",INDIRECT("'数据-取费表'!k"&amp;$G$1),INDIRECT("'数据-取费表'!ah"&amp;$G$1))</f>
        <v>85</v>
      </c>
      <c r="G7" s="1292"/>
      <c r="H7" s="296"/>
      <c r="I7" s="3411"/>
      <c r="J7" s="298"/>
      <c r="K7" s="299"/>
      <c r="L7" s="294" t="s">
        <v>696</v>
      </c>
      <c r="M7" s="295">
        <f ca="1">F7</f>
        <v>85</v>
      </c>
    </row>
    <row r="8" spans="1:37" ht="18" customHeight="1">
      <c r="A8" s="296"/>
      <c r="B8" s="3411"/>
      <c r="C8" s="298"/>
      <c r="D8" s="299"/>
      <c r="E8" s="294" t="s">
        <v>697</v>
      </c>
      <c r="F8" s="295">
        <f ca="1">INDIRECT("'数据-取费表'!ai"&amp;$G$1)</f>
        <v>365</v>
      </c>
      <c r="G8" s="1292"/>
      <c r="H8" s="296"/>
      <c r="I8" s="3411"/>
      <c r="J8" s="298"/>
      <c r="K8" s="299"/>
      <c r="L8" s="294" t="s">
        <v>697</v>
      </c>
      <c r="M8" s="295">
        <f ca="1">INDIRECT("'数据-取费表'!ai"&amp;$G$1)</f>
        <v>365</v>
      </c>
    </row>
    <row r="9" spans="1:37" ht="18" customHeight="1">
      <c r="A9" s="296"/>
      <c r="B9" s="3412"/>
      <c r="C9" s="298"/>
      <c r="D9" s="299"/>
      <c r="E9" s="294" t="s">
        <v>698</v>
      </c>
      <c r="F9" s="304">
        <f ca="1">INDIRECT("'数据-取费表'!w"&amp;$G$1)</f>
        <v>0.2</v>
      </c>
      <c r="G9" s="1292"/>
      <c r="H9" s="296"/>
      <c r="I9" s="3412"/>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390599</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340000</v>
      </c>
      <c r="D14" s="1257" t="s">
        <v>707</v>
      </c>
      <c r="E14" s="1255"/>
      <c r="F14" s="311"/>
      <c r="G14" s="1292"/>
      <c r="H14" s="928" t="s">
        <v>398</v>
      </c>
      <c r="I14" s="294" t="s">
        <v>708</v>
      </c>
      <c r="J14" s="21">
        <f ca="1">C29</f>
        <v>459528</v>
      </c>
      <c r="K14" s="12"/>
      <c r="L14" s="759"/>
      <c r="M14" s="760"/>
    </row>
    <row r="15" spans="1:37" s="1304" customFormat="1" ht="18" customHeight="1" thickBot="1">
      <c r="A15" s="928" t="s">
        <v>399</v>
      </c>
      <c r="B15" s="294" t="s">
        <v>709</v>
      </c>
      <c r="C15" s="21">
        <f ca="1">ROUND(C14*F15,0)</f>
        <v>17000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919</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6800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384710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3847</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919</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12161</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-919</v>
      </c>
      <c r="K25" s="1032" t="s">
        <v>752</v>
      </c>
      <c r="L25" s="1033"/>
      <c r="M25" s="1034"/>
    </row>
    <row r="26" spans="1:37" ht="18" customHeight="1">
      <c r="A26" s="928" t="s">
        <v>397</v>
      </c>
      <c r="B26" s="294" t="s">
        <v>753</v>
      </c>
      <c r="C26" s="21">
        <f ca="1">ROUND((C19+C20)*F26,0)</f>
        <v>19428</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459528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3514</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919</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8912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137831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1622</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-15.809100000000001</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19642</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137831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19642</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459528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-265148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08" t="s">
        <v>836</v>
      </c>
      <c r="L53" s="3409"/>
      <c r="O53" s="1325" t="s">
        <v>409</v>
      </c>
      <c r="P53" s="1326" t="s">
        <v>837</v>
      </c>
      <c r="Q53" s="1327">
        <f ca="1">Q47+Q48</f>
        <v>157473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390599</v>
      </c>
      <c r="D56" s="1352"/>
      <c r="E56" s="1353"/>
      <c r="F56" s="1345"/>
      <c r="I56" s="1354" t="s">
        <v>841</v>
      </c>
      <c r="J56" s="1355" t="s">
        <v>4789</v>
      </c>
      <c r="K56" s="1328" t="s">
        <v>842</v>
      </c>
      <c r="L56" s="1331" t="str">
        <f ca="1">IF(L48&lt;J51,"——",L48-J51)</f>
        <v>——</v>
      </c>
      <c r="O56" s="1325" t="s">
        <v>403</v>
      </c>
      <c r="P56" s="1326" t="s">
        <v>816</v>
      </c>
      <c r="Q56" s="1327">
        <f ca="1">C40+J29</f>
        <v>137831</v>
      </c>
      <c r="R56" s="1327" t="s">
        <v>817</v>
      </c>
    </row>
    <row r="57" spans="1:18" s="1292" customFormat="1" ht="24.75" thickBot="1">
      <c r="A57" s="1356"/>
      <c r="B57" s="896" t="s">
        <v>766</v>
      </c>
      <c r="C57" s="230">
        <f ca="1">C29</f>
        <v>459528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1310</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183811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19642</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137831</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919</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391</v>
      </c>
      <c r="D65" s="910" t="s">
        <v>742</v>
      </c>
      <c r="E65" s="896" t="s">
        <v>711</v>
      </c>
      <c r="F65" s="321">
        <f t="shared" ca="1" si="0"/>
        <v>1E-3</v>
      </c>
      <c r="I65" s="1367" t="s">
        <v>866</v>
      </c>
      <c r="J65" s="610">
        <v>40</v>
      </c>
      <c r="K65" s="610">
        <v>30</v>
      </c>
      <c r="L65" s="610">
        <v>50</v>
      </c>
      <c r="M65" s="1369">
        <v>0.02</v>
      </c>
      <c r="O65" s="1325" t="s">
        <v>403</v>
      </c>
      <c r="P65" s="1326" t="s">
        <v>816</v>
      </c>
      <c r="Q65" s="1327">
        <f ca="1">C40+J29</f>
        <v>137831</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-1310</v>
      </c>
      <c r="D67" s="909" t="s">
        <v>752</v>
      </c>
      <c r="E67" s="914"/>
      <c r="F67" s="915"/>
      <c r="O67" s="1334" t="s">
        <v>405</v>
      </c>
      <c r="P67" s="1326" t="s">
        <v>849</v>
      </c>
      <c r="Q67" s="1370">
        <f ca="1">L51</f>
        <v>-265148</v>
      </c>
      <c r="R67" s="1327" t="s">
        <v>869</v>
      </c>
    </row>
    <row r="68" spans="1:18" s="1292" customFormat="1" ht="16.5" thickBot="1">
      <c r="A68" s="893" t="s">
        <v>395</v>
      </c>
      <c r="B68" s="894" t="s">
        <v>773</v>
      </c>
      <c r="C68" s="293">
        <f ca="1">ROUND(C67*(1-((1+F70)/(1+F68))^F69)/(F68-F70),0)</f>
        <v>-20260</v>
      </c>
      <c r="D68" s="911" t="s">
        <v>757</v>
      </c>
      <c r="E68" s="896" t="s">
        <v>758</v>
      </c>
      <c r="F68" s="304">
        <f ca="1">F40</f>
        <v>5.5E-2</v>
      </c>
      <c r="O68" s="1334" t="s">
        <v>406</v>
      </c>
      <c r="P68" s="1371" t="s">
        <v>870</v>
      </c>
      <c r="Q68" s="1327">
        <f ca="1">ROUND(Q69-Q70*Q71,0)</f>
        <v>-14524</v>
      </c>
      <c r="R68" s="1327" t="s">
        <v>414</v>
      </c>
    </row>
    <row r="69" spans="1:18" s="1292" customFormat="1" ht="13.5" thickBot="1">
      <c r="A69" s="897"/>
      <c r="B69" s="898"/>
      <c r="C69" s="298"/>
      <c r="D69" s="916" t="s">
        <v>761</v>
      </c>
      <c r="E69" s="896" t="s">
        <v>762</v>
      </c>
      <c r="F69" s="324">
        <f ca="1">F41</f>
        <v>35.51</v>
      </c>
      <c r="O69" s="1334" t="s">
        <v>411</v>
      </c>
      <c r="P69" s="1371" t="s">
        <v>871</v>
      </c>
      <c r="Q69" s="1327">
        <f ca="1">C39</f>
        <v>8912</v>
      </c>
      <c r="R69" s="1327" t="s">
        <v>817</v>
      </c>
    </row>
    <row r="70" spans="1:18" s="1292" customFormat="1" ht="13.5" thickBot="1">
      <c r="A70" s="900"/>
      <c r="B70" s="901"/>
      <c r="C70" s="302"/>
      <c r="D70" s="912"/>
      <c r="E70" s="896" t="s">
        <v>765</v>
      </c>
      <c r="F70" s="991"/>
      <c r="O70" s="1334" t="s">
        <v>412</v>
      </c>
      <c r="P70" s="1371" t="s">
        <v>872</v>
      </c>
      <c r="Q70" s="1327">
        <f ca="1">C13</f>
        <v>390599</v>
      </c>
      <c r="R70" s="1327" t="s">
        <v>817</v>
      </c>
    </row>
    <row r="71" spans="1:18" s="1292" customFormat="1" ht="13.5" thickBot="1">
      <c r="A71" s="917" t="s">
        <v>396</v>
      </c>
      <c r="B71" s="918" t="s">
        <v>775</v>
      </c>
      <c r="C71" s="327">
        <f ca="1">ROUND(C68/F71,0)</f>
        <v>-238</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23436</v>
      </c>
      <c r="D75" s="1292"/>
      <c r="E75" s="1292"/>
      <c r="F75" s="1292"/>
      <c r="K75" s="1309"/>
      <c r="L75" s="1292"/>
      <c r="O75" s="1325" t="s">
        <v>409</v>
      </c>
      <c r="P75" s="1326" t="s">
        <v>837</v>
      </c>
      <c r="Q75" s="1327">
        <f ca="1">Q65+Q66</f>
        <v>137831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-1.63</v>
      </c>
    </row>
    <row r="80" spans="1:18">
      <c r="B80" s="331" t="s">
        <v>799</v>
      </c>
      <c r="C80" s="266">
        <f ca="1">ROUND(C75/C39,3)</f>
        <v>2.63</v>
      </c>
    </row>
    <row r="81" spans="2:3">
      <c r="B81" s="262" t="s">
        <v>800</v>
      </c>
      <c r="C81" s="230"/>
    </row>
    <row r="82" spans="2:3">
      <c r="B82" s="265" t="s">
        <v>801</v>
      </c>
      <c r="C82" s="267">
        <f ca="1">1-C83</f>
        <v>-1.8340000000000001</v>
      </c>
    </row>
    <row r="83" spans="2:3">
      <c r="B83" s="265" t="s">
        <v>802</v>
      </c>
      <c r="C83" s="266">
        <f ca="1">ROUND(C13/C40,3)</f>
        <v>2.8340000000000001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M20" sqref="M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3448</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tr">
        <f>市场售价案例!C43</f>
        <v>泉星小区仓储</v>
      </c>
      <c r="F5" s="3443"/>
      <c r="G5" s="3444" t="str">
        <f>市场售价案例!P15</f>
        <v>博翠明湖仓储</v>
      </c>
      <c r="H5" s="3445"/>
      <c r="I5" s="3444" t="str">
        <f>市场售价案例!P34</f>
        <v>世茂天城仓储</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436" t="s">
        <v>1678</v>
      </c>
      <c r="Q7" s="3463"/>
      <c r="R7" s="664" t="s">
        <v>14</v>
      </c>
      <c r="S7" s="665">
        <f t="shared" ref="S7:S14" si="0">F7</f>
        <v>101</v>
      </c>
      <c r="T7" s="664" t="s">
        <v>14</v>
      </c>
      <c r="U7" s="665">
        <f t="shared" ref="U7:U14" si="1">H7</f>
        <v>100</v>
      </c>
      <c r="V7" s="664" t="s">
        <v>14</v>
      </c>
      <c r="W7" s="665">
        <f t="shared" ref="W7:W14" si="2">J7</f>
        <v>101</v>
      </c>
      <c r="X7" s="666"/>
      <c r="Y7" s="3436" t="s">
        <v>1678</v>
      </c>
      <c r="Z7" s="3437"/>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3" t="s">
        <v>1684</v>
      </c>
      <c r="Q9" s="530" t="str">
        <f t="shared" ref="Q9:Q14" si="6">B9</f>
        <v>用途</v>
      </c>
      <c r="R9" s="664" t="s">
        <v>14</v>
      </c>
      <c r="S9" s="665">
        <f t="shared" si="0"/>
        <v>100</v>
      </c>
      <c r="T9" s="664" t="s">
        <v>14</v>
      </c>
      <c r="U9" s="665">
        <f t="shared" si="1"/>
        <v>100</v>
      </c>
      <c r="V9" s="664" t="s">
        <v>14</v>
      </c>
      <c r="W9" s="665">
        <f t="shared" si="2"/>
        <v>100</v>
      </c>
      <c r="X9" s="666"/>
      <c r="Y9" s="3381"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102</v>
      </c>
      <c r="I10" s="3133" t="s">
        <v>4935</v>
      </c>
      <c r="J10" s="119">
        <f>SUMIF(53:53,I10,54:54)-SUMIF(53:53,C10,54:54)+100</f>
        <v>102</v>
      </c>
      <c r="K10" s="38"/>
      <c r="L10" s="2490"/>
      <c r="M10" s="2491"/>
      <c r="N10" s="2491"/>
      <c r="O10" s="2542"/>
      <c r="P10" s="3473"/>
      <c r="Q10" s="530" t="str">
        <f t="shared" si="6"/>
        <v>土地使用年限（年）</v>
      </c>
      <c r="R10" s="664" t="s">
        <v>14</v>
      </c>
      <c r="S10" s="665">
        <f t="shared" si="0"/>
        <v>100</v>
      </c>
      <c r="T10" s="664" t="s">
        <v>14</v>
      </c>
      <c r="U10" s="665">
        <f t="shared" si="1"/>
        <v>102</v>
      </c>
      <c r="V10" s="664" t="s">
        <v>14</v>
      </c>
      <c r="W10" s="665">
        <f t="shared" si="2"/>
        <v>102</v>
      </c>
      <c r="X10" s="666"/>
      <c r="Y10" s="3381"/>
      <c r="Z10" s="50" t="str">
        <f t="shared" si="7"/>
        <v>土地使用年限（年）</v>
      </c>
      <c r="AA10" s="50">
        <f t="shared" si="3"/>
        <v>1</v>
      </c>
      <c r="AB10" s="50">
        <f t="shared" si="4"/>
        <v>0.98039215686274506</v>
      </c>
      <c r="AC10" s="50">
        <f t="shared" si="5"/>
        <v>0.98039215686274506</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3"/>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66" t="s">
        <v>1689</v>
      </c>
      <c r="Q14" s="1263" t="str">
        <f t="shared" si="6"/>
        <v>交通便捷度</v>
      </c>
      <c r="R14" s="667" t="s">
        <v>14</v>
      </c>
      <c r="S14" s="668">
        <f t="shared" si="0"/>
        <v>102</v>
      </c>
      <c r="T14" s="667" t="s">
        <v>14</v>
      </c>
      <c r="U14" s="668">
        <f t="shared" si="1"/>
        <v>98</v>
      </c>
      <c r="V14" s="667" t="s">
        <v>14</v>
      </c>
      <c r="W14" s="668">
        <f t="shared" si="2"/>
        <v>102</v>
      </c>
      <c r="X14" s="1265"/>
      <c r="Y14" s="3466"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67"/>
      <c r="Q15" s="1263"/>
      <c r="R15" s="667"/>
      <c r="S15" s="668"/>
      <c r="T15" s="667"/>
      <c r="U15" s="668"/>
      <c r="V15" s="667"/>
      <c r="W15" s="668"/>
      <c r="X15" s="1265"/>
      <c r="Y15" s="3467"/>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7"/>
      <c r="Q16" s="1263" t="str">
        <f>B16</f>
        <v>公共配套设施</v>
      </c>
      <c r="R16" s="667" t="s">
        <v>14</v>
      </c>
      <c r="S16" s="668">
        <f>F16</f>
        <v>100</v>
      </c>
      <c r="T16" s="667" t="s">
        <v>14</v>
      </c>
      <c r="U16" s="668">
        <f>H16</f>
        <v>100</v>
      </c>
      <c r="V16" s="667" t="s">
        <v>14</v>
      </c>
      <c r="W16" s="668">
        <f>J16</f>
        <v>100</v>
      </c>
      <c r="X16" s="1265"/>
      <c r="Y16" s="34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7"/>
      <c r="Q17" s="1263"/>
      <c r="R17" s="667"/>
      <c r="S17" s="668"/>
      <c r="T17" s="667"/>
      <c r="U17" s="668"/>
      <c r="V17" s="667"/>
      <c r="W17" s="668"/>
      <c r="X17" s="1265"/>
      <c r="Y17" s="3467"/>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7"/>
      <c r="Q18" s="1263" t="str">
        <f>B18</f>
        <v>基础设施水平</v>
      </c>
      <c r="R18" s="667" t="s">
        <v>14</v>
      </c>
      <c r="S18" s="668">
        <f>F18</f>
        <v>100</v>
      </c>
      <c r="T18" s="667" t="s">
        <v>14</v>
      </c>
      <c r="U18" s="668">
        <f>H18</f>
        <v>100</v>
      </c>
      <c r="V18" s="667" t="s">
        <v>14</v>
      </c>
      <c r="W18" s="668">
        <f>J18</f>
        <v>100</v>
      </c>
      <c r="X18" s="1265"/>
      <c r="Y18" s="34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7"/>
      <c r="Q19" s="1263"/>
      <c r="R19" s="667"/>
      <c r="S19" s="668"/>
      <c r="T19" s="667"/>
      <c r="U19" s="668"/>
      <c r="V19" s="667"/>
      <c r="W19" s="668"/>
      <c r="X19" s="1265"/>
      <c r="Y19" s="3467"/>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7"/>
      <c r="Q20" s="1263" t="str">
        <f>B20</f>
        <v>自然及人文环境</v>
      </c>
      <c r="R20" s="667" t="s">
        <v>14</v>
      </c>
      <c r="S20" s="668">
        <f>F20</f>
        <v>100</v>
      </c>
      <c r="T20" s="667" t="s">
        <v>14</v>
      </c>
      <c r="U20" s="668">
        <f>H20</f>
        <v>100</v>
      </c>
      <c r="V20" s="667" t="s">
        <v>14</v>
      </c>
      <c r="W20" s="668">
        <f>J20</f>
        <v>100</v>
      </c>
      <c r="X20" s="1265"/>
      <c r="Y20" s="34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7"/>
      <c r="Q21" s="1263"/>
      <c r="R21" s="667"/>
      <c r="S21" s="668"/>
      <c r="T21" s="667"/>
      <c r="U21" s="668"/>
      <c r="V21" s="667"/>
      <c r="W21" s="668"/>
      <c r="X21" s="1265"/>
      <c r="Y21" s="3467"/>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7"/>
      <c r="Q22" s="1263" t="str">
        <f>B22</f>
        <v>楼层</v>
      </c>
      <c r="R22" s="667" t="s">
        <v>14</v>
      </c>
      <c r="S22" s="668">
        <f>F22</f>
        <v>100</v>
      </c>
      <c r="T22" s="667" t="s">
        <v>14</v>
      </c>
      <c r="U22" s="668">
        <f>H22</f>
        <v>100</v>
      </c>
      <c r="V22" s="667" t="s">
        <v>14</v>
      </c>
      <c r="W22" s="668">
        <f>J22</f>
        <v>100</v>
      </c>
      <c r="X22" s="1265"/>
      <c r="Y22" s="34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7"/>
      <c r="Q23" s="1263">
        <f>B23</f>
        <v>111</v>
      </c>
      <c r="R23" s="667" t="s">
        <v>14</v>
      </c>
      <c r="S23" s="668">
        <f>F23</f>
        <v>100</v>
      </c>
      <c r="T23" s="667" t="s">
        <v>14</v>
      </c>
      <c r="U23" s="668">
        <f>H23</f>
        <v>100</v>
      </c>
      <c r="V23" s="667" t="s">
        <v>14</v>
      </c>
      <c r="W23" s="668">
        <f>J23</f>
        <v>100</v>
      </c>
      <c r="X23" s="1265"/>
      <c r="Y23" s="34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7"/>
      <c r="Q24" s="1263">
        <f t="shared" ref="Q24:Q34" si="11">B24</f>
        <v>111</v>
      </c>
      <c r="R24" s="667" t="s">
        <v>14</v>
      </c>
      <c r="S24" s="668">
        <f>F24</f>
        <v>100</v>
      </c>
      <c r="T24" s="667" t="s">
        <v>14</v>
      </c>
      <c r="U24" s="668">
        <f>H24</f>
        <v>100</v>
      </c>
      <c r="V24" s="667" t="s">
        <v>14</v>
      </c>
      <c r="W24" s="668">
        <f>J24</f>
        <v>100</v>
      </c>
      <c r="X24" s="1265"/>
      <c r="Y24" s="346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7"/>
      <c r="Q25" s="530">
        <f t="shared" si="11"/>
        <v>111</v>
      </c>
      <c r="R25" s="664" t="s">
        <v>14</v>
      </c>
      <c r="S25" s="665">
        <f>F25</f>
        <v>100</v>
      </c>
      <c r="T25" s="664" t="s">
        <v>14</v>
      </c>
      <c r="U25" s="665">
        <f>H25</f>
        <v>100</v>
      </c>
      <c r="V25" s="664" t="s">
        <v>14</v>
      </c>
      <c r="W25" s="665">
        <f>J25</f>
        <v>100</v>
      </c>
      <c r="X25" s="666"/>
      <c r="Y25" s="3467"/>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9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1"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71"/>
      <c r="Q27" s="531" t="str">
        <f t="shared" si="11"/>
        <v>成新率</v>
      </c>
      <c r="R27" s="669" t="s">
        <v>14</v>
      </c>
      <c r="S27" s="670">
        <f t="shared" si="12"/>
        <v>100</v>
      </c>
      <c r="T27" s="669" t="s">
        <v>14</v>
      </c>
      <c r="U27" s="670">
        <f t="shared" si="13"/>
        <v>102</v>
      </c>
      <c r="V27" s="669" t="s">
        <v>14</v>
      </c>
      <c r="W27" s="670">
        <f t="shared" si="14"/>
        <v>102</v>
      </c>
      <c r="X27" s="671"/>
      <c r="Y27" s="3471"/>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1"/>
      <c r="Q28" s="1263" t="str">
        <f t="shared" si="11"/>
        <v>物业等级</v>
      </c>
      <c r="R28" s="667" t="s">
        <v>14</v>
      </c>
      <c r="S28" s="668">
        <f t="shared" si="12"/>
        <v>100</v>
      </c>
      <c r="T28" s="667" t="s">
        <v>14</v>
      </c>
      <c r="U28" s="668">
        <f t="shared" si="13"/>
        <v>100</v>
      </c>
      <c r="V28" s="667" t="s">
        <v>14</v>
      </c>
      <c r="W28" s="668">
        <f t="shared" si="14"/>
        <v>100</v>
      </c>
      <c r="X28" s="1265"/>
      <c r="Y28" s="3471"/>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1"/>
      <c r="Q29" s="1263" t="str">
        <f t="shared" si="11"/>
        <v>有无电梯</v>
      </c>
      <c r="R29" s="667" t="s">
        <v>14</v>
      </c>
      <c r="S29" s="668">
        <f t="shared" si="12"/>
        <v>100</v>
      </c>
      <c r="T29" s="667" t="s">
        <v>14</v>
      </c>
      <c r="U29" s="668">
        <f t="shared" si="13"/>
        <v>100</v>
      </c>
      <c r="V29" s="667" t="s">
        <v>14</v>
      </c>
      <c r="W29" s="668">
        <f t="shared" si="14"/>
        <v>100</v>
      </c>
      <c r="X29" s="1265"/>
      <c r="Y29" s="3471"/>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71"/>
      <c r="Q30" s="1263" t="str">
        <f t="shared" si="11"/>
        <v>建筑面积</v>
      </c>
      <c r="R30" s="667" t="s">
        <v>14</v>
      </c>
      <c r="S30" s="668">
        <f t="shared" si="12"/>
        <v>98</v>
      </c>
      <c r="T30" s="667" t="s">
        <v>14</v>
      </c>
      <c r="U30" s="668">
        <f t="shared" si="13"/>
        <v>100</v>
      </c>
      <c r="V30" s="667" t="s">
        <v>14</v>
      </c>
      <c r="W30" s="668">
        <f t="shared" si="14"/>
        <v>98</v>
      </c>
      <c r="X30" s="1265"/>
      <c r="Y30" s="3471"/>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1"/>
      <c r="Q31" s="530" t="str">
        <f t="shared" si="11"/>
        <v>是否封闭</v>
      </c>
      <c r="R31" s="664" t="s">
        <v>14</v>
      </c>
      <c r="S31" s="665">
        <f t="shared" si="12"/>
        <v>100</v>
      </c>
      <c r="T31" s="664" t="s">
        <v>14</v>
      </c>
      <c r="U31" s="665">
        <f t="shared" si="13"/>
        <v>100</v>
      </c>
      <c r="V31" s="664" t="s">
        <v>14</v>
      </c>
      <c r="W31" s="665">
        <f t="shared" si="14"/>
        <v>100</v>
      </c>
      <c r="X31" s="666"/>
      <c r="Y31" s="34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71" t="s">
        <v>1694</v>
      </c>
      <c r="Q32" s="1263">
        <f t="shared" si="11"/>
        <v>111</v>
      </c>
      <c r="R32" s="667" t="s">
        <v>14</v>
      </c>
      <c r="S32" s="668">
        <f t="shared" si="12"/>
        <v>100</v>
      </c>
      <c r="T32" s="667" t="s">
        <v>14</v>
      </c>
      <c r="U32" s="668">
        <f t="shared" si="13"/>
        <v>100</v>
      </c>
      <c r="V32" s="667" t="s">
        <v>14</v>
      </c>
      <c r="W32" s="668">
        <f t="shared" si="14"/>
        <v>100</v>
      </c>
      <c r="X32" s="1265"/>
      <c r="Y32" s="3471"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1"/>
      <c r="Q33" s="1263">
        <f t="shared" si="11"/>
        <v>111</v>
      </c>
      <c r="R33" s="667" t="s">
        <v>14</v>
      </c>
      <c r="S33" s="668">
        <f t="shared" si="12"/>
        <v>100</v>
      </c>
      <c r="T33" s="667" t="s">
        <v>14</v>
      </c>
      <c r="U33" s="668">
        <f t="shared" si="13"/>
        <v>100</v>
      </c>
      <c r="V33" s="667" t="s">
        <v>14</v>
      </c>
      <c r="W33" s="668">
        <f t="shared" si="14"/>
        <v>100</v>
      </c>
      <c r="X33" s="1265"/>
      <c r="Y33" s="347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1"/>
      <c r="Q34" s="1263">
        <f t="shared" si="11"/>
        <v>111</v>
      </c>
      <c r="R34" s="667" t="s">
        <v>14</v>
      </c>
      <c r="S34" s="668">
        <f t="shared" si="12"/>
        <v>100</v>
      </c>
      <c r="T34" s="667" t="s">
        <v>14</v>
      </c>
      <c r="U34" s="668">
        <f t="shared" si="13"/>
        <v>100</v>
      </c>
      <c r="V34" s="667" t="s">
        <v>14</v>
      </c>
      <c r="W34" s="668">
        <f t="shared" si="14"/>
        <v>100</v>
      </c>
      <c r="X34" s="1265"/>
      <c r="Y34" s="3471"/>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73" t="str">
        <f>A35</f>
        <v>成交单价（元/平方米）</v>
      </c>
      <c r="Q35" s="3473"/>
      <c r="R35" s="3435">
        <f>E35</f>
        <v>3473</v>
      </c>
      <c r="S35" s="3435"/>
      <c r="T35" s="3435">
        <f>G35</f>
        <v>3367</v>
      </c>
      <c r="U35" s="3435"/>
      <c r="V35" s="3435">
        <f>I35</f>
        <v>3785</v>
      </c>
      <c r="W35" s="3435"/>
      <c r="X35" s="385"/>
      <c r="Y35" s="673"/>
      <c r="Z35" s="385"/>
      <c r="AA35" s="385"/>
      <c r="AB35" s="385"/>
      <c r="AC35" s="385"/>
    </row>
    <row r="36" spans="1:30" ht="15.75" thickBot="1">
      <c r="A36" s="423" t="s">
        <v>1791</v>
      </c>
      <c r="B36" s="424"/>
      <c r="C36" s="1082">
        <f>R37</f>
        <v>3448</v>
      </c>
      <c r="D36" s="2141" t="s">
        <v>2136</v>
      </c>
      <c r="E36" s="1083">
        <f>R36</f>
        <v>3440</v>
      </c>
      <c r="F36" s="2142"/>
      <c r="G36" s="1082">
        <f>T36</f>
        <v>3302</v>
      </c>
      <c r="H36" s="2142"/>
      <c r="I36" s="1083">
        <f>V36</f>
        <v>3603</v>
      </c>
      <c r="J36" s="2142"/>
      <c r="K36" s="2144">
        <f>F36+H36+J36</f>
        <v>0</v>
      </c>
      <c r="L36" s="2495"/>
      <c r="M36" s="2488"/>
      <c r="N36" s="2488"/>
      <c r="O36" s="2488"/>
      <c r="P36" s="3473" t="str">
        <f>A36</f>
        <v>比较价值（元/平方米）</v>
      </c>
      <c r="Q36" s="3473"/>
      <c r="R36" s="3435">
        <f>IF(F1="售价",ROUND(PRODUCT(R35,AA7:AA34),0),ROUND(PRODUCT(R35,AA7:AA34),1))</f>
        <v>3440</v>
      </c>
      <c r="S36" s="3435"/>
      <c r="T36" s="3435">
        <f>IF(F1="售价",ROUND(PRODUCT(T35,AB7:AB34),0),ROUND(PRODUCT(T35,AB7:AB34),1))</f>
        <v>3302</v>
      </c>
      <c r="U36" s="3435"/>
      <c r="V36" s="3435">
        <f>IF(F1="售价",ROUND(PRODUCT(V35,AC7:AC34),0),ROUND(PRODUCT(V35,AC7:AC34),1))</f>
        <v>3603</v>
      </c>
      <c r="W36" s="3435"/>
      <c r="X36" s="385"/>
      <c r="Y36" s="385"/>
      <c r="Z36" s="385"/>
      <c r="AA36" s="385"/>
      <c r="AB36" s="385"/>
      <c r="AC36" s="385"/>
    </row>
    <row r="37" spans="1:30" ht="15.75" thickBot="1">
      <c r="A37" s="427" t="s">
        <v>1792</v>
      </c>
      <c r="B37" s="428"/>
      <c r="C37" s="351">
        <f>R37</f>
        <v>3448</v>
      </c>
      <c r="D37" s="351"/>
      <c r="E37" s="351"/>
      <c r="F37" s="351"/>
      <c r="G37" s="351"/>
      <c r="H37" s="351"/>
      <c r="I37" s="351"/>
      <c r="J37" s="351"/>
      <c r="K37" s="675"/>
      <c r="L37" s="2495"/>
      <c r="M37" s="2488"/>
      <c r="N37" s="2488"/>
      <c r="O37" s="2488"/>
      <c r="P37" s="3474" t="str">
        <f>A37</f>
        <v>估价对象XX用房的比较价值（楼面单价，元/平方米）</v>
      </c>
      <c r="Q37" s="3475"/>
      <c r="R37" s="3495">
        <f>IF(F1="售价",ROUND(IF(D36="简单平均",AVERAGE(R36:W36),R36*F36+T36*H36+V36*J36),0),ROUND(IF(D36="简单平均",AVERAGE(R36:V36),R36*F36+T36*H36+V36*J36),1))</f>
        <v>3448</v>
      </c>
      <c r="S37" s="3495"/>
      <c r="T37" s="3495"/>
      <c r="U37" s="3495"/>
      <c r="V37" s="3495"/>
      <c r="W37" s="349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9.5930232558139039E-3</v>
      </c>
      <c r="F40" s="435" t="str">
        <f>IF(OR(E40&gt;=0.3,E40&lt;=-0.3),"超过30%","")</f>
        <v/>
      </c>
      <c r="G40" s="434">
        <f>IF(G35&lt;G36,G36/G35-1,G35/G36-1)</f>
        <v>1.9685039370078705E-2</v>
      </c>
      <c r="H40" s="435" t="str">
        <f>IF(OR(G40&gt;=0.3,G40&lt;=-0.3),"超过30%","")</f>
        <v/>
      </c>
      <c r="I40" s="434">
        <f>IF(I35&lt;I36,I36/I35-1,I35/I36-1)</f>
        <v>5.0513461004718208E-2</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4.1792852816474824E-2</v>
      </c>
      <c r="F41" s="435" t="str">
        <f>IF(OR(E41&gt;=0.2,E41&lt;=-0.2),"超过20%","")</f>
        <v/>
      </c>
      <c r="G41" s="434">
        <f>IF(G36&lt;I36,I36/G36-1,G36/I36-1)</f>
        <v>9.1156874621441508E-2</v>
      </c>
      <c r="H41" s="435" t="str">
        <f>IF(OR(G41&gt;=0.2,G41&lt;=-0.2),"超过20%","")</f>
        <v/>
      </c>
      <c r="I41" s="434">
        <f>IF(I36&lt;E36,E36/I36-1,I36/E36-1)</f>
        <v>4.7383720930232576E-2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212">
        <f t="shared" ref="P46" si="17">EDATE(O46,-1)</f>
        <v>45566</v>
      </c>
      <c r="Q46" s="3212">
        <f t="shared" ref="Q46" si="18">EDATE(P46,-1)</f>
        <v>45536</v>
      </c>
      <c r="R46" s="3212">
        <f t="shared" ref="R46" si="19">EDATE(Q46,-1)</f>
        <v>45505</v>
      </c>
      <c r="S46" s="3212">
        <f t="shared" ref="S46" si="20">EDATE(R46,-1)</f>
        <v>45474</v>
      </c>
      <c r="T46" s="3212">
        <f t="shared" ref="T46" si="21">EDATE(S46,-1)</f>
        <v>45444</v>
      </c>
      <c r="U46" s="3212">
        <f t="shared" ref="U46" si="22">EDATE(T46,-1)</f>
        <v>45413</v>
      </c>
      <c r="V46" s="3212">
        <f t="shared" ref="V46" si="23">EDATE(U46,-1)</f>
        <v>45383</v>
      </c>
      <c r="W46" s="3212">
        <f t="shared" ref="W46" si="24">EDATE(V46,-1)</f>
        <v>45352</v>
      </c>
      <c r="X46" s="3212">
        <f t="shared" ref="X46" si="25">EDATE(W46,-1)</f>
        <v>45323</v>
      </c>
      <c r="Y46" s="3212">
        <f t="shared" ref="Y46" si="26">EDATE(X46,-1)</f>
        <v>45292</v>
      </c>
      <c r="Z46" s="3212">
        <f t="shared" ref="Z46" si="27">EDATE(Y46,-1)</f>
        <v>45261</v>
      </c>
      <c r="AA46" s="3212">
        <f t="shared" ref="AA46" si="28">EDATE(Z46,-1)</f>
        <v>45231</v>
      </c>
      <c r="AB46" s="3212">
        <f t="shared" ref="AB46" si="29">EDATE(AA46,-1)</f>
        <v>45200</v>
      </c>
      <c r="AC46" s="3212">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102</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2464.2336</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2462</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96" t="s">
        <v>1652</v>
      </c>
      <c r="C5" s="3497"/>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213.16210000000001</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1675.18</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560.14419999999996</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15.747299999999999</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51" t="s">
        <v>1665</v>
      </c>
      <c r="D4" s="3452"/>
      <c r="E4" s="3453" t="s">
        <v>1666</v>
      </c>
      <c r="F4" s="3454"/>
      <c r="G4" s="3451" t="s">
        <v>1667</v>
      </c>
      <c r="H4" s="3452"/>
      <c r="I4" s="3451" t="s">
        <v>1668</v>
      </c>
      <c r="J4" s="3452"/>
      <c r="K4" s="1744" t="s">
        <v>1669</v>
      </c>
      <c r="L4" s="2487"/>
      <c r="M4" s="2488"/>
      <c r="N4" s="2488"/>
      <c r="O4" s="2488"/>
      <c r="P4" s="3455" t="s">
        <v>1670</v>
      </c>
      <c r="Q4" s="3456"/>
      <c r="R4" s="3438" t="s">
        <v>1666</v>
      </c>
      <c r="S4" s="3439"/>
      <c r="T4" s="3438" t="s">
        <v>1667</v>
      </c>
      <c r="U4" s="3439"/>
      <c r="V4" s="3435" t="s">
        <v>1668</v>
      </c>
      <c r="W4" s="3435"/>
      <c r="X4" s="1265"/>
      <c r="Y4" s="3438" t="s">
        <v>1670</v>
      </c>
      <c r="Z4" s="3439"/>
      <c r="AA4" s="3432" t="s">
        <v>1666</v>
      </c>
      <c r="AB4" s="3432" t="s">
        <v>1667</v>
      </c>
      <c r="AC4" s="3432" t="s">
        <v>1668</v>
      </c>
    </row>
    <row r="5" spans="1:29" ht="15">
      <c r="A5" s="348"/>
      <c r="B5" s="349"/>
      <c r="C5" s="3444" t="s">
        <v>1671</v>
      </c>
      <c r="D5" s="3445"/>
      <c r="E5" s="3442" t="s">
        <v>1672</v>
      </c>
      <c r="F5" s="3443"/>
      <c r="G5" s="3444" t="s">
        <v>1673</v>
      </c>
      <c r="H5" s="3445"/>
      <c r="I5" s="3444" t="s">
        <v>1674</v>
      </c>
      <c r="J5" s="3445"/>
      <c r="K5" s="1745"/>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1745"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6" t="s">
        <v>1678</v>
      </c>
      <c r="Q7" s="3463"/>
      <c r="R7" s="664" t="s">
        <v>20</v>
      </c>
      <c r="S7" s="665">
        <f t="shared" ref="S7:S15" si="0">F7</f>
        <v>0</v>
      </c>
      <c r="T7" s="664" t="s">
        <v>20</v>
      </c>
      <c r="U7" s="665">
        <f t="shared" ref="U7:U15" si="1">H7</f>
        <v>0</v>
      </c>
      <c r="V7" s="664" t="s">
        <v>20</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6" t="s">
        <v>1681</v>
      </c>
      <c r="Q8" s="3437"/>
      <c r="R8" s="664" t="s">
        <v>20</v>
      </c>
      <c r="S8" s="665">
        <f t="shared" si="0"/>
        <v>100</v>
      </c>
      <c r="T8" s="664" t="s">
        <v>20</v>
      </c>
      <c r="U8" s="665">
        <f t="shared" si="1"/>
        <v>100</v>
      </c>
      <c r="V8" s="664" t="s">
        <v>20</v>
      </c>
      <c r="W8" s="665">
        <f t="shared" si="2"/>
        <v>100</v>
      </c>
      <c r="X8" s="666"/>
      <c r="Y8" s="3436" t="s">
        <v>1681</v>
      </c>
      <c r="Z8" s="343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0"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0"/>
      <c r="Q11" s="530" t="str">
        <f t="shared" si="6"/>
        <v>容积率</v>
      </c>
      <c r="R11" s="664" t="s">
        <v>18</v>
      </c>
      <c r="S11" s="665" t="e">
        <f t="shared" si="0"/>
        <v>#N/A</v>
      </c>
      <c r="T11" s="664" t="s">
        <v>18</v>
      </c>
      <c r="U11" s="665" t="e">
        <f t="shared" si="1"/>
        <v>#N/A</v>
      </c>
      <c r="V11" s="664" t="s">
        <v>18</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0"/>
      <c r="Q12" s="530">
        <f t="shared" si="6"/>
        <v>111</v>
      </c>
      <c r="R12" s="664" t="s">
        <v>18</v>
      </c>
      <c r="S12" s="665">
        <f t="shared" si="0"/>
        <v>100</v>
      </c>
      <c r="T12" s="664" t="s">
        <v>18</v>
      </c>
      <c r="U12" s="665">
        <f t="shared" si="1"/>
        <v>100</v>
      </c>
      <c r="V12" s="664" t="s">
        <v>18</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0"/>
      <c r="Q13" s="530">
        <f t="shared" si="6"/>
        <v>111</v>
      </c>
      <c r="R13" s="664" t="s">
        <v>18</v>
      </c>
      <c r="S13" s="665">
        <f t="shared" si="0"/>
        <v>100</v>
      </c>
      <c r="T13" s="664" t="s">
        <v>18</v>
      </c>
      <c r="U13" s="665">
        <f t="shared" si="1"/>
        <v>100</v>
      </c>
      <c r="V13" s="664" t="s">
        <v>18</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0"/>
      <c r="Q14" s="530">
        <f t="shared" si="6"/>
        <v>111</v>
      </c>
      <c r="R14" s="664" t="s">
        <v>18</v>
      </c>
      <c r="S14" s="665">
        <f t="shared" si="0"/>
        <v>100</v>
      </c>
      <c r="T14" s="664" t="s">
        <v>18</v>
      </c>
      <c r="U14" s="665">
        <f t="shared" si="1"/>
        <v>100</v>
      </c>
      <c r="V14" s="664" t="s">
        <v>18</v>
      </c>
      <c r="W14" s="665">
        <f t="shared" si="2"/>
        <v>100</v>
      </c>
      <c r="X14" s="666"/>
      <c r="Y14" s="338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64" t="s">
        <v>1689</v>
      </c>
      <c r="Q15" s="1263" t="str">
        <f t="shared" si="6"/>
        <v>居住社区成熟度</v>
      </c>
      <c r="R15" s="667" t="s">
        <v>18</v>
      </c>
      <c r="S15" s="668">
        <f t="shared" si="0"/>
        <v>100</v>
      </c>
      <c r="T15" s="667" t="s">
        <v>18</v>
      </c>
      <c r="U15" s="668">
        <f t="shared" si="1"/>
        <v>100</v>
      </c>
      <c r="V15" s="667" t="s">
        <v>18</v>
      </c>
      <c r="W15" s="668">
        <f t="shared" si="2"/>
        <v>100</v>
      </c>
      <c r="X15" s="1265"/>
      <c r="Y15" s="3466"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65"/>
      <c r="Q16" s="1263"/>
      <c r="R16" s="667"/>
      <c r="S16" s="668"/>
      <c r="T16" s="667"/>
      <c r="U16" s="668"/>
      <c r="V16" s="667"/>
      <c r="W16" s="668"/>
      <c r="X16" s="1265"/>
      <c r="Y16" s="3467"/>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65"/>
      <c r="Q17" s="1263" t="str">
        <f>B17</f>
        <v>交通便捷度</v>
      </c>
      <c r="R17" s="667" t="s">
        <v>18</v>
      </c>
      <c r="S17" s="668">
        <f>F17</f>
        <v>100</v>
      </c>
      <c r="T17" s="667" t="s">
        <v>18</v>
      </c>
      <c r="U17" s="668">
        <f>H17</f>
        <v>100</v>
      </c>
      <c r="V17" s="667" t="s">
        <v>18</v>
      </c>
      <c r="W17" s="668">
        <f>J17</f>
        <v>100</v>
      </c>
      <c r="X17" s="1265"/>
      <c r="Y17" s="34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65"/>
      <c r="Q18" s="1263"/>
      <c r="R18" s="667"/>
      <c r="S18" s="668"/>
      <c r="T18" s="667"/>
      <c r="U18" s="668"/>
      <c r="V18" s="667"/>
      <c r="W18" s="668"/>
      <c r="X18" s="1265"/>
      <c r="Y18" s="3467"/>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65"/>
      <c r="Q19" s="1263" t="str">
        <f>B19</f>
        <v>公共配套设施</v>
      </c>
      <c r="R19" s="667" t="s">
        <v>18</v>
      </c>
      <c r="S19" s="668">
        <f>F19</f>
        <v>100</v>
      </c>
      <c r="T19" s="667" t="s">
        <v>18</v>
      </c>
      <c r="U19" s="668">
        <f>H19</f>
        <v>100</v>
      </c>
      <c r="V19" s="667" t="s">
        <v>18</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65"/>
      <c r="Q20" s="1263"/>
      <c r="R20" s="667"/>
      <c r="S20" s="668"/>
      <c r="T20" s="667"/>
      <c r="U20" s="668"/>
      <c r="V20" s="667"/>
      <c r="W20" s="668"/>
      <c r="X20" s="1265"/>
      <c r="Y20" s="3467"/>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65"/>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65"/>
      <c r="Q22" s="1263"/>
      <c r="R22" s="667"/>
      <c r="S22" s="668"/>
      <c r="T22" s="667"/>
      <c r="U22" s="668"/>
      <c r="V22" s="667"/>
      <c r="W22" s="668"/>
      <c r="X22" s="1265"/>
      <c r="Y22" s="3467"/>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65"/>
      <c r="Q23" s="1263" t="str">
        <f>B23</f>
        <v>自然及人文环境</v>
      </c>
      <c r="R23" s="667" t="s">
        <v>18</v>
      </c>
      <c r="S23" s="668">
        <f>F23</f>
        <v>100</v>
      </c>
      <c r="T23" s="667" t="s">
        <v>18</v>
      </c>
      <c r="U23" s="668">
        <f>H23</f>
        <v>100</v>
      </c>
      <c r="V23" s="667" t="s">
        <v>18</v>
      </c>
      <c r="W23" s="668">
        <f>J23</f>
        <v>100</v>
      </c>
      <c r="X23" s="1265"/>
      <c r="Y23" s="34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65"/>
      <c r="Q24" s="1263"/>
      <c r="R24" s="667"/>
      <c r="S24" s="668"/>
      <c r="T24" s="667"/>
      <c r="U24" s="668"/>
      <c r="V24" s="667"/>
      <c r="W24" s="668"/>
      <c r="X24" s="1265"/>
      <c r="Y24" s="3467"/>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6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7"/>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65"/>
      <c r="Q26" s="1263" t="str">
        <f t="shared" si="11"/>
        <v>朝向</v>
      </c>
      <c r="R26" s="667" t="s">
        <v>18</v>
      </c>
      <c r="S26" s="668">
        <f t="shared" si="12"/>
        <v>100</v>
      </c>
      <c r="T26" s="667" t="s">
        <v>18</v>
      </c>
      <c r="U26" s="668">
        <f t="shared" si="13"/>
        <v>100</v>
      </c>
      <c r="V26" s="667" t="s">
        <v>18</v>
      </c>
      <c r="W26" s="668">
        <f t="shared" si="14"/>
        <v>100</v>
      </c>
      <c r="X26" s="1265"/>
      <c r="Y26" s="34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65"/>
      <c r="Q27" s="530">
        <f t="shared" si="11"/>
        <v>111</v>
      </c>
      <c r="R27" s="664" t="s">
        <v>18</v>
      </c>
      <c r="S27" s="665">
        <f t="shared" si="12"/>
        <v>100</v>
      </c>
      <c r="T27" s="664" t="s">
        <v>18</v>
      </c>
      <c r="U27" s="665">
        <f t="shared" si="13"/>
        <v>100</v>
      </c>
      <c r="V27" s="664" t="s">
        <v>18</v>
      </c>
      <c r="W27" s="665">
        <f t="shared" si="14"/>
        <v>100</v>
      </c>
      <c r="X27" s="666"/>
      <c r="Y27" s="34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65"/>
      <c r="Q28" s="1263">
        <f t="shared" si="11"/>
        <v>111</v>
      </c>
      <c r="R28" s="667" t="s">
        <v>18</v>
      </c>
      <c r="S28" s="668">
        <f t="shared" si="12"/>
        <v>100</v>
      </c>
      <c r="T28" s="667" t="s">
        <v>18</v>
      </c>
      <c r="U28" s="668">
        <f t="shared" si="13"/>
        <v>100</v>
      </c>
      <c r="V28" s="667" t="s">
        <v>18</v>
      </c>
      <c r="W28" s="668">
        <f t="shared" si="14"/>
        <v>100</v>
      </c>
      <c r="X28" s="1265"/>
      <c r="Y28" s="34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65"/>
      <c r="Q29" s="1263">
        <f t="shared" si="11"/>
        <v>111</v>
      </c>
      <c r="R29" s="667" t="s">
        <v>18</v>
      </c>
      <c r="S29" s="668">
        <f t="shared" si="12"/>
        <v>100</v>
      </c>
      <c r="T29" s="667" t="s">
        <v>18</v>
      </c>
      <c r="U29" s="668">
        <f t="shared" si="13"/>
        <v>100</v>
      </c>
      <c r="V29" s="667" t="s">
        <v>18</v>
      </c>
      <c r="W29" s="668">
        <f t="shared" si="14"/>
        <v>100</v>
      </c>
      <c r="X29" s="1265"/>
      <c r="Y29" s="34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65"/>
      <c r="Q30" s="1263">
        <f t="shared" si="11"/>
        <v>111</v>
      </c>
      <c r="R30" s="667" t="s">
        <v>18</v>
      </c>
      <c r="S30" s="668">
        <f t="shared" si="12"/>
        <v>100</v>
      </c>
      <c r="T30" s="667" t="s">
        <v>18</v>
      </c>
      <c r="U30" s="668">
        <f t="shared" si="13"/>
        <v>100</v>
      </c>
      <c r="V30" s="667" t="s">
        <v>18</v>
      </c>
      <c r="W30" s="668">
        <f t="shared" si="14"/>
        <v>100</v>
      </c>
      <c r="X30" s="1265"/>
      <c r="Y30" s="346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65"/>
      <c r="Q31" s="1263">
        <f t="shared" si="11"/>
        <v>111</v>
      </c>
      <c r="R31" s="667" t="s">
        <v>18</v>
      </c>
      <c r="S31" s="668">
        <f t="shared" si="12"/>
        <v>100</v>
      </c>
      <c r="T31" s="667" t="s">
        <v>18</v>
      </c>
      <c r="U31" s="668">
        <f t="shared" si="13"/>
        <v>100</v>
      </c>
      <c r="V31" s="667" t="s">
        <v>18</v>
      </c>
      <c r="W31" s="668">
        <f t="shared" si="14"/>
        <v>100</v>
      </c>
      <c r="X31" s="1265"/>
      <c r="Y31" s="3467"/>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8" t="s">
        <v>1694</v>
      </c>
      <c r="Q32" s="1263" t="str">
        <f t="shared" si="11"/>
        <v>建筑类型</v>
      </c>
      <c r="R32" s="667" t="s">
        <v>18</v>
      </c>
      <c r="S32" s="668">
        <f t="shared" si="12"/>
        <v>100</v>
      </c>
      <c r="T32" s="667" t="s">
        <v>18</v>
      </c>
      <c r="U32" s="668">
        <f t="shared" si="13"/>
        <v>100</v>
      </c>
      <c r="V32" s="667" t="s">
        <v>18</v>
      </c>
      <c r="W32" s="668">
        <f t="shared" si="14"/>
        <v>100</v>
      </c>
      <c r="X32" s="1265"/>
      <c r="Y32" s="3471"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9"/>
      <c r="Q33" s="531" t="str">
        <f t="shared" si="11"/>
        <v>项目建筑规模</v>
      </c>
      <c r="R33" s="669" t="s">
        <v>18</v>
      </c>
      <c r="S33" s="670" t="e">
        <f t="shared" si="12"/>
        <v>#N/A</v>
      </c>
      <c r="T33" s="669" t="s">
        <v>18</v>
      </c>
      <c r="U33" s="670" t="e">
        <f t="shared" si="13"/>
        <v>#N/A</v>
      </c>
      <c r="V33" s="669" t="s">
        <v>18</v>
      </c>
      <c r="W33" s="670" t="e">
        <f t="shared" si="14"/>
        <v>#N/A</v>
      </c>
      <c r="X33" s="671"/>
      <c r="Y33" s="3471"/>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9"/>
      <c r="Q34" s="1263" t="str">
        <f t="shared" si="11"/>
        <v>建筑结构</v>
      </c>
      <c r="R34" s="667" t="s">
        <v>18</v>
      </c>
      <c r="S34" s="668">
        <f t="shared" si="12"/>
        <v>100</v>
      </c>
      <c r="T34" s="667" t="s">
        <v>18</v>
      </c>
      <c r="U34" s="668">
        <f t="shared" si="13"/>
        <v>100</v>
      </c>
      <c r="V34" s="667" t="s">
        <v>18</v>
      </c>
      <c r="W34" s="668">
        <f t="shared" si="14"/>
        <v>100</v>
      </c>
      <c r="X34" s="1265"/>
      <c r="Y34" s="3471"/>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9"/>
      <c r="Q35" s="1263" t="str">
        <f t="shared" si="11"/>
        <v>建筑品质</v>
      </c>
      <c r="R35" s="667" t="s">
        <v>18</v>
      </c>
      <c r="S35" s="668">
        <f t="shared" si="12"/>
        <v>100</v>
      </c>
      <c r="T35" s="667" t="s">
        <v>18</v>
      </c>
      <c r="U35" s="668">
        <f t="shared" si="13"/>
        <v>100</v>
      </c>
      <c r="V35" s="667" t="s">
        <v>18</v>
      </c>
      <c r="W35" s="668">
        <f t="shared" si="14"/>
        <v>100</v>
      </c>
      <c r="X35" s="1265"/>
      <c r="Y35" s="3471"/>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9"/>
      <c r="Q36" s="1263" t="str">
        <f t="shared" si="11"/>
        <v>公共部分装修</v>
      </c>
      <c r="R36" s="667" t="s">
        <v>18</v>
      </c>
      <c r="S36" s="668">
        <f t="shared" si="12"/>
        <v>100</v>
      </c>
      <c r="T36" s="667" t="s">
        <v>18</v>
      </c>
      <c r="U36" s="668">
        <f t="shared" si="13"/>
        <v>100</v>
      </c>
      <c r="V36" s="667" t="s">
        <v>18</v>
      </c>
      <c r="W36" s="668">
        <f t="shared" si="14"/>
        <v>100</v>
      </c>
      <c r="X36" s="1265"/>
      <c r="Y36" s="3471"/>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9"/>
      <c r="Q37" s="530" t="str">
        <f t="shared" si="11"/>
        <v>成新度</v>
      </c>
      <c r="R37" s="664" t="s">
        <v>18</v>
      </c>
      <c r="S37" s="665" t="e">
        <f t="shared" si="12"/>
        <v>#N/A</v>
      </c>
      <c r="T37" s="664" t="s">
        <v>18</v>
      </c>
      <c r="U37" s="665" t="e">
        <f t="shared" si="13"/>
        <v>#N/A</v>
      </c>
      <c r="V37" s="664" t="s">
        <v>18</v>
      </c>
      <c r="W37" s="665" t="e">
        <f t="shared" si="14"/>
        <v>#N/A</v>
      </c>
      <c r="X37" s="666"/>
      <c r="Y37" s="3471"/>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9" t="s">
        <v>1694</v>
      </c>
      <c r="Q38" s="1263" t="str">
        <f t="shared" si="11"/>
        <v>物业管理</v>
      </c>
      <c r="R38" s="667" t="s">
        <v>18</v>
      </c>
      <c r="S38" s="668">
        <f t="shared" si="12"/>
        <v>100</v>
      </c>
      <c r="T38" s="667" t="s">
        <v>18</v>
      </c>
      <c r="U38" s="668">
        <f t="shared" si="13"/>
        <v>100</v>
      </c>
      <c r="V38" s="667" t="s">
        <v>18</v>
      </c>
      <c r="W38" s="668">
        <f t="shared" si="14"/>
        <v>100</v>
      </c>
      <c r="X38" s="1265"/>
      <c r="Y38" s="3471"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9"/>
      <c r="Q39" s="1263" t="str">
        <f t="shared" si="11"/>
        <v>市政基础设施</v>
      </c>
      <c r="R39" s="667" t="s">
        <v>18</v>
      </c>
      <c r="S39" s="668">
        <f t="shared" si="12"/>
        <v>100</v>
      </c>
      <c r="T39" s="667" t="s">
        <v>18</v>
      </c>
      <c r="U39" s="668">
        <f t="shared" si="13"/>
        <v>100</v>
      </c>
      <c r="V39" s="667" t="s">
        <v>18</v>
      </c>
      <c r="W39" s="668">
        <f t="shared" si="14"/>
        <v>100</v>
      </c>
      <c r="X39" s="1265"/>
      <c r="Y39" s="3471"/>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9"/>
      <c r="Q40" s="1263" t="str">
        <f t="shared" si="11"/>
        <v>房型</v>
      </c>
      <c r="R40" s="667" t="s">
        <v>18</v>
      </c>
      <c r="S40" s="668">
        <f t="shared" si="12"/>
        <v>100</v>
      </c>
      <c r="T40" s="667" t="s">
        <v>18</v>
      </c>
      <c r="U40" s="668">
        <f t="shared" si="13"/>
        <v>100</v>
      </c>
      <c r="V40" s="667" t="s">
        <v>18</v>
      </c>
      <c r="W40" s="668">
        <f t="shared" si="14"/>
        <v>100</v>
      </c>
      <c r="X40" s="1265"/>
      <c r="Y40" s="3471"/>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9"/>
      <c r="Q41" s="531" t="str">
        <f t="shared" si="11"/>
        <v>单套/主力户型建筑面积</v>
      </c>
      <c r="R41" s="669" t="s">
        <v>18</v>
      </c>
      <c r="S41" s="670">
        <f t="shared" si="12"/>
        <v>100</v>
      </c>
      <c r="T41" s="669" t="s">
        <v>18</v>
      </c>
      <c r="U41" s="670">
        <f t="shared" si="13"/>
        <v>100</v>
      </c>
      <c r="V41" s="669" t="s">
        <v>18</v>
      </c>
      <c r="W41" s="670">
        <f t="shared" si="14"/>
        <v>100</v>
      </c>
      <c r="X41" s="671"/>
      <c r="Y41" s="3471"/>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9"/>
      <c r="Q42" s="1263" t="str">
        <f t="shared" si="11"/>
        <v>内部装修</v>
      </c>
      <c r="R42" s="667" t="s">
        <v>18</v>
      </c>
      <c r="S42" s="668">
        <f t="shared" si="12"/>
        <v>100</v>
      </c>
      <c r="T42" s="667" t="s">
        <v>18</v>
      </c>
      <c r="U42" s="668">
        <f t="shared" si="13"/>
        <v>100</v>
      </c>
      <c r="V42" s="667" t="s">
        <v>18</v>
      </c>
      <c r="W42" s="668">
        <f t="shared" si="14"/>
        <v>100</v>
      </c>
      <c r="X42" s="1265"/>
      <c r="Y42" s="3471"/>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9"/>
      <c r="Q43" s="1263" t="str">
        <f t="shared" si="11"/>
        <v>内部装修维护情况</v>
      </c>
      <c r="R43" s="667" t="s">
        <v>18</v>
      </c>
      <c r="S43" s="668">
        <f t="shared" si="12"/>
        <v>100</v>
      </c>
      <c r="T43" s="667" t="s">
        <v>18</v>
      </c>
      <c r="U43" s="668">
        <f t="shared" si="13"/>
        <v>100</v>
      </c>
      <c r="V43" s="667" t="s">
        <v>18</v>
      </c>
      <c r="W43" s="668">
        <f t="shared" si="14"/>
        <v>100</v>
      </c>
      <c r="X43" s="1265"/>
      <c r="Y43" s="34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9"/>
      <c r="Q44" s="530">
        <f t="shared" si="11"/>
        <v>111</v>
      </c>
      <c r="R44" s="664" t="s">
        <v>18</v>
      </c>
      <c r="S44" s="665">
        <f t="shared" si="12"/>
        <v>100</v>
      </c>
      <c r="T44" s="664" t="s">
        <v>18</v>
      </c>
      <c r="U44" s="665">
        <f t="shared" si="13"/>
        <v>100</v>
      </c>
      <c r="V44" s="664" t="s">
        <v>18</v>
      </c>
      <c r="W44" s="665">
        <f t="shared" si="14"/>
        <v>100</v>
      </c>
      <c r="X44" s="666"/>
      <c r="Y44" s="34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9"/>
      <c r="Q45" s="1263">
        <f t="shared" si="11"/>
        <v>111</v>
      </c>
      <c r="R45" s="667" t="s">
        <v>18</v>
      </c>
      <c r="S45" s="668">
        <f t="shared" si="12"/>
        <v>100</v>
      </c>
      <c r="T45" s="667" t="s">
        <v>18</v>
      </c>
      <c r="U45" s="668">
        <f t="shared" si="13"/>
        <v>100</v>
      </c>
      <c r="V45" s="667" t="s">
        <v>18</v>
      </c>
      <c r="W45" s="668">
        <f t="shared" si="14"/>
        <v>100</v>
      </c>
      <c r="X45" s="1265"/>
      <c r="Y45" s="347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0"/>
      <c r="Q46" s="1263">
        <f t="shared" si="11"/>
        <v>111</v>
      </c>
      <c r="R46" s="667" t="s">
        <v>17</v>
      </c>
      <c r="S46" s="668">
        <f t="shared" si="12"/>
        <v>100</v>
      </c>
      <c r="T46" s="667" t="s">
        <v>17</v>
      </c>
      <c r="U46" s="668">
        <f t="shared" si="13"/>
        <v>100</v>
      </c>
      <c r="V46" s="667" t="s">
        <v>17</v>
      </c>
      <c r="W46" s="668">
        <f t="shared" si="14"/>
        <v>100</v>
      </c>
      <c r="X46" s="1265"/>
      <c r="Y46" s="3472"/>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73" t="str">
        <f>A47</f>
        <v>成交单价（元/平方米）</v>
      </c>
      <c r="Q47" s="3473"/>
      <c r="R47" s="3435">
        <f>E47</f>
        <v>0</v>
      </c>
      <c r="S47" s="3435"/>
      <c r="T47" s="3435">
        <f>G47</f>
        <v>0</v>
      </c>
      <c r="U47" s="3435"/>
      <c r="V47" s="3435">
        <f>I47</f>
        <v>0</v>
      </c>
      <c r="W47" s="3435"/>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73" t="str">
        <f>A48</f>
        <v>比较价值（元/平方米）</v>
      </c>
      <c r="Q48" s="3473"/>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74" t="str">
        <f>A49</f>
        <v>估价对象XX用房的比较价值（楼面单价，元/平方米）</v>
      </c>
      <c r="Q49" s="3475"/>
      <c r="R49" s="3476" t="e">
        <f>IF(F1="售价",ROUND(IF(D48="简单平均",AVERAGE(R48:V48),R48*F48+T48*H48+V48*J48),0),ROUND(IF(D48="简单平均",AVERAGE(R48:V48),R48*F48+T48*H48+V48*J48),1))</f>
        <v>#DIV/0!</v>
      </c>
      <c r="S49" s="3476"/>
      <c r="T49" s="3476"/>
      <c r="U49" s="3476"/>
      <c r="V49" s="3476"/>
      <c r="W49" s="34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860"/>
      <c r="M4" s="861"/>
      <c r="N4" s="861"/>
      <c r="O4" s="861"/>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860"/>
      <c r="M5" s="861"/>
      <c r="N5" s="861"/>
      <c r="O5" s="861"/>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860"/>
      <c r="M6" s="861"/>
      <c r="N6" s="861"/>
      <c r="O6" s="861"/>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1678</v>
      </c>
      <c r="Q7" s="3463"/>
      <c r="R7" s="664" t="s">
        <v>14</v>
      </c>
      <c r="S7" s="665">
        <f t="shared" ref="S7:S15" si="0">F7</f>
        <v>0</v>
      </c>
      <c r="T7" s="664" t="s">
        <v>14</v>
      </c>
      <c r="U7" s="665">
        <f t="shared" ref="U7:U15" si="1">H7</f>
        <v>0</v>
      </c>
      <c r="V7" s="664" t="s">
        <v>14</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1681</v>
      </c>
      <c r="Q8" s="3437"/>
      <c r="R8" s="664" t="s">
        <v>14</v>
      </c>
      <c r="S8" s="665">
        <f t="shared" si="0"/>
        <v>100</v>
      </c>
      <c r="T8" s="664" t="s">
        <v>14</v>
      </c>
      <c r="U8" s="665">
        <f t="shared" si="1"/>
        <v>100</v>
      </c>
      <c r="V8" s="664" t="s">
        <v>14</v>
      </c>
      <c r="W8" s="665">
        <f t="shared" si="2"/>
        <v>100</v>
      </c>
      <c r="X8" s="666"/>
      <c r="Y8" s="3436" t="s">
        <v>1681</v>
      </c>
      <c r="Z8" s="343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3"/>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3"/>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6" t="s">
        <v>1689</v>
      </c>
      <c r="Q15" s="1263" t="str">
        <f t="shared" si="6"/>
        <v>产业集聚程度</v>
      </c>
      <c r="R15" s="667" t="s">
        <v>14</v>
      </c>
      <c r="S15" s="668">
        <f t="shared" si="0"/>
        <v>100</v>
      </c>
      <c r="T15" s="667" t="s">
        <v>14</v>
      </c>
      <c r="U15" s="668">
        <f t="shared" si="1"/>
        <v>100</v>
      </c>
      <c r="V15" s="667" t="s">
        <v>14</v>
      </c>
      <c r="W15" s="668">
        <f t="shared" si="2"/>
        <v>100</v>
      </c>
      <c r="X15" s="1265"/>
      <c r="Y15" s="3466"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7"/>
      <c r="Q16" s="1263"/>
      <c r="R16" s="667"/>
      <c r="S16" s="668"/>
      <c r="T16" s="667"/>
      <c r="U16" s="668"/>
      <c r="V16" s="667"/>
      <c r="W16" s="668"/>
      <c r="X16" s="1265"/>
      <c r="Y16" s="3467"/>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7"/>
      <c r="Q17" s="1263" t="str">
        <f>B17</f>
        <v>交通便捷度</v>
      </c>
      <c r="R17" s="667" t="s">
        <v>14</v>
      </c>
      <c r="S17" s="668">
        <f>F17</f>
        <v>100</v>
      </c>
      <c r="T17" s="667" t="s">
        <v>14</v>
      </c>
      <c r="U17" s="668">
        <f>H17</f>
        <v>100</v>
      </c>
      <c r="V17" s="667" t="s">
        <v>14</v>
      </c>
      <c r="W17" s="668">
        <f>J17</f>
        <v>100</v>
      </c>
      <c r="X17" s="1265"/>
      <c r="Y17" s="34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7"/>
      <c r="Q18" s="1263"/>
      <c r="R18" s="667"/>
      <c r="S18" s="668"/>
      <c r="T18" s="667"/>
      <c r="U18" s="668"/>
      <c r="V18" s="667"/>
      <c r="W18" s="668"/>
      <c r="X18" s="1265"/>
      <c r="Y18" s="3467"/>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7"/>
      <c r="Q19" s="1263" t="str">
        <f>B19</f>
        <v>公共配套设施</v>
      </c>
      <c r="R19" s="667" t="s">
        <v>14</v>
      </c>
      <c r="S19" s="668">
        <f>F19</f>
        <v>100</v>
      </c>
      <c r="T19" s="667" t="s">
        <v>14</v>
      </c>
      <c r="U19" s="668">
        <f>H19</f>
        <v>100</v>
      </c>
      <c r="V19" s="667" t="s">
        <v>14</v>
      </c>
      <c r="W19" s="668">
        <f>J19</f>
        <v>100</v>
      </c>
      <c r="X19" s="1265"/>
      <c r="Y19" s="34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7"/>
      <c r="Q20" s="1263"/>
      <c r="R20" s="667"/>
      <c r="S20" s="668"/>
      <c r="T20" s="667"/>
      <c r="U20" s="668"/>
      <c r="V20" s="667"/>
      <c r="W20" s="668"/>
      <c r="X20" s="1265"/>
      <c r="Y20" s="3467"/>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7"/>
      <c r="Q21" s="1263" t="str">
        <f>B21</f>
        <v>基础设施水平</v>
      </c>
      <c r="R21" s="667" t="s">
        <v>14</v>
      </c>
      <c r="S21" s="668">
        <f>F21</f>
        <v>100</v>
      </c>
      <c r="T21" s="667" t="s">
        <v>14</v>
      </c>
      <c r="U21" s="668">
        <f>H21</f>
        <v>100</v>
      </c>
      <c r="V21" s="667" t="s">
        <v>14</v>
      </c>
      <c r="W21" s="668">
        <f>J21</f>
        <v>100</v>
      </c>
      <c r="X21" s="1265"/>
      <c r="Y21" s="34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7"/>
      <c r="Q22" s="1263"/>
      <c r="R22" s="667"/>
      <c r="S22" s="668"/>
      <c r="T22" s="667"/>
      <c r="U22" s="668"/>
      <c r="V22" s="667"/>
      <c r="W22" s="668"/>
      <c r="X22" s="1265"/>
      <c r="Y22" s="3467"/>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7"/>
      <c r="Q23" s="1263" t="str">
        <f>B23</f>
        <v>环境质量</v>
      </c>
      <c r="R23" s="667" t="s">
        <v>14</v>
      </c>
      <c r="S23" s="668">
        <f>F23</f>
        <v>100</v>
      </c>
      <c r="T23" s="667" t="s">
        <v>14</v>
      </c>
      <c r="U23" s="668">
        <f>H23</f>
        <v>100</v>
      </c>
      <c r="V23" s="667" t="s">
        <v>14</v>
      </c>
      <c r="W23" s="668">
        <f>J23</f>
        <v>100</v>
      </c>
      <c r="X23" s="1265"/>
      <c r="Y23" s="34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7"/>
      <c r="Q24" s="1263"/>
      <c r="R24" s="667"/>
      <c r="S24" s="668"/>
      <c r="T24" s="667"/>
      <c r="U24" s="668"/>
      <c r="V24" s="667"/>
      <c r="W24" s="668"/>
      <c r="X24" s="1265"/>
      <c r="Y24" s="34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7"/>
      <c r="Q25" s="1263">
        <f>B25</f>
        <v>111</v>
      </c>
      <c r="R25" s="667" t="s">
        <v>14</v>
      </c>
      <c r="S25" s="668">
        <f>F25</f>
        <v>100</v>
      </c>
      <c r="T25" s="667" t="s">
        <v>14</v>
      </c>
      <c r="U25" s="668">
        <f>H25</f>
        <v>100</v>
      </c>
      <c r="V25" s="667" t="s">
        <v>14</v>
      </c>
      <c r="W25" s="668">
        <f>J25</f>
        <v>100</v>
      </c>
      <c r="X25" s="1265"/>
      <c r="Y25" s="34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7"/>
      <c r="Q26" s="1263">
        <f t="shared" ref="Q26:Q40" si="11">B26</f>
        <v>111</v>
      </c>
      <c r="R26" s="667" t="s">
        <v>14</v>
      </c>
      <c r="S26" s="668">
        <f>F26</f>
        <v>100</v>
      </c>
      <c r="T26" s="667" t="s">
        <v>14</v>
      </c>
      <c r="U26" s="668">
        <f>H26</f>
        <v>100</v>
      </c>
      <c r="V26" s="667" t="s">
        <v>14</v>
      </c>
      <c r="W26" s="668">
        <f>J26</f>
        <v>100</v>
      </c>
      <c r="X26" s="1265"/>
      <c r="Y26" s="34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7"/>
      <c r="Q27" s="530">
        <f t="shared" si="11"/>
        <v>111</v>
      </c>
      <c r="R27" s="664" t="s">
        <v>14</v>
      </c>
      <c r="S27" s="665">
        <f>F27</f>
        <v>100</v>
      </c>
      <c r="T27" s="664" t="s">
        <v>14</v>
      </c>
      <c r="U27" s="665">
        <f>H27</f>
        <v>100</v>
      </c>
      <c r="V27" s="664" t="s">
        <v>14</v>
      </c>
      <c r="W27" s="665">
        <f>J27</f>
        <v>100</v>
      </c>
      <c r="X27" s="666"/>
      <c r="Y27" s="346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7"/>
      <c r="Q28" s="1263">
        <f t="shared" si="11"/>
        <v>111</v>
      </c>
      <c r="R28" s="667" t="s">
        <v>14</v>
      </c>
      <c r="S28" s="668">
        <f t="shared" ref="S28:S40" si="12">F28</f>
        <v>100</v>
      </c>
      <c r="T28" s="667" t="s">
        <v>14</v>
      </c>
      <c r="U28" s="668">
        <f t="shared" ref="U28:U40" si="13">H28</f>
        <v>100</v>
      </c>
      <c r="V28" s="667" t="s">
        <v>14</v>
      </c>
      <c r="W28" s="668">
        <f t="shared" ref="W28:W40" si="14">J28</f>
        <v>100</v>
      </c>
      <c r="X28" s="1265"/>
      <c r="Y28" s="3467"/>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4" t="s">
        <v>1694</v>
      </c>
      <c r="Q29" s="1263" t="str">
        <f t="shared" si="11"/>
        <v>建筑类型</v>
      </c>
      <c r="R29" s="667" t="s">
        <v>14</v>
      </c>
      <c r="S29" s="668">
        <f t="shared" si="12"/>
        <v>100</v>
      </c>
      <c r="T29" s="667" t="s">
        <v>14</v>
      </c>
      <c r="U29" s="668">
        <f t="shared" si="13"/>
        <v>100</v>
      </c>
      <c r="V29" s="667" t="s">
        <v>14</v>
      </c>
      <c r="W29" s="668">
        <f t="shared" si="14"/>
        <v>100</v>
      </c>
      <c r="X29" s="1265"/>
      <c r="Y29" s="3471"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1"/>
      <c r="Q30" s="531" t="str">
        <f t="shared" si="11"/>
        <v>项目建筑规模</v>
      </c>
      <c r="R30" s="669" t="s">
        <v>14</v>
      </c>
      <c r="S30" s="670" t="e">
        <f t="shared" si="12"/>
        <v>#N/A</v>
      </c>
      <c r="T30" s="669" t="s">
        <v>14</v>
      </c>
      <c r="U30" s="670" t="e">
        <f t="shared" si="13"/>
        <v>#N/A</v>
      </c>
      <c r="V30" s="669" t="s">
        <v>14</v>
      </c>
      <c r="W30" s="670" t="e">
        <f t="shared" si="14"/>
        <v>#N/A</v>
      </c>
      <c r="X30" s="671"/>
      <c r="Y30" s="3471"/>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1"/>
      <c r="Q31" s="1263" t="str">
        <f t="shared" si="11"/>
        <v>建筑结构</v>
      </c>
      <c r="R31" s="667" t="s">
        <v>14</v>
      </c>
      <c r="S31" s="668">
        <f t="shared" si="12"/>
        <v>100</v>
      </c>
      <c r="T31" s="667" t="s">
        <v>14</v>
      </c>
      <c r="U31" s="668">
        <f t="shared" si="13"/>
        <v>100</v>
      </c>
      <c r="V31" s="667" t="s">
        <v>14</v>
      </c>
      <c r="W31" s="668">
        <f t="shared" si="14"/>
        <v>100</v>
      </c>
      <c r="X31" s="1265"/>
      <c r="Y31" s="3471"/>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1"/>
      <c r="Q32" s="1263" t="str">
        <f t="shared" si="11"/>
        <v>公共部分装修</v>
      </c>
      <c r="R32" s="667" t="s">
        <v>14</v>
      </c>
      <c r="S32" s="668">
        <f t="shared" si="12"/>
        <v>100</v>
      </c>
      <c r="T32" s="667" t="s">
        <v>14</v>
      </c>
      <c r="U32" s="668">
        <f t="shared" si="13"/>
        <v>100</v>
      </c>
      <c r="V32" s="667" t="s">
        <v>14</v>
      </c>
      <c r="W32" s="668">
        <f t="shared" si="14"/>
        <v>100</v>
      </c>
      <c r="X32" s="1265"/>
      <c r="Y32" s="3471"/>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1"/>
      <c r="Q33" s="1263" t="str">
        <f t="shared" si="11"/>
        <v>成新度</v>
      </c>
      <c r="R33" s="667" t="s">
        <v>14</v>
      </c>
      <c r="S33" s="668" t="e">
        <f t="shared" si="12"/>
        <v>#N/A</v>
      </c>
      <c r="T33" s="667" t="s">
        <v>14</v>
      </c>
      <c r="U33" s="668" t="e">
        <f t="shared" si="13"/>
        <v>#N/A</v>
      </c>
      <c r="V33" s="667" t="s">
        <v>14</v>
      </c>
      <c r="W33" s="668" t="e">
        <f t="shared" si="14"/>
        <v>#N/A</v>
      </c>
      <c r="X33" s="1265"/>
      <c r="Y33" s="3471"/>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1"/>
      <c r="Q34" s="530" t="str">
        <f t="shared" si="11"/>
        <v>物业管理</v>
      </c>
      <c r="R34" s="664" t="s">
        <v>14</v>
      </c>
      <c r="S34" s="665">
        <f t="shared" si="12"/>
        <v>100</v>
      </c>
      <c r="T34" s="664" t="s">
        <v>14</v>
      </c>
      <c r="U34" s="665">
        <f t="shared" si="13"/>
        <v>100</v>
      </c>
      <c r="V34" s="664" t="s">
        <v>14</v>
      </c>
      <c r="W34" s="665">
        <f t="shared" si="14"/>
        <v>100</v>
      </c>
      <c r="X34" s="666"/>
      <c r="Y34" s="3471"/>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1" t="s">
        <v>1694</v>
      </c>
      <c r="Q35" s="1263" t="str">
        <f t="shared" si="11"/>
        <v>市政基础设施</v>
      </c>
      <c r="R35" s="667" t="s">
        <v>14</v>
      </c>
      <c r="S35" s="668">
        <f t="shared" si="12"/>
        <v>100</v>
      </c>
      <c r="T35" s="667" t="s">
        <v>14</v>
      </c>
      <c r="U35" s="668">
        <f t="shared" si="13"/>
        <v>100</v>
      </c>
      <c r="V35" s="667" t="s">
        <v>14</v>
      </c>
      <c r="W35" s="668">
        <f t="shared" si="14"/>
        <v>100</v>
      </c>
      <c r="X35" s="1265"/>
      <c r="Y35" s="3471"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1"/>
      <c r="Q36" s="1263" t="str">
        <f t="shared" si="11"/>
        <v>内部装修</v>
      </c>
      <c r="R36" s="667" t="s">
        <v>14</v>
      </c>
      <c r="S36" s="668">
        <f t="shared" si="12"/>
        <v>100</v>
      </c>
      <c r="T36" s="667" t="s">
        <v>14</v>
      </c>
      <c r="U36" s="668">
        <f t="shared" si="13"/>
        <v>100</v>
      </c>
      <c r="V36" s="667" t="s">
        <v>14</v>
      </c>
      <c r="W36" s="668">
        <f t="shared" si="14"/>
        <v>100</v>
      </c>
      <c r="X36" s="1265"/>
      <c r="Y36" s="3471"/>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1"/>
      <c r="Q37" s="1263" t="str">
        <f t="shared" si="11"/>
        <v>内部装修状况</v>
      </c>
      <c r="R37" s="667" t="s">
        <v>14</v>
      </c>
      <c r="S37" s="668">
        <f t="shared" si="12"/>
        <v>100</v>
      </c>
      <c r="T37" s="667" t="s">
        <v>14</v>
      </c>
      <c r="U37" s="668">
        <f t="shared" si="13"/>
        <v>100</v>
      </c>
      <c r="V37" s="667" t="s">
        <v>14</v>
      </c>
      <c r="W37" s="668">
        <f t="shared" si="14"/>
        <v>100</v>
      </c>
      <c r="X37" s="1265"/>
      <c r="Y37" s="34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1"/>
      <c r="Q38" s="531">
        <f t="shared" si="11"/>
        <v>111</v>
      </c>
      <c r="R38" s="669" t="s">
        <v>14</v>
      </c>
      <c r="S38" s="670">
        <f t="shared" si="12"/>
        <v>100</v>
      </c>
      <c r="T38" s="669" t="s">
        <v>14</v>
      </c>
      <c r="U38" s="670">
        <f t="shared" si="13"/>
        <v>100</v>
      </c>
      <c r="V38" s="669" t="s">
        <v>14</v>
      </c>
      <c r="W38" s="670">
        <f t="shared" si="14"/>
        <v>100</v>
      </c>
      <c r="X38" s="671"/>
      <c r="Y38" s="34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1"/>
      <c r="Q39" s="1263">
        <f t="shared" si="11"/>
        <v>111</v>
      </c>
      <c r="R39" s="667" t="s">
        <v>14</v>
      </c>
      <c r="S39" s="668">
        <f t="shared" si="12"/>
        <v>100</v>
      </c>
      <c r="T39" s="667" t="s">
        <v>14</v>
      </c>
      <c r="U39" s="668">
        <f t="shared" si="13"/>
        <v>100</v>
      </c>
      <c r="V39" s="667" t="s">
        <v>14</v>
      </c>
      <c r="W39" s="668">
        <f t="shared" si="14"/>
        <v>100</v>
      </c>
      <c r="X39" s="1265"/>
      <c r="Y39" s="347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2"/>
      <c r="Q40" s="1263">
        <f t="shared" si="11"/>
        <v>111</v>
      </c>
      <c r="R40" s="667" t="s">
        <v>14</v>
      </c>
      <c r="S40" s="668">
        <f t="shared" si="12"/>
        <v>100</v>
      </c>
      <c r="T40" s="667" t="s">
        <v>14</v>
      </c>
      <c r="U40" s="668">
        <f t="shared" si="13"/>
        <v>100</v>
      </c>
      <c r="V40" s="667" t="s">
        <v>14</v>
      </c>
      <c r="W40" s="668">
        <f t="shared" si="14"/>
        <v>100</v>
      </c>
      <c r="X40" s="1265"/>
      <c r="Y40" s="3472"/>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73" t="str">
        <f>A41</f>
        <v>成交单价（元/平方米）</v>
      </c>
      <c r="Q41" s="3473"/>
      <c r="R41" s="3435">
        <f>E41</f>
        <v>0</v>
      </c>
      <c r="S41" s="3435"/>
      <c r="T41" s="3435">
        <f>G41</f>
        <v>0</v>
      </c>
      <c r="U41" s="3435"/>
      <c r="V41" s="3435">
        <f>I41</f>
        <v>0</v>
      </c>
      <c r="W41" s="3435"/>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73" t="str">
        <f>A42</f>
        <v>比较价值（元/平方米）</v>
      </c>
      <c r="Q42" s="3473"/>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74" t="str">
        <f>A43</f>
        <v>估价对象XX用房的比较价值（楼面单价，元/平方米）</v>
      </c>
      <c r="Q43" s="3475"/>
      <c r="R43" s="3476" t="e">
        <f>IF(F1="售价",ROUND(IF(D42="简单平均",AVERAGE(R42:V42),R42*F42+T42*H42+V42*J42),0),ROUND(IF(D42="简单平均",AVERAGE(R42:V42),R42*F42+T42*H42+V42*J42),1))</f>
        <v>#DIV/0!</v>
      </c>
      <c r="S43" s="3476"/>
      <c r="T43" s="3476"/>
      <c r="U43" s="3476"/>
      <c r="V43" s="3476"/>
      <c r="W43" s="34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估价结果一览表（市场价值不需“结果表-1”）</v>
      </c>
      <c r="B3" s="3229"/>
      <c r="C3" s="3229"/>
      <c r="D3" s="3229"/>
      <c r="E3" s="3229"/>
    </row>
    <row r="4" spans="1:5" ht="19.5" thickBot="1">
      <c r="A4" s="1391"/>
      <c r="B4" s="3227" t="s">
        <v>916</v>
      </c>
      <c r="C4" s="3227"/>
      <c r="D4" s="3227"/>
      <c r="E4" s="1391"/>
    </row>
    <row r="5" spans="1:5" ht="16.5" thickTop="1">
      <c r="B5" s="3225" t="s">
        <v>908</v>
      </c>
      <c r="C5" s="1392" t="s">
        <v>909</v>
      </c>
      <c r="D5" s="797" t="e">
        <f ca="1">'结果表-1层商业'!H101</f>
        <v>#REF!</v>
      </c>
    </row>
    <row r="6" spans="1:5" ht="15.75">
      <c r="B6" s="3225"/>
      <c r="C6" s="1392" t="s">
        <v>910</v>
      </c>
      <c r="D6" s="797" t="e">
        <f ca="1">NUMBERSTRING(INT(D5*10000),2)&amp;"元整"</f>
        <v>#REF!</v>
      </c>
    </row>
    <row r="7" spans="1:5" ht="15.75">
      <c r="B7" s="3230"/>
      <c r="C7" s="1393" t="s">
        <v>911</v>
      </c>
      <c r="D7" s="798" t="e">
        <f ca="1">'结果表-1层商业'!H102</f>
        <v>#REF!</v>
      </c>
    </row>
    <row r="8" spans="1:5" ht="15.75">
      <c r="B8" s="3231" t="str">
        <f>'结果表-1层商业'!E103</f>
        <v>2.估价师知悉的法定优先受偿款</v>
      </c>
      <c r="C8" s="1394" t="s">
        <v>912</v>
      </c>
      <c r="D8" s="798">
        <f>'结果表-1层商业'!H103</f>
        <v>0</v>
      </c>
    </row>
    <row r="9" spans="1:5" ht="15.75">
      <c r="B9" s="3233"/>
      <c r="C9" s="1392" t="s">
        <v>910</v>
      </c>
      <c r="D9" s="797" t="str">
        <f>NUMBERSTRING(INT(D8*10000),2)&amp;"元整"</f>
        <v>零元整</v>
      </c>
    </row>
    <row r="10" spans="1:5" ht="15">
      <c r="B10" s="1395" t="s">
        <v>915</v>
      </c>
      <c r="C10" s="1396" t="s">
        <v>913</v>
      </c>
      <c r="D10" s="799">
        <f>'结果表-1层商业'!H104</f>
        <v>0</v>
      </c>
    </row>
    <row r="11" spans="1:5" ht="15">
      <c r="B11" s="1395" t="s">
        <v>917</v>
      </c>
      <c r="C11" s="1396" t="s">
        <v>918</v>
      </c>
      <c r="D11" s="799">
        <f>'结果表-1层商业'!H105</f>
        <v>0</v>
      </c>
    </row>
    <row r="12" spans="1:5" ht="15">
      <c r="B12" s="1395" t="s">
        <v>919</v>
      </c>
      <c r="C12" s="1396" t="s">
        <v>918</v>
      </c>
      <c r="D12" s="799">
        <f>'结果表-1层商业'!H106</f>
        <v>0</v>
      </c>
    </row>
    <row r="13" spans="1:5" ht="15.75">
      <c r="B13" s="3224" t="str">
        <f>'结果表-1层商业'!E107</f>
        <v>3.房地产抵押价值</v>
      </c>
      <c r="C13" s="1397" t="s">
        <v>909</v>
      </c>
      <c r="D13" s="800" t="e">
        <f ca="1">'结果表-1层商业'!H107</f>
        <v>#REF!</v>
      </c>
    </row>
    <row r="14" spans="1:5" ht="15.75">
      <c r="B14" s="3225"/>
      <c r="C14" s="1392" t="s">
        <v>910</v>
      </c>
      <c r="D14" s="797" t="e">
        <f ca="1">NUMBERSTRING(INT(D13*10000),2)&amp;"元整"</f>
        <v>#REF!</v>
      </c>
    </row>
    <row r="15" spans="1:5" ht="15">
      <c r="B15" s="3230"/>
      <c r="C15" s="1393" t="s">
        <v>920</v>
      </c>
      <c r="D15" s="806" t="e">
        <f ca="1">'结果表-1层商业'!H108</f>
        <v>#REF!</v>
      </c>
    </row>
    <row r="16" spans="1:5" ht="15">
      <c r="B16" s="3231" t="str">
        <f>'结果表-1层商业'!E109</f>
        <v>——</v>
      </c>
      <c r="C16" s="1397" t="s">
        <v>921</v>
      </c>
      <c r="D16" s="1398" t="str">
        <f>'结果表-1层商业'!H109</f>
        <v>——</v>
      </c>
    </row>
    <row r="17" spans="1:5" ht="15.75">
      <c r="B17" s="3232"/>
      <c r="C17" s="1392" t="s">
        <v>922</v>
      </c>
      <c r="D17" s="797" t="e">
        <f>NUMBERSTRING(INT(D16*10000),2)&amp;"元整"</f>
        <v>#VALUE!</v>
      </c>
    </row>
    <row r="18" spans="1:5" ht="15">
      <c r="B18" s="3233"/>
      <c r="C18" s="1393" t="s">
        <v>911</v>
      </c>
      <c r="D18" s="806" t="str">
        <f>'结果表-1层商业'!H110</f>
        <v>——</v>
      </c>
    </row>
    <row r="19" spans="1:5" ht="15.75">
      <c r="B19" s="3224" t="str">
        <f>'结果表-1层商业'!E111</f>
        <v>——</v>
      </c>
      <c r="C19" s="1397" t="s">
        <v>909</v>
      </c>
      <c r="D19" s="798" t="str">
        <f>'结果表-1层商业'!H111</f>
        <v>——</v>
      </c>
    </row>
    <row r="20" spans="1:5" ht="15.75">
      <c r="B20" s="3225"/>
      <c r="C20" s="1392" t="s">
        <v>922</v>
      </c>
      <c r="D20" s="797" t="e">
        <f>NUMBERSTRING(INT(D19*10000),2)&amp;"元整"</f>
        <v>#VALUE!</v>
      </c>
    </row>
    <row r="21" spans="1:5" ht="15.75" thickBot="1">
      <c r="B21" s="3226"/>
      <c r="C21" s="1399" t="s">
        <v>920</v>
      </c>
      <c r="D21" s="807" t="str">
        <f>'结果表-1层商业'!H112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7"/>
  <sheetViews>
    <sheetView topLeftCell="A100" workbookViewId="0">
      <selection activeCell="M141" sqref="M141"/>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477" t="s">
        <v>3415</v>
      </c>
      <c r="B1" s="3477" t="s">
        <v>3416</v>
      </c>
      <c r="C1" s="3477" t="s">
        <v>3417</v>
      </c>
      <c r="D1" s="3477" t="s">
        <v>3418</v>
      </c>
      <c r="E1" s="3477" t="s">
        <v>3419</v>
      </c>
      <c r="F1" s="3477" t="s">
        <v>3420</v>
      </c>
      <c r="G1" s="3477" t="s">
        <v>3421</v>
      </c>
      <c r="H1" s="3477" t="s">
        <v>3422</v>
      </c>
      <c r="I1" s="3477" t="s">
        <v>3423</v>
      </c>
      <c r="J1" s="3477" t="s">
        <v>3424</v>
      </c>
      <c r="K1" s="3477"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205" t="s">
        <v>4777</v>
      </c>
    </row>
    <row r="63" spans="14:14">
      <c r="N63" s="320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row r="137" spans="10:12">
      <c r="K137">
        <v>40</v>
      </c>
      <c r="L137">
        <f>40000/40/365</f>
        <v>2.7397260273972601</v>
      </c>
    </row>
  </sheetData>
  <mergeCells count="11">
    <mergeCell ref="K1"/>
    <mergeCell ref="F1"/>
    <mergeCell ref="G1"/>
    <mergeCell ref="H1"/>
    <mergeCell ref="I1"/>
    <mergeCell ref="J1"/>
    <mergeCell ref="A1"/>
    <mergeCell ref="B1"/>
    <mergeCell ref="C1"/>
    <mergeCell ref="D1"/>
    <mergeCell ref="E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405" t="s">
        <v>1589</v>
      </c>
    </row>
    <row r="43" spans="1:7" ht="13.5" customHeight="1">
      <c r="A43" s="734" t="s">
        <v>347</v>
      </c>
      <c r="B43" s="207" t="s">
        <v>1543</v>
      </c>
      <c r="C43" s="230">
        <f ca="1">ROUND(IF('数据-取费表'!B22&lt;=1,C39*F22*'数据-取费表'!B20/2,C39*(POWER((1+F22),'数据-取费表'!B20/2)-1)),0)</f>
        <v>141</v>
      </c>
      <c r="D43" s="230"/>
      <c r="E43" s="230"/>
      <c r="F43" s="231"/>
      <c r="G43" s="3406"/>
    </row>
    <row r="44" spans="1:7" ht="13.5" customHeight="1">
      <c r="A44" s="734" t="s">
        <v>348</v>
      </c>
      <c r="B44" s="207" t="s">
        <v>1544</v>
      </c>
      <c r="C44" s="230">
        <f ca="1">ROUND(IF('数据-取费表'!B22&lt;=1,C40*F22*'数据-取费表'!B20/2,C40*(POWER((1+F22),'数据-取费表'!B20/2)-1)),4)</f>
        <v>8.9999999999999998E-4</v>
      </c>
      <c r="D44" s="230"/>
      <c r="E44" s="230"/>
      <c r="F44" s="231"/>
      <c r="G44" s="3407"/>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446" t="s">
        <v>1675</v>
      </c>
      <c r="D6" s="3447"/>
      <c r="E6" s="3448" t="s">
        <v>1675</v>
      </c>
      <c r="F6" s="3449"/>
      <c r="G6" s="3446" t="s">
        <v>1675</v>
      </c>
      <c r="H6" s="3447"/>
      <c r="I6" s="3446" t="s">
        <v>1675</v>
      </c>
      <c r="J6" s="3447"/>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436" t="s">
        <v>1678</v>
      </c>
      <c r="Q7" s="3463"/>
      <c r="R7" s="664" t="s">
        <v>14</v>
      </c>
      <c r="S7" s="665">
        <f t="shared" ref="S7:S15" si="0">F7</f>
        <v>100</v>
      </c>
      <c r="T7" s="664" t="s">
        <v>14</v>
      </c>
      <c r="U7" s="665">
        <f t="shared" ref="U7:U15" si="1">H7</f>
        <v>100</v>
      </c>
      <c r="V7" s="664" t="s">
        <v>14</v>
      </c>
      <c r="W7" s="665">
        <f t="shared" ref="W7:W15" si="2">J7</f>
        <v>100</v>
      </c>
      <c r="X7" s="666"/>
      <c r="Y7" s="3436" t="s">
        <v>1678</v>
      </c>
      <c r="Z7" s="3437"/>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436" t="s">
        <v>1681</v>
      </c>
      <c r="Q8" s="3437"/>
      <c r="R8" s="664" t="s">
        <v>14</v>
      </c>
      <c r="S8" s="665">
        <f t="shared" si="0"/>
        <v>100</v>
      </c>
      <c r="T8" s="664" t="s">
        <v>14</v>
      </c>
      <c r="U8" s="665">
        <f t="shared" si="1"/>
        <v>100</v>
      </c>
      <c r="V8" s="664" t="s">
        <v>14</v>
      </c>
      <c r="W8" s="665">
        <f t="shared" si="2"/>
        <v>100</v>
      </c>
      <c r="X8" s="666"/>
      <c r="Y8" s="3436" t="s">
        <v>1681</v>
      </c>
      <c r="Z8" s="3437"/>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73"/>
      <c r="Q10" s="530" t="str">
        <f t="shared" si="6"/>
        <v>土地使用年限（年）</v>
      </c>
      <c r="R10" s="664" t="s">
        <v>14</v>
      </c>
      <c r="S10" s="665">
        <f t="shared" si="0"/>
        <v>111</v>
      </c>
      <c r="T10" s="664" t="s">
        <v>14</v>
      </c>
      <c r="U10" s="665">
        <f t="shared" si="1"/>
        <v>111</v>
      </c>
      <c r="V10" s="664" t="s">
        <v>14</v>
      </c>
      <c r="W10" s="665">
        <f t="shared" si="2"/>
        <v>111</v>
      </c>
      <c r="X10" s="666"/>
      <c r="Y10" s="3381"/>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73"/>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3"/>
      <c r="Q12" s="530" t="str">
        <f t="shared" si="6"/>
        <v>配建</v>
      </c>
      <c r="R12" s="664" t="s">
        <v>14</v>
      </c>
      <c r="S12" s="665">
        <f t="shared" si="0"/>
        <v>100</v>
      </c>
      <c r="T12" s="664" t="s">
        <v>14</v>
      </c>
      <c r="U12" s="665">
        <f t="shared" si="1"/>
        <v>100</v>
      </c>
      <c r="V12" s="664" t="s">
        <v>14</v>
      </c>
      <c r="W12" s="665">
        <f t="shared" si="2"/>
        <v>100</v>
      </c>
      <c r="X12" s="666"/>
      <c r="Y12" s="33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6" t="s">
        <v>1689</v>
      </c>
      <c r="Q15" s="1263" t="str">
        <f t="shared" si="6"/>
        <v>居住社区成熟度</v>
      </c>
      <c r="R15" s="667" t="s">
        <v>14</v>
      </c>
      <c r="S15" s="668">
        <f t="shared" si="0"/>
        <v>100</v>
      </c>
      <c r="T15" s="667" t="s">
        <v>14</v>
      </c>
      <c r="U15" s="668">
        <f t="shared" si="1"/>
        <v>100</v>
      </c>
      <c r="V15" s="667" t="s">
        <v>14</v>
      </c>
      <c r="W15" s="668">
        <f t="shared" si="2"/>
        <v>100</v>
      </c>
      <c r="X15" s="1265"/>
      <c r="Y15" s="3466"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7"/>
      <c r="Q16" s="1263"/>
      <c r="R16" s="667"/>
      <c r="S16" s="668"/>
      <c r="T16" s="667"/>
      <c r="U16" s="668"/>
      <c r="V16" s="667"/>
      <c r="W16" s="668"/>
      <c r="X16" s="1265"/>
      <c r="Y16" s="3467"/>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7"/>
      <c r="Q17" s="1263" t="str">
        <f>B17</f>
        <v>商业繁华度</v>
      </c>
      <c r="R17" s="667" t="s">
        <v>14</v>
      </c>
      <c r="S17" s="668">
        <f>F17</f>
        <v>100</v>
      </c>
      <c r="T17" s="667" t="s">
        <v>14</v>
      </c>
      <c r="U17" s="668">
        <f>H17</f>
        <v>100</v>
      </c>
      <c r="V17" s="667" t="s">
        <v>14</v>
      </c>
      <c r="W17" s="668">
        <f>J17</f>
        <v>100</v>
      </c>
      <c r="X17" s="1265"/>
      <c r="Y17" s="34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7"/>
      <c r="Q18" s="1263"/>
      <c r="R18" s="667"/>
      <c r="S18" s="668"/>
      <c r="T18" s="667"/>
      <c r="U18" s="668"/>
      <c r="V18" s="667"/>
      <c r="W18" s="668"/>
      <c r="X18" s="1265"/>
      <c r="Y18" s="3467"/>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7"/>
      <c r="Q19" s="1263" t="str">
        <f>B19</f>
        <v>办公集聚程度</v>
      </c>
      <c r="R19" s="667" t="s">
        <v>14</v>
      </c>
      <c r="S19" s="668">
        <f>F19</f>
        <v>100</v>
      </c>
      <c r="T19" s="667" t="s">
        <v>14</v>
      </c>
      <c r="U19" s="668">
        <f>H19</f>
        <v>100</v>
      </c>
      <c r="V19" s="667" t="s">
        <v>14</v>
      </c>
      <c r="W19" s="668">
        <f>J19</f>
        <v>100</v>
      </c>
      <c r="X19" s="1265"/>
      <c r="Y19" s="34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7"/>
      <c r="Q20" s="1263"/>
      <c r="R20" s="667"/>
      <c r="S20" s="668"/>
      <c r="T20" s="667"/>
      <c r="U20" s="668"/>
      <c r="V20" s="667"/>
      <c r="W20" s="668"/>
      <c r="X20" s="1265"/>
      <c r="Y20" s="3467"/>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7"/>
      <c r="Q21" s="1263" t="str">
        <f>B21</f>
        <v>交通便捷度</v>
      </c>
      <c r="R21" s="667" t="s">
        <v>14</v>
      </c>
      <c r="S21" s="668">
        <f>F21</f>
        <v>100</v>
      </c>
      <c r="T21" s="667" t="s">
        <v>14</v>
      </c>
      <c r="U21" s="668">
        <f>H21</f>
        <v>100</v>
      </c>
      <c r="V21" s="667" t="s">
        <v>14</v>
      </c>
      <c r="W21" s="668">
        <f>J21</f>
        <v>100</v>
      </c>
      <c r="X21" s="1265"/>
      <c r="Y21" s="34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7"/>
      <c r="Q22" s="1263"/>
      <c r="R22" s="667"/>
      <c r="S22" s="668"/>
      <c r="T22" s="667"/>
      <c r="U22" s="668"/>
      <c r="V22" s="667"/>
      <c r="W22" s="668"/>
      <c r="X22" s="1265"/>
      <c r="Y22" s="3467"/>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7"/>
      <c r="Q23" s="1263" t="str">
        <f t="shared" ref="Q23:Q37" si="8">B23</f>
        <v>区域土地利用方向</v>
      </c>
      <c r="R23" s="667" t="s">
        <v>14</v>
      </c>
      <c r="S23" s="668">
        <f>F23</f>
        <v>100</v>
      </c>
      <c r="T23" s="667" t="s">
        <v>14</v>
      </c>
      <c r="U23" s="668">
        <f>H23</f>
        <v>100</v>
      </c>
      <c r="V23" s="667" t="s">
        <v>14</v>
      </c>
      <c r="W23" s="668">
        <f>J23</f>
        <v>100</v>
      </c>
      <c r="X23" s="1265"/>
      <c r="Y23" s="34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7"/>
      <c r="Q24" s="1263"/>
      <c r="R24" s="667"/>
      <c r="S24" s="668"/>
      <c r="T24" s="667"/>
      <c r="U24" s="668"/>
      <c r="V24" s="667"/>
      <c r="W24" s="668"/>
      <c r="X24" s="1265"/>
      <c r="Y24" s="3467"/>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7"/>
      <c r="Q25" s="1263" t="str">
        <f t="shared" si="8"/>
        <v>自然及人文环境状况</v>
      </c>
      <c r="R25" s="667" t="s">
        <v>14</v>
      </c>
      <c r="S25" s="668">
        <f>F25</f>
        <v>100</v>
      </c>
      <c r="T25" s="667" t="s">
        <v>14</v>
      </c>
      <c r="U25" s="668">
        <f>H25</f>
        <v>100</v>
      </c>
      <c r="V25" s="667" t="s">
        <v>14</v>
      </c>
      <c r="W25" s="668">
        <f>J25</f>
        <v>100</v>
      </c>
      <c r="X25" s="1265"/>
      <c r="Y25" s="34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7"/>
      <c r="Q26" s="1263"/>
      <c r="R26" s="667"/>
      <c r="S26" s="668"/>
      <c r="T26" s="667"/>
      <c r="U26" s="668"/>
      <c r="V26" s="667"/>
      <c r="W26" s="668"/>
      <c r="X26" s="1265"/>
      <c r="Y26" s="3467"/>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7"/>
      <c r="Q27" s="530" t="str">
        <f t="shared" si="8"/>
        <v>公共配套设施</v>
      </c>
      <c r="R27" s="664" t="s">
        <v>14</v>
      </c>
      <c r="S27" s="665">
        <f>F27</f>
        <v>100</v>
      </c>
      <c r="T27" s="664" t="s">
        <v>14</v>
      </c>
      <c r="U27" s="665">
        <f>H27</f>
        <v>100</v>
      </c>
      <c r="V27" s="664" t="s">
        <v>14</v>
      </c>
      <c r="W27" s="665">
        <f>J27</f>
        <v>100</v>
      </c>
      <c r="X27" s="666"/>
      <c r="Y27" s="34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7"/>
      <c r="Q28" s="530"/>
      <c r="R28" s="664"/>
      <c r="S28" s="665"/>
      <c r="T28" s="664"/>
      <c r="U28" s="665"/>
      <c r="V28" s="664"/>
      <c r="W28" s="665"/>
      <c r="X28" s="666"/>
      <c r="Y28" s="3467"/>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7"/>
      <c r="Q29" s="530" t="str">
        <f t="shared" ref="Q29" si="9">B29</f>
        <v>基础设施水平</v>
      </c>
      <c r="R29" s="664" t="s">
        <v>14</v>
      </c>
      <c r="S29" s="665">
        <f>F29</f>
        <v>100</v>
      </c>
      <c r="T29" s="664" t="s">
        <v>14</v>
      </c>
      <c r="U29" s="665">
        <f>H29</f>
        <v>100</v>
      </c>
      <c r="V29" s="664" t="s">
        <v>14</v>
      </c>
      <c r="W29" s="665">
        <f>J29</f>
        <v>100</v>
      </c>
      <c r="X29" s="666"/>
      <c r="Y29" s="34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7"/>
      <c r="Q30" s="530"/>
      <c r="R30" s="664"/>
      <c r="S30" s="665"/>
      <c r="T30" s="664"/>
      <c r="U30" s="665"/>
      <c r="V30" s="664"/>
      <c r="W30" s="665"/>
      <c r="X30" s="666"/>
      <c r="Y30" s="3467"/>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7"/>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7"/>
      <c r="Q32" s="1263" t="str">
        <f t="shared" si="8"/>
        <v>毗邻道路的类型与等级</v>
      </c>
      <c r="R32" s="667" t="s">
        <v>14</v>
      </c>
      <c r="S32" s="668">
        <f t="shared" si="10"/>
        <v>100</v>
      </c>
      <c r="T32" s="667" t="s">
        <v>14</v>
      </c>
      <c r="U32" s="668">
        <f t="shared" si="11"/>
        <v>100</v>
      </c>
      <c r="V32" s="667" t="s">
        <v>14</v>
      </c>
      <c r="W32" s="668">
        <f t="shared" si="12"/>
        <v>100</v>
      </c>
      <c r="X32" s="1265"/>
      <c r="Y32" s="34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7"/>
      <c r="Q33" s="1263"/>
      <c r="R33" s="667"/>
      <c r="S33" s="668"/>
      <c r="T33" s="667"/>
      <c r="U33" s="668"/>
      <c r="V33" s="667"/>
      <c r="W33" s="668"/>
      <c r="X33" s="1265"/>
      <c r="Y33" s="3467"/>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7"/>
      <c r="Q34" s="1263" t="str">
        <f t="shared" si="8"/>
        <v>土地级别</v>
      </c>
      <c r="R34" s="667" t="s">
        <v>14</v>
      </c>
      <c r="S34" s="668">
        <f t="shared" si="10"/>
        <v>100</v>
      </c>
      <c r="T34" s="667" t="s">
        <v>14</v>
      </c>
      <c r="U34" s="668">
        <f t="shared" si="11"/>
        <v>100</v>
      </c>
      <c r="V34" s="667" t="s">
        <v>14</v>
      </c>
      <c r="W34" s="668">
        <f t="shared" si="12"/>
        <v>100</v>
      </c>
      <c r="X34" s="1265"/>
      <c r="Y34" s="34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7"/>
      <c r="Q35" s="1263">
        <f t="shared" si="8"/>
        <v>111</v>
      </c>
      <c r="R35" s="667" t="s">
        <v>14</v>
      </c>
      <c r="S35" s="668">
        <f t="shared" si="10"/>
        <v>100</v>
      </c>
      <c r="T35" s="667" t="s">
        <v>14</v>
      </c>
      <c r="U35" s="668">
        <f t="shared" si="11"/>
        <v>100</v>
      </c>
      <c r="V35" s="667" t="s">
        <v>14</v>
      </c>
      <c r="W35" s="668">
        <f t="shared" si="12"/>
        <v>100</v>
      </c>
      <c r="X35" s="1265"/>
      <c r="Y35" s="34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94" t="s">
        <v>1694</v>
      </c>
      <c r="Q36" s="1263">
        <f t="shared" si="8"/>
        <v>111</v>
      </c>
      <c r="R36" s="667" t="s">
        <v>14</v>
      </c>
      <c r="S36" s="668">
        <f t="shared" si="10"/>
        <v>100</v>
      </c>
      <c r="T36" s="667" t="s">
        <v>14</v>
      </c>
      <c r="U36" s="668">
        <f t="shared" si="11"/>
        <v>100</v>
      </c>
      <c r="V36" s="667" t="s">
        <v>14</v>
      </c>
      <c r="W36" s="668">
        <f t="shared" si="12"/>
        <v>100</v>
      </c>
      <c r="X36" s="1265"/>
      <c r="Y36" s="3471"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1"/>
      <c r="Q37" s="1263">
        <f t="shared" si="8"/>
        <v>111</v>
      </c>
      <c r="R37" s="669" t="s">
        <v>14</v>
      </c>
      <c r="S37" s="670">
        <f t="shared" si="10"/>
        <v>100</v>
      </c>
      <c r="T37" s="669" t="s">
        <v>14</v>
      </c>
      <c r="U37" s="670">
        <f t="shared" si="11"/>
        <v>100</v>
      </c>
      <c r="V37" s="669" t="s">
        <v>14</v>
      </c>
      <c r="W37" s="670">
        <f t="shared" si="12"/>
        <v>100</v>
      </c>
      <c r="X37" s="671"/>
      <c r="Y37" s="3471"/>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71"/>
      <c r="Q38" s="1263" t="str">
        <f>B38</f>
        <v>宗地面积</v>
      </c>
      <c r="R38" s="667" t="s">
        <v>14</v>
      </c>
      <c r="S38" s="668">
        <f t="shared" si="10"/>
        <v>103</v>
      </c>
      <c r="T38" s="667" t="s">
        <v>14</v>
      </c>
      <c r="U38" s="668">
        <f t="shared" si="11"/>
        <v>101</v>
      </c>
      <c r="V38" s="667" t="s">
        <v>14</v>
      </c>
      <c r="W38" s="668">
        <f t="shared" si="12"/>
        <v>102</v>
      </c>
      <c r="X38" s="1265"/>
      <c r="Y38" s="3471"/>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1"/>
      <c r="Q39" s="1263" t="str">
        <f t="shared" ref="Q39:Q45" si="14">B39</f>
        <v>宗地形状</v>
      </c>
      <c r="R39" s="667" t="s">
        <v>14</v>
      </c>
      <c r="S39" s="668">
        <f t="shared" si="10"/>
        <v>100</v>
      </c>
      <c r="T39" s="667" t="s">
        <v>14</v>
      </c>
      <c r="U39" s="668">
        <f t="shared" si="11"/>
        <v>100</v>
      </c>
      <c r="V39" s="667" t="s">
        <v>14</v>
      </c>
      <c r="W39" s="668">
        <f t="shared" si="12"/>
        <v>100</v>
      </c>
      <c r="X39" s="1265"/>
      <c r="Y39" s="3471"/>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1"/>
      <c r="Q40" s="1263" t="str">
        <f t="shared" si="14"/>
        <v>临街宽度及深度</v>
      </c>
      <c r="R40" s="667" t="s">
        <v>14</v>
      </c>
      <c r="S40" s="668">
        <f t="shared" si="10"/>
        <v>100</v>
      </c>
      <c r="T40" s="667" t="s">
        <v>14</v>
      </c>
      <c r="U40" s="668">
        <f t="shared" si="11"/>
        <v>100</v>
      </c>
      <c r="V40" s="667" t="s">
        <v>14</v>
      </c>
      <c r="W40" s="668">
        <f t="shared" si="12"/>
        <v>100</v>
      </c>
      <c r="X40" s="1265"/>
      <c r="Y40" s="3471"/>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1"/>
      <c r="Q41" s="1263" t="str">
        <f t="shared" si="14"/>
        <v>宗地开发程度</v>
      </c>
      <c r="R41" s="664" t="s">
        <v>14</v>
      </c>
      <c r="S41" s="665">
        <f t="shared" si="10"/>
        <v>100</v>
      </c>
      <c r="T41" s="664" t="s">
        <v>14</v>
      </c>
      <c r="U41" s="665">
        <f t="shared" si="11"/>
        <v>100</v>
      </c>
      <c r="V41" s="664" t="s">
        <v>14</v>
      </c>
      <c r="W41" s="665">
        <f t="shared" si="12"/>
        <v>100</v>
      </c>
      <c r="X41" s="666"/>
      <c r="Y41" s="3471"/>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1" t="s">
        <v>1694</v>
      </c>
      <c r="Q42" s="1263" t="str">
        <f t="shared" si="14"/>
        <v>工程地质条件</v>
      </c>
      <c r="R42" s="667" t="s">
        <v>14</v>
      </c>
      <c r="S42" s="668">
        <f t="shared" si="10"/>
        <v>100</v>
      </c>
      <c r="T42" s="667" t="s">
        <v>14</v>
      </c>
      <c r="U42" s="668">
        <f t="shared" si="11"/>
        <v>100</v>
      </c>
      <c r="V42" s="667" t="s">
        <v>14</v>
      </c>
      <c r="W42" s="668">
        <f t="shared" si="12"/>
        <v>100</v>
      </c>
      <c r="X42" s="1265"/>
      <c r="Y42" s="3471"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1"/>
      <c r="Q43" s="1263">
        <f t="shared" si="14"/>
        <v>111</v>
      </c>
      <c r="R43" s="667" t="s">
        <v>14</v>
      </c>
      <c r="S43" s="668">
        <f t="shared" si="10"/>
        <v>100</v>
      </c>
      <c r="T43" s="667" t="s">
        <v>14</v>
      </c>
      <c r="U43" s="668">
        <f t="shared" si="11"/>
        <v>100</v>
      </c>
      <c r="V43" s="667" t="s">
        <v>14</v>
      </c>
      <c r="W43" s="668">
        <f t="shared" si="12"/>
        <v>100</v>
      </c>
      <c r="X43" s="1265"/>
      <c r="Y43" s="34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1"/>
      <c r="Q44" s="1263">
        <f t="shared" si="14"/>
        <v>111</v>
      </c>
      <c r="R44" s="667" t="s">
        <v>14</v>
      </c>
      <c r="S44" s="668">
        <f t="shared" si="10"/>
        <v>100</v>
      </c>
      <c r="T44" s="667" t="s">
        <v>14</v>
      </c>
      <c r="U44" s="668">
        <f t="shared" si="11"/>
        <v>100</v>
      </c>
      <c r="V44" s="667" t="s">
        <v>14</v>
      </c>
      <c r="W44" s="668">
        <f t="shared" si="12"/>
        <v>100</v>
      </c>
      <c r="X44" s="1265"/>
      <c r="Y44" s="347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1"/>
      <c r="Q45" s="1263">
        <f t="shared" si="14"/>
        <v>111</v>
      </c>
      <c r="R45" s="669" t="s">
        <v>14</v>
      </c>
      <c r="S45" s="670">
        <f t="shared" si="10"/>
        <v>100</v>
      </c>
      <c r="T45" s="669" t="s">
        <v>14</v>
      </c>
      <c r="U45" s="670">
        <f t="shared" si="11"/>
        <v>100</v>
      </c>
      <c r="V45" s="669" t="s">
        <v>14</v>
      </c>
      <c r="W45" s="670">
        <f t="shared" si="12"/>
        <v>100</v>
      </c>
      <c r="X45" s="671"/>
      <c r="Y45" s="3471"/>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73" t="str">
        <f>A46</f>
        <v>成交单价</v>
      </c>
      <c r="Q46" s="3473"/>
      <c r="R46" s="3435">
        <f>E46</f>
        <v>1388</v>
      </c>
      <c r="S46" s="3435"/>
      <c r="T46" s="3435">
        <f>G46</f>
        <v>1333</v>
      </c>
      <c r="U46" s="3435"/>
      <c r="V46" s="3435">
        <f>I46</f>
        <v>1388</v>
      </c>
      <c r="W46" s="3435"/>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73" t="str">
        <f>A47</f>
        <v>比较价值（元/平方米）</v>
      </c>
      <c r="Q47" s="3473"/>
      <c r="R47" s="3498">
        <f>ROUND(PRODUCT(R46,AA7:AA45),0)</f>
        <v>1214</v>
      </c>
      <c r="S47" s="3498"/>
      <c r="T47" s="3498">
        <f>ROUND(PRODUCT(T46,AB7:AB45),0)</f>
        <v>1189</v>
      </c>
      <c r="U47" s="3498"/>
      <c r="V47" s="3498">
        <f>ROUND(PRODUCT(V46,AC7:AC45),0)</f>
        <v>1226</v>
      </c>
      <c r="W47" s="3498"/>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74" t="str">
        <f>A48</f>
        <v>估价对象XX用房的比较价值（楼面单价，元/平方米）</v>
      </c>
      <c r="Q48" s="3475"/>
      <c r="R48" s="3499">
        <f>ROUND(IF(D47="简单平均",AVERAGE(R47:W47),R47*F47+T47*H47+V47*J47),0)</f>
        <v>1210</v>
      </c>
      <c r="S48" s="3499"/>
      <c r="T48" s="3499"/>
      <c r="U48" s="3499"/>
      <c r="V48" s="3499"/>
      <c r="W48" s="349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51" t="s">
        <v>1885</v>
      </c>
      <c r="H55" s="350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50"/>
      <c r="H56" s="347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477" t="s">
        <v>3433</v>
      </c>
      <c r="B1" s="3477" t="s">
        <v>3434</v>
      </c>
      <c r="C1" s="3477" t="s">
        <v>3435</v>
      </c>
      <c r="D1" s="3477" t="s">
        <v>3436</v>
      </c>
      <c r="E1" s="3477" t="s">
        <v>3437</v>
      </c>
      <c r="F1" s="3477" t="s">
        <v>3438</v>
      </c>
      <c r="G1" s="3477" t="s">
        <v>3439</v>
      </c>
      <c r="H1" s="3477" t="s">
        <v>3440</v>
      </c>
      <c r="I1" s="3477" t="s">
        <v>3441</v>
      </c>
      <c r="J1" s="3477" t="s">
        <v>3442</v>
      </c>
      <c r="K1" s="3477" t="s">
        <v>3443</v>
      </c>
      <c r="L1" s="3477" t="s">
        <v>3444</v>
      </c>
      <c r="M1" s="3477" t="s">
        <v>3445</v>
      </c>
      <c r="N1" s="3477" t="s">
        <v>3446</v>
      </c>
      <c r="O1" s="3477" t="s">
        <v>3447</v>
      </c>
      <c r="P1" s="3477" t="s">
        <v>3448</v>
      </c>
      <c r="Q1" s="3477" t="s">
        <v>3449</v>
      </c>
      <c r="R1" s="3477" t="s">
        <v>3450</v>
      </c>
      <c r="S1" s="3477" t="s">
        <v>3451</v>
      </c>
      <c r="T1" s="3477" t="s">
        <v>3452</v>
      </c>
    </row>
    <row r="2" spans="1:21" ht="14.25">
      <c r="A2" s="3477" t="s">
        <v>4791</v>
      </c>
      <c r="B2" s="3477" t="s">
        <v>3454</v>
      </c>
      <c r="C2" s="3477" t="s">
        <v>4792</v>
      </c>
      <c r="D2" s="3477" t="s">
        <v>3455</v>
      </c>
      <c r="E2" s="3477">
        <v>13550</v>
      </c>
      <c r="F2" s="3477">
        <v>47425</v>
      </c>
      <c r="G2" s="3477" t="s">
        <v>3925</v>
      </c>
      <c r="H2" s="3477" t="s">
        <v>3457</v>
      </c>
      <c r="I2" s="3477" t="s">
        <v>3407</v>
      </c>
      <c r="J2" s="3477" t="s">
        <v>3427</v>
      </c>
      <c r="K2" s="3477" t="s">
        <v>4793</v>
      </c>
      <c r="L2" s="3477" t="s">
        <v>4793</v>
      </c>
      <c r="M2" s="3477" t="s">
        <v>3460</v>
      </c>
      <c r="N2" s="3477" t="s">
        <v>4794</v>
      </c>
      <c r="O2" s="3477">
        <v>12201</v>
      </c>
      <c r="P2" s="3477">
        <v>2450</v>
      </c>
      <c r="Q2" s="3477" t="s">
        <v>4795</v>
      </c>
      <c r="R2" s="3477">
        <v>12201</v>
      </c>
      <c r="S2" s="3477">
        <v>2573</v>
      </c>
      <c r="T2" s="3477">
        <v>0</v>
      </c>
      <c r="U2">
        <f>R2/E2*10000</f>
        <v>9004.4280442804429</v>
      </c>
    </row>
    <row r="3" spans="1:21" s="3183" customFormat="1" ht="14.25">
      <c r="A3" s="3501" t="s">
        <v>4796</v>
      </c>
      <c r="B3" s="3501" t="s">
        <v>3454</v>
      </c>
      <c r="C3" s="3501" t="s">
        <v>4797</v>
      </c>
      <c r="D3" s="3501" t="s">
        <v>3464</v>
      </c>
      <c r="E3" s="3501">
        <v>21389</v>
      </c>
      <c r="F3" s="3501">
        <v>49194.7</v>
      </c>
      <c r="G3" s="3501" t="s">
        <v>3471</v>
      </c>
      <c r="H3" s="3501" t="s">
        <v>3457</v>
      </c>
      <c r="I3" s="3501" t="s">
        <v>3408</v>
      </c>
      <c r="J3" s="3501" t="s">
        <v>3427</v>
      </c>
      <c r="K3" s="3501" t="s">
        <v>4798</v>
      </c>
      <c r="L3" s="3501" t="s">
        <v>4798</v>
      </c>
      <c r="M3" s="3501" t="s">
        <v>3460</v>
      </c>
      <c r="N3" s="3501" t="s">
        <v>4799</v>
      </c>
      <c r="O3" s="3501">
        <v>16684</v>
      </c>
      <c r="P3" s="3501">
        <v>3337</v>
      </c>
      <c r="Q3" s="3501" t="s">
        <v>4800</v>
      </c>
      <c r="R3" s="3501">
        <v>20184</v>
      </c>
      <c r="S3" s="3501">
        <v>4103</v>
      </c>
      <c r="T3" s="3501">
        <v>20.98</v>
      </c>
      <c r="U3">
        <f t="shared" ref="U3:U57" si="0">R3/E3*10000</f>
        <v>9436.6263032399838</v>
      </c>
    </row>
    <row r="4" spans="1:21" s="3183" customFormat="1" ht="14.25">
      <c r="A4" s="3501" t="s">
        <v>4801</v>
      </c>
      <c r="B4" s="3501" t="s">
        <v>3454</v>
      </c>
      <c r="C4" s="3501" t="s">
        <v>4802</v>
      </c>
      <c r="D4" s="3501" t="s">
        <v>3464</v>
      </c>
      <c r="E4" s="3501">
        <v>36667</v>
      </c>
      <c r="F4" s="3501">
        <v>73334</v>
      </c>
      <c r="G4" s="3501" t="s">
        <v>3523</v>
      </c>
      <c r="H4" s="3501" t="s">
        <v>3457</v>
      </c>
      <c r="I4" s="3501" t="s">
        <v>3408</v>
      </c>
      <c r="J4" s="3501" t="s">
        <v>3427</v>
      </c>
      <c r="K4" s="3501" t="s">
        <v>4803</v>
      </c>
      <c r="L4" s="3501" t="s">
        <v>4803</v>
      </c>
      <c r="M4" s="3501" t="s">
        <v>3460</v>
      </c>
      <c r="N4" s="3501" t="s">
        <v>4172</v>
      </c>
      <c r="O4" s="3501">
        <v>10030</v>
      </c>
      <c r="P4" s="3501">
        <v>2006</v>
      </c>
      <c r="Q4" s="3501" t="s">
        <v>4804</v>
      </c>
      <c r="R4" s="3501">
        <v>10030</v>
      </c>
      <c r="S4" s="3501">
        <v>1368</v>
      </c>
      <c r="T4" s="3501">
        <v>0</v>
      </c>
      <c r="U4">
        <f t="shared" si="0"/>
        <v>2735.4296779120191</v>
      </c>
    </row>
    <row r="5" spans="1:21" ht="14.25">
      <c r="A5" s="3503" t="s">
        <v>4805</v>
      </c>
      <c r="B5" s="3503" t="s">
        <v>3454</v>
      </c>
      <c r="C5" s="3503" t="s">
        <v>4806</v>
      </c>
      <c r="D5" s="3503" t="s">
        <v>3455</v>
      </c>
      <c r="E5" s="3503">
        <v>21437</v>
      </c>
      <c r="F5" s="3503">
        <v>85748</v>
      </c>
      <c r="G5" s="3503" t="s">
        <v>3765</v>
      </c>
      <c r="H5" s="3503" t="s">
        <v>3457</v>
      </c>
      <c r="I5" s="3503" t="s">
        <v>3973</v>
      </c>
      <c r="J5" s="3503" t="s">
        <v>3427</v>
      </c>
      <c r="K5" s="3503" t="s">
        <v>4807</v>
      </c>
      <c r="L5" s="3503" t="s">
        <v>4807</v>
      </c>
      <c r="M5" s="3503" t="s">
        <v>3460</v>
      </c>
      <c r="N5" s="3503" t="s">
        <v>4808</v>
      </c>
      <c r="O5" s="3503">
        <v>11900</v>
      </c>
      <c r="P5" s="3503">
        <v>2380</v>
      </c>
      <c r="Q5" s="3503" t="s">
        <v>4809</v>
      </c>
      <c r="R5" s="3503">
        <v>11900</v>
      </c>
      <c r="S5" s="3503">
        <v>1388</v>
      </c>
      <c r="T5" s="3503">
        <v>0</v>
      </c>
      <c r="U5" s="3206">
        <f t="shared" si="0"/>
        <v>5551.1498810467883</v>
      </c>
    </row>
    <row r="6" spans="1:21" ht="14.25">
      <c r="A6" s="3477" t="s">
        <v>4810</v>
      </c>
      <c r="B6" s="3477" t="s">
        <v>3454</v>
      </c>
      <c r="C6" s="3477" t="s">
        <v>4811</v>
      </c>
      <c r="D6" s="3477" t="s">
        <v>3464</v>
      </c>
      <c r="E6" s="3477">
        <v>32728</v>
      </c>
      <c r="F6" s="3477">
        <v>75274.399999999994</v>
      </c>
      <c r="G6" s="3477" t="s">
        <v>4812</v>
      </c>
      <c r="H6" s="3477" t="s">
        <v>3457</v>
      </c>
      <c r="I6" s="3477" t="s">
        <v>3408</v>
      </c>
      <c r="J6" s="3477" t="s">
        <v>3427</v>
      </c>
      <c r="K6" s="3477" t="s">
        <v>4813</v>
      </c>
      <c r="L6" s="3477" t="s">
        <v>4813</v>
      </c>
      <c r="M6" s="3477" t="s">
        <v>3460</v>
      </c>
      <c r="N6" s="3477" t="s">
        <v>4814</v>
      </c>
      <c r="O6" s="3477">
        <v>21610</v>
      </c>
      <c r="P6" s="3477">
        <v>4330</v>
      </c>
      <c r="Q6" s="3477" t="s">
        <v>4815</v>
      </c>
      <c r="R6" s="3477">
        <v>21610</v>
      </c>
      <c r="S6" s="3477">
        <v>2871</v>
      </c>
      <c r="T6" s="3477">
        <v>0</v>
      </c>
      <c r="U6">
        <f t="shared" si="0"/>
        <v>6602.9088242483504</v>
      </c>
    </row>
    <row r="7" spans="1:21" s="3159" customFormat="1" ht="14.25">
      <c r="A7" s="3504" t="s">
        <v>4816</v>
      </c>
      <c r="B7" s="3504" t="s">
        <v>3454</v>
      </c>
      <c r="C7" s="3504" t="s">
        <v>4817</v>
      </c>
      <c r="D7" s="3504" t="s">
        <v>3464</v>
      </c>
      <c r="E7" s="3504">
        <v>19685</v>
      </c>
      <c r="F7" s="3504">
        <v>43307</v>
      </c>
      <c r="G7" s="3504" t="s">
        <v>4818</v>
      </c>
      <c r="H7" s="3504" t="s">
        <v>3457</v>
      </c>
      <c r="I7" s="3504" t="s">
        <v>3408</v>
      </c>
      <c r="J7" s="3504" t="s">
        <v>3427</v>
      </c>
      <c r="K7" s="3504" t="s">
        <v>4819</v>
      </c>
      <c r="L7" s="3504" t="s">
        <v>4819</v>
      </c>
      <c r="M7" s="3504" t="s">
        <v>3460</v>
      </c>
      <c r="N7" s="3504" t="s">
        <v>4820</v>
      </c>
      <c r="O7" s="3504">
        <v>13000</v>
      </c>
      <c r="P7" s="3504">
        <v>2600</v>
      </c>
      <c r="Q7" s="3504" t="s">
        <v>4821</v>
      </c>
      <c r="R7" s="3504">
        <v>13000</v>
      </c>
      <c r="S7" s="3504">
        <v>3002</v>
      </c>
      <c r="T7" s="3504">
        <v>0</v>
      </c>
      <c r="U7">
        <f t="shared" si="0"/>
        <v>6604.0132080264157</v>
      </c>
    </row>
    <row r="8" spans="1:21" ht="14.25">
      <c r="A8" s="3477" t="s">
        <v>4822</v>
      </c>
      <c r="B8" s="3477" t="s">
        <v>3454</v>
      </c>
      <c r="C8" s="3477" t="s">
        <v>4823</v>
      </c>
      <c r="D8" s="3477" t="s">
        <v>3455</v>
      </c>
      <c r="E8" s="3477">
        <v>26328</v>
      </c>
      <c r="F8" s="3477">
        <v>68452.800000000003</v>
      </c>
      <c r="G8" s="3477" t="s">
        <v>4824</v>
      </c>
      <c r="H8" s="3477" t="s">
        <v>3457</v>
      </c>
      <c r="I8" s="3477" t="s">
        <v>3407</v>
      </c>
      <c r="J8" s="3477" t="s">
        <v>3427</v>
      </c>
      <c r="K8" s="3477" t="s">
        <v>4825</v>
      </c>
      <c r="L8" s="3477" t="s">
        <v>4825</v>
      </c>
      <c r="M8" s="3477" t="s">
        <v>3460</v>
      </c>
      <c r="N8" s="3477" t="s">
        <v>4826</v>
      </c>
      <c r="O8" s="3477">
        <v>11850</v>
      </c>
      <c r="P8" s="3477">
        <v>2370</v>
      </c>
      <c r="Q8" s="3477" t="s">
        <v>4827</v>
      </c>
      <c r="R8" s="3477">
        <v>11850</v>
      </c>
      <c r="S8" s="3477">
        <v>1731</v>
      </c>
      <c r="T8" s="3477">
        <v>0</v>
      </c>
      <c r="U8">
        <f t="shared" si="0"/>
        <v>4500.9115770282588</v>
      </c>
    </row>
    <row r="9" spans="1:21" ht="14.25">
      <c r="A9" s="3477" t="s">
        <v>3480</v>
      </c>
      <c r="B9" s="3477" t="s">
        <v>3454</v>
      </c>
      <c r="C9" s="3477" t="s">
        <v>3481</v>
      </c>
      <c r="D9" s="3477" t="s">
        <v>3455</v>
      </c>
      <c r="E9" s="3477">
        <v>259</v>
      </c>
      <c r="F9" s="3477">
        <v>1554</v>
      </c>
      <c r="G9" s="3477" t="s">
        <v>3482</v>
      </c>
      <c r="H9" s="3477" t="s">
        <v>3457</v>
      </c>
      <c r="I9" s="3477" t="s">
        <v>3458</v>
      </c>
      <c r="J9" s="3477" t="s">
        <v>3427</v>
      </c>
      <c r="K9" s="3477" t="s">
        <v>3483</v>
      </c>
      <c r="L9" s="3477" t="s">
        <v>3483</v>
      </c>
      <c r="M9" s="3477" t="s">
        <v>3460</v>
      </c>
      <c r="N9" s="3477" t="s">
        <v>3484</v>
      </c>
      <c r="O9" s="3477">
        <v>160</v>
      </c>
      <c r="P9" s="3477">
        <v>40</v>
      </c>
      <c r="Q9" s="3477" t="s">
        <v>3485</v>
      </c>
      <c r="R9" s="3477">
        <v>160</v>
      </c>
      <c r="S9" s="3477">
        <v>1030</v>
      </c>
      <c r="T9" s="3477">
        <v>0</v>
      </c>
      <c r="U9">
        <f t="shared" si="0"/>
        <v>6177.6061776061779</v>
      </c>
    </row>
    <row r="10" spans="1:21" ht="14.25">
      <c r="A10" s="3503" t="s">
        <v>3486</v>
      </c>
      <c r="B10" s="3503" t="s">
        <v>3454</v>
      </c>
      <c r="C10" s="3503" t="s">
        <v>3487</v>
      </c>
      <c r="D10" s="3503" t="s">
        <v>3455</v>
      </c>
      <c r="E10" s="3503">
        <v>13940</v>
      </c>
      <c r="F10" s="3503">
        <v>55760</v>
      </c>
      <c r="G10" s="3503" t="s">
        <v>3488</v>
      </c>
      <c r="H10" s="3503" t="s">
        <v>3457</v>
      </c>
      <c r="I10" s="3503" t="s">
        <v>3458</v>
      </c>
      <c r="J10" s="3503" t="s">
        <v>3427</v>
      </c>
      <c r="K10" s="3503" t="s">
        <v>3483</v>
      </c>
      <c r="L10" s="3503" t="s">
        <v>3483</v>
      </c>
      <c r="M10" s="3503" t="s">
        <v>3460</v>
      </c>
      <c r="N10" s="3503" t="s">
        <v>3484</v>
      </c>
      <c r="O10" s="3503">
        <v>7430</v>
      </c>
      <c r="P10" s="3503">
        <v>1490</v>
      </c>
      <c r="Q10" s="3503" t="s">
        <v>3485</v>
      </c>
      <c r="R10" s="3503">
        <v>7430</v>
      </c>
      <c r="S10" s="3503">
        <v>1333</v>
      </c>
      <c r="T10" s="3503">
        <v>0</v>
      </c>
      <c r="U10" s="3206">
        <f t="shared" si="0"/>
        <v>5329.9856527977045</v>
      </c>
    </row>
    <row r="11" spans="1:21" s="3183" customFormat="1" ht="14.25">
      <c r="A11" s="3501" t="s">
        <v>3536</v>
      </c>
      <c r="B11" s="3501" t="s">
        <v>3454</v>
      </c>
      <c r="C11" s="3501" t="s">
        <v>3537</v>
      </c>
      <c r="D11" s="3501" t="s">
        <v>3455</v>
      </c>
      <c r="E11" s="3501">
        <v>6260</v>
      </c>
      <c r="F11" s="3501">
        <v>10016</v>
      </c>
      <c r="G11" s="3501" t="s">
        <v>3538</v>
      </c>
      <c r="H11" s="3501" t="s">
        <v>3457</v>
      </c>
      <c r="I11" s="3501" t="s">
        <v>3407</v>
      </c>
      <c r="J11" s="3501" t="s">
        <v>3427</v>
      </c>
      <c r="K11" s="3501" t="s">
        <v>3512</v>
      </c>
      <c r="L11" s="3501" t="s">
        <v>3512</v>
      </c>
      <c r="M11" s="3501" t="s">
        <v>3460</v>
      </c>
      <c r="N11" s="3501" t="s">
        <v>3539</v>
      </c>
      <c r="O11" s="3501">
        <v>3006</v>
      </c>
      <c r="P11" s="3501">
        <v>601</v>
      </c>
      <c r="Q11" s="3501" t="s">
        <v>3514</v>
      </c>
      <c r="R11" s="3501">
        <v>3006</v>
      </c>
      <c r="S11" s="3501">
        <v>3001</v>
      </c>
      <c r="T11" s="3501">
        <v>0</v>
      </c>
      <c r="U11">
        <f t="shared" si="0"/>
        <v>4801.9169329073484</v>
      </c>
    </row>
    <row r="12" spans="1:21" ht="14.25">
      <c r="A12" s="3477" t="s">
        <v>3544</v>
      </c>
      <c r="B12" s="3477" t="s">
        <v>3454</v>
      </c>
      <c r="C12" s="3477" t="s">
        <v>3545</v>
      </c>
      <c r="D12" s="3477" t="s">
        <v>3464</v>
      </c>
      <c r="E12" s="3477">
        <v>28649</v>
      </c>
      <c r="F12" s="3477">
        <v>74487.399999999994</v>
      </c>
      <c r="G12" s="3477" t="s">
        <v>3546</v>
      </c>
      <c r="H12" s="3477" t="s">
        <v>3457</v>
      </c>
      <c r="I12" s="3477" t="s">
        <v>3408</v>
      </c>
      <c r="J12" s="3477" t="s">
        <v>3427</v>
      </c>
      <c r="K12" s="3477" t="s">
        <v>3512</v>
      </c>
      <c r="L12" s="3477" t="s">
        <v>3512</v>
      </c>
      <c r="M12" s="3477" t="s">
        <v>3460</v>
      </c>
      <c r="N12" s="3477" t="s">
        <v>3539</v>
      </c>
      <c r="O12" s="3477">
        <v>50376</v>
      </c>
      <c r="P12" s="3477">
        <v>10677</v>
      </c>
      <c r="Q12" s="3477" t="s">
        <v>3514</v>
      </c>
      <c r="R12" s="3477">
        <v>53376</v>
      </c>
      <c r="S12" s="3477">
        <v>7166</v>
      </c>
      <c r="T12" s="3477">
        <v>5.96</v>
      </c>
      <c r="U12">
        <f t="shared" si="0"/>
        <v>18631.016789416735</v>
      </c>
    </row>
    <row r="13" spans="1:21" ht="14.25">
      <c r="A13" s="3477" t="s">
        <v>3717</v>
      </c>
      <c r="B13" s="3477" t="s">
        <v>3454</v>
      </c>
      <c r="C13" s="3477" t="s">
        <v>3718</v>
      </c>
      <c r="D13" s="3477" t="s">
        <v>3455</v>
      </c>
      <c r="E13" s="3477">
        <v>24170</v>
      </c>
      <c r="F13" s="3477">
        <v>31421</v>
      </c>
      <c r="G13" s="3477" t="s">
        <v>3719</v>
      </c>
      <c r="H13" s="3477" t="s">
        <v>3457</v>
      </c>
      <c r="I13" s="3477" t="s">
        <v>3407</v>
      </c>
      <c r="J13" s="3477" t="s">
        <v>3427</v>
      </c>
      <c r="K13" s="3477" t="s">
        <v>3705</v>
      </c>
      <c r="L13" s="3477" t="s">
        <v>3705</v>
      </c>
      <c r="M13" s="3477" t="s">
        <v>3460</v>
      </c>
      <c r="N13" s="3477" t="s">
        <v>3720</v>
      </c>
      <c r="O13" s="3477">
        <v>3210</v>
      </c>
      <c r="P13" s="3477">
        <v>642</v>
      </c>
      <c r="Q13" s="3477" t="s">
        <v>3706</v>
      </c>
      <c r="R13" s="3477">
        <v>3210</v>
      </c>
      <c r="S13" s="3477">
        <v>1022</v>
      </c>
      <c r="T13" s="3477">
        <v>0</v>
      </c>
      <c r="U13">
        <f t="shared" si="0"/>
        <v>1328.0926768721554</v>
      </c>
    </row>
    <row r="14" spans="1:21" ht="14.25">
      <c r="A14" s="3477" t="s">
        <v>3757</v>
      </c>
      <c r="B14" s="3477" t="s">
        <v>3454</v>
      </c>
      <c r="C14" s="3477" t="s">
        <v>3758</v>
      </c>
      <c r="D14" s="3477" t="s">
        <v>3455</v>
      </c>
      <c r="E14" s="3477">
        <v>20853</v>
      </c>
      <c r="F14" s="3477">
        <v>52132.5</v>
      </c>
      <c r="G14" s="3477" t="s">
        <v>3759</v>
      </c>
      <c r="H14" s="3477" t="s">
        <v>3457</v>
      </c>
      <c r="I14" s="3477" t="s">
        <v>3407</v>
      </c>
      <c r="J14" s="3477" t="s">
        <v>3427</v>
      </c>
      <c r="K14" s="3477" t="s">
        <v>3760</v>
      </c>
      <c r="L14" s="3477" t="s">
        <v>3760</v>
      </c>
      <c r="M14" s="3477" t="s">
        <v>3460</v>
      </c>
      <c r="N14" s="3477" t="s">
        <v>3761</v>
      </c>
      <c r="O14" s="3477">
        <v>9080</v>
      </c>
      <c r="P14" s="3477">
        <v>1820</v>
      </c>
      <c r="Q14" s="3477" t="s">
        <v>3762</v>
      </c>
      <c r="R14" s="3477">
        <v>9080</v>
      </c>
      <c r="S14" s="3477">
        <v>1742</v>
      </c>
      <c r="T14" s="3477">
        <v>0</v>
      </c>
      <c r="U14">
        <f t="shared" si="0"/>
        <v>4354.2895506641735</v>
      </c>
    </row>
    <row r="15" spans="1:21" s="3183" customFormat="1" ht="14.25">
      <c r="A15" s="3502" t="s">
        <v>3763</v>
      </c>
      <c r="B15" s="3502" t="s">
        <v>3454</v>
      </c>
      <c r="C15" s="3502" t="s">
        <v>3764</v>
      </c>
      <c r="D15" s="3502" t="s">
        <v>3455</v>
      </c>
      <c r="E15" s="3502">
        <v>19581</v>
      </c>
      <c r="F15" s="3502">
        <v>78324</v>
      </c>
      <c r="G15" s="3502" t="s">
        <v>3765</v>
      </c>
      <c r="H15" s="3502" t="s">
        <v>3457</v>
      </c>
      <c r="I15" s="3502" t="s">
        <v>3407</v>
      </c>
      <c r="J15" s="3502" t="s">
        <v>3427</v>
      </c>
      <c r="K15" s="3502" t="s">
        <v>3760</v>
      </c>
      <c r="L15" s="3502" t="s">
        <v>3760</v>
      </c>
      <c r="M15" s="3502" t="s">
        <v>3460</v>
      </c>
      <c r="N15" s="3502" t="s">
        <v>3761</v>
      </c>
      <c r="O15" s="3502">
        <v>10870</v>
      </c>
      <c r="P15" s="3502">
        <v>2180</v>
      </c>
      <c r="Q15" s="3502" t="s">
        <v>3762</v>
      </c>
      <c r="R15" s="3502">
        <v>10870</v>
      </c>
      <c r="S15" s="3502">
        <v>1388</v>
      </c>
      <c r="T15" s="3502">
        <v>0</v>
      </c>
      <c r="U15" s="3206">
        <f t="shared" si="0"/>
        <v>5551.299729329452</v>
      </c>
    </row>
    <row r="16" spans="1:21" ht="14.25">
      <c r="A16" s="3477" t="s">
        <v>3766</v>
      </c>
      <c r="B16" s="3477" t="s">
        <v>3454</v>
      </c>
      <c r="C16" s="3477" t="s">
        <v>3767</v>
      </c>
      <c r="D16" s="3477" t="s">
        <v>3464</v>
      </c>
      <c r="E16" s="3477">
        <v>20839</v>
      </c>
      <c r="F16" s="3477">
        <v>45845.8</v>
      </c>
      <c r="G16" s="3477" t="s">
        <v>3531</v>
      </c>
      <c r="H16" s="3477" t="s">
        <v>3457</v>
      </c>
      <c r="I16" s="3477" t="s">
        <v>3408</v>
      </c>
      <c r="J16" s="3477" t="s">
        <v>3427</v>
      </c>
      <c r="K16" s="3477" t="s">
        <v>3760</v>
      </c>
      <c r="L16" s="3477" t="s">
        <v>3760</v>
      </c>
      <c r="M16" s="3477" t="s">
        <v>3460</v>
      </c>
      <c r="N16" s="3477" t="s">
        <v>3761</v>
      </c>
      <c r="O16" s="3477">
        <v>13760</v>
      </c>
      <c r="P16" s="3477">
        <v>2760</v>
      </c>
      <c r="Q16" s="3477" t="s">
        <v>3762</v>
      </c>
      <c r="R16" s="3477">
        <v>13760</v>
      </c>
      <c r="S16" s="3477">
        <v>3001</v>
      </c>
      <c r="T16" s="3477">
        <v>0</v>
      </c>
      <c r="U16">
        <f t="shared" si="0"/>
        <v>6603.0039829166462</v>
      </c>
    </row>
    <row r="17" spans="1:21" ht="14.25">
      <c r="A17" s="3477" t="s">
        <v>3801</v>
      </c>
      <c r="B17" s="3477" t="s">
        <v>3454</v>
      </c>
      <c r="C17" s="3477" t="s">
        <v>3802</v>
      </c>
      <c r="D17" s="3477" t="s">
        <v>3464</v>
      </c>
      <c r="E17" s="3477">
        <v>62665</v>
      </c>
      <c r="F17" s="3477">
        <v>68931.5</v>
      </c>
      <c r="G17" s="3477" t="s">
        <v>3682</v>
      </c>
      <c r="H17" s="3477" t="s">
        <v>3457</v>
      </c>
      <c r="I17" s="3477" t="s">
        <v>3408</v>
      </c>
      <c r="J17" s="3477" t="s">
        <v>3427</v>
      </c>
      <c r="K17" s="3477" t="s">
        <v>3788</v>
      </c>
      <c r="L17" s="3477" t="s">
        <v>3788</v>
      </c>
      <c r="M17" s="3477" t="s">
        <v>3460</v>
      </c>
      <c r="N17" s="3477" t="s">
        <v>3803</v>
      </c>
      <c r="O17" s="3477">
        <v>47000</v>
      </c>
      <c r="P17" s="3477">
        <v>9400</v>
      </c>
      <c r="Q17" s="3477" t="s">
        <v>3790</v>
      </c>
      <c r="R17" s="3477">
        <v>47000</v>
      </c>
      <c r="S17" s="3477">
        <v>6818</v>
      </c>
      <c r="T17" s="3477">
        <v>0</v>
      </c>
      <c r="U17">
        <f t="shared" si="0"/>
        <v>7500.1994733902502</v>
      </c>
    </row>
    <row r="18" spans="1:21" ht="14.25">
      <c r="A18" s="3477" t="s">
        <v>3808</v>
      </c>
      <c r="B18" s="3477" t="s">
        <v>3454</v>
      </c>
      <c r="C18" s="3477" t="s">
        <v>3809</v>
      </c>
      <c r="D18" s="3477" t="s">
        <v>3464</v>
      </c>
      <c r="E18" s="3477">
        <v>29618</v>
      </c>
      <c r="F18" s="3477">
        <v>32579.8</v>
      </c>
      <c r="G18" s="3477" t="s">
        <v>3682</v>
      </c>
      <c r="H18" s="3477" t="s">
        <v>3457</v>
      </c>
      <c r="I18" s="3477" t="s">
        <v>3408</v>
      </c>
      <c r="J18" s="3477" t="s">
        <v>3427</v>
      </c>
      <c r="K18" s="3477" t="s">
        <v>3788</v>
      </c>
      <c r="L18" s="3477" t="s">
        <v>3788</v>
      </c>
      <c r="M18" s="3477" t="s">
        <v>3460</v>
      </c>
      <c r="N18" s="3477" t="s">
        <v>3803</v>
      </c>
      <c r="O18" s="3477">
        <v>22220</v>
      </c>
      <c r="P18" s="3477">
        <v>4450</v>
      </c>
      <c r="Q18" s="3477" t="s">
        <v>3790</v>
      </c>
      <c r="R18" s="3477">
        <v>25720</v>
      </c>
      <c r="S18" s="3477">
        <v>7894</v>
      </c>
      <c r="T18" s="3477">
        <v>15.75</v>
      </c>
      <c r="U18">
        <f t="shared" si="0"/>
        <v>8683.9084340603695</v>
      </c>
    </row>
    <row r="19" spans="1:21" s="3183" customFormat="1" ht="14.25">
      <c r="A19" s="3501" t="s">
        <v>3810</v>
      </c>
      <c r="B19" s="3501" t="s">
        <v>3454</v>
      </c>
      <c r="C19" s="3501" t="s">
        <v>3811</v>
      </c>
      <c r="D19" s="3501" t="s">
        <v>3455</v>
      </c>
      <c r="E19" s="3501">
        <v>2035</v>
      </c>
      <c r="F19" s="3501">
        <v>5291</v>
      </c>
      <c r="G19" s="3501" t="s">
        <v>3546</v>
      </c>
      <c r="H19" s="3501" t="s">
        <v>3457</v>
      </c>
      <c r="I19" s="3501" t="s">
        <v>3407</v>
      </c>
      <c r="J19" s="3501" t="s">
        <v>3427</v>
      </c>
      <c r="K19" s="3501" t="s">
        <v>3788</v>
      </c>
      <c r="L19" s="3501" t="s">
        <v>3788</v>
      </c>
      <c r="M19" s="3501" t="s">
        <v>3460</v>
      </c>
      <c r="N19" s="3501" t="s">
        <v>3812</v>
      </c>
      <c r="O19" s="3501">
        <v>1772</v>
      </c>
      <c r="P19" s="3501">
        <v>355</v>
      </c>
      <c r="Q19" s="3501" t="s">
        <v>3790</v>
      </c>
      <c r="R19" s="3501">
        <v>1772</v>
      </c>
      <c r="S19" s="3501">
        <v>3349</v>
      </c>
      <c r="T19" s="3501">
        <v>0</v>
      </c>
      <c r="U19">
        <f t="shared" si="0"/>
        <v>8707.6167076167076</v>
      </c>
    </row>
    <row r="20" spans="1:21" ht="14.25">
      <c r="A20" s="3477" t="s">
        <v>3813</v>
      </c>
      <c r="B20" s="3477" t="s">
        <v>3454</v>
      </c>
      <c r="C20" s="3477" t="s">
        <v>3814</v>
      </c>
      <c r="D20" s="3477" t="s">
        <v>3464</v>
      </c>
      <c r="E20" s="3477">
        <v>37590</v>
      </c>
      <c r="F20" s="3477">
        <v>41349</v>
      </c>
      <c r="G20" s="3477" t="s">
        <v>3682</v>
      </c>
      <c r="H20" s="3477" t="s">
        <v>3457</v>
      </c>
      <c r="I20" s="3477" t="s">
        <v>3408</v>
      </c>
      <c r="J20" s="3477" t="s">
        <v>3427</v>
      </c>
      <c r="K20" s="3477" t="s">
        <v>3788</v>
      </c>
      <c r="L20" s="3477" t="s">
        <v>3788</v>
      </c>
      <c r="M20" s="3477" t="s">
        <v>3460</v>
      </c>
      <c r="N20" s="3477" t="s">
        <v>3803</v>
      </c>
      <c r="O20" s="3477">
        <v>28200</v>
      </c>
      <c r="P20" s="3477">
        <v>5640</v>
      </c>
      <c r="Q20" s="3477" t="s">
        <v>3790</v>
      </c>
      <c r="R20" s="3477">
        <v>30700</v>
      </c>
      <c r="S20" s="3477">
        <v>7425</v>
      </c>
      <c r="T20" s="3477">
        <v>8.8699999999999992</v>
      </c>
      <c r="U20">
        <f t="shared" si="0"/>
        <v>8167.0657089651495</v>
      </c>
    </row>
    <row r="21" spans="1:21" ht="14.25">
      <c r="A21" s="3477" t="s">
        <v>3876</v>
      </c>
      <c r="B21" s="3477" t="s">
        <v>3454</v>
      </c>
      <c r="C21" s="3477" t="s">
        <v>3877</v>
      </c>
      <c r="D21" s="3477" t="s">
        <v>3455</v>
      </c>
      <c r="E21" s="3477">
        <v>14603</v>
      </c>
      <c r="F21" s="3477">
        <v>11682.4</v>
      </c>
      <c r="G21" s="3477" t="s">
        <v>3878</v>
      </c>
      <c r="H21" s="3477" t="s">
        <v>3457</v>
      </c>
      <c r="I21" s="3477" t="s">
        <v>3458</v>
      </c>
      <c r="J21" s="3477" t="s">
        <v>3427</v>
      </c>
      <c r="K21" s="3477" t="s">
        <v>3873</v>
      </c>
      <c r="L21" s="3477" t="s">
        <v>3873</v>
      </c>
      <c r="M21" s="3477" t="s">
        <v>3460</v>
      </c>
      <c r="N21" s="3477" t="s">
        <v>3879</v>
      </c>
      <c r="O21" s="3477">
        <v>3950</v>
      </c>
      <c r="P21" s="3477">
        <v>790</v>
      </c>
      <c r="Q21" s="3477" t="s">
        <v>3875</v>
      </c>
      <c r="R21" s="3477">
        <v>3950</v>
      </c>
      <c r="S21" s="3477">
        <v>3381</v>
      </c>
      <c r="T21" s="3477">
        <v>0</v>
      </c>
      <c r="U21">
        <f t="shared" si="0"/>
        <v>2704.9236458261998</v>
      </c>
    </row>
    <row r="22" spans="1:21" ht="14.25">
      <c r="A22" s="3477" t="s">
        <v>3881</v>
      </c>
      <c r="B22" s="3477" t="s">
        <v>3454</v>
      </c>
      <c r="C22" s="3477" t="s">
        <v>3882</v>
      </c>
      <c r="D22" s="3477" t="s">
        <v>3455</v>
      </c>
      <c r="E22" s="3477">
        <v>29047</v>
      </c>
      <c r="F22" s="3477">
        <v>23237.599999999999</v>
      </c>
      <c r="G22" s="3477" t="s">
        <v>3878</v>
      </c>
      <c r="H22" s="3477" t="s">
        <v>3457</v>
      </c>
      <c r="I22" s="3477" t="s">
        <v>3458</v>
      </c>
      <c r="J22" s="3477" t="s">
        <v>3427</v>
      </c>
      <c r="K22" s="3477" t="s">
        <v>3873</v>
      </c>
      <c r="L22" s="3477" t="s">
        <v>3873</v>
      </c>
      <c r="M22" s="3477" t="s">
        <v>3460</v>
      </c>
      <c r="N22" s="3477" t="s">
        <v>3879</v>
      </c>
      <c r="O22" s="3477">
        <v>7850</v>
      </c>
      <c r="P22" s="3477">
        <v>1570</v>
      </c>
      <c r="Q22" s="3477" t="s">
        <v>3875</v>
      </c>
      <c r="R22" s="3477">
        <v>7850</v>
      </c>
      <c r="S22" s="3477">
        <v>3378</v>
      </c>
      <c r="T22" s="3477">
        <v>0</v>
      </c>
      <c r="U22">
        <f t="shared" si="0"/>
        <v>2702.5166110097425</v>
      </c>
    </row>
    <row r="23" spans="1:21" ht="14.25">
      <c r="A23" s="3477" t="s">
        <v>3887</v>
      </c>
      <c r="B23" s="3477" t="s">
        <v>3454</v>
      </c>
      <c r="C23" s="3477" t="s">
        <v>3888</v>
      </c>
      <c r="D23" s="3477" t="s">
        <v>3455</v>
      </c>
      <c r="E23" s="3477">
        <v>6079</v>
      </c>
      <c r="F23" s="3477">
        <v>3647.4</v>
      </c>
      <c r="G23" s="3477" t="s">
        <v>3889</v>
      </c>
      <c r="H23" s="3477" t="s">
        <v>3457</v>
      </c>
      <c r="I23" s="3477" t="s">
        <v>3458</v>
      </c>
      <c r="J23" s="3477" t="s">
        <v>3427</v>
      </c>
      <c r="K23" s="3477" t="s">
        <v>3873</v>
      </c>
      <c r="L23" s="3477" t="s">
        <v>3873</v>
      </c>
      <c r="M23" s="3477" t="s">
        <v>3460</v>
      </c>
      <c r="N23" s="3477" t="s">
        <v>3879</v>
      </c>
      <c r="O23" s="3477">
        <v>1140</v>
      </c>
      <c r="P23" s="3477">
        <v>230</v>
      </c>
      <c r="Q23" s="3477" t="s">
        <v>3875</v>
      </c>
      <c r="R23" s="3477">
        <v>1140</v>
      </c>
      <c r="S23" s="3477">
        <v>3126</v>
      </c>
      <c r="T23" s="3477">
        <v>0</v>
      </c>
      <c r="U23">
        <f t="shared" si="0"/>
        <v>1875.3084388879752</v>
      </c>
    </row>
    <row r="24" spans="1:21" ht="14.25">
      <c r="A24" s="3477" t="s">
        <v>3890</v>
      </c>
      <c r="B24" s="3477" t="s">
        <v>3454</v>
      </c>
      <c r="C24" s="3477" t="s">
        <v>3891</v>
      </c>
      <c r="D24" s="3477" t="s">
        <v>3455</v>
      </c>
      <c r="E24" s="3477">
        <v>13260</v>
      </c>
      <c r="F24" s="3477">
        <v>10608</v>
      </c>
      <c r="G24" s="3477" t="s">
        <v>3878</v>
      </c>
      <c r="H24" s="3477" t="s">
        <v>3457</v>
      </c>
      <c r="I24" s="3477" t="s">
        <v>3458</v>
      </c>
      <c r="J24" s="3477" t="s">
        <v>3427</v>
      </c>
      <c r="K24" s="3477" t="s">
        <v>3873</v>
      </c>
      <c r="L24" s="3477" t="s">
        <v>3873</v>
      </c>
      <c r="M24" s="3477" t="s">
        <v>3460</v>
      </c>
      <c r="N24" s="3477" t="s">
        <v>3879</v>
      </c>
      <c r="O24" s="3477">
        <v>3590</v>
      </c>
      <c r="P24" s="3477">
        <v>720</v>
      </c>
      <c r="Q24" s="3477" t="s">
        <v>3875</v>
      </c>
      <c r="R24" s="3477">
        <v>3590</v>
      </c>
      <c r="S24" s="3477">
        <v>3384</v>
      </c>
      <c r="T24" s="3477">
        <v>0</v>
      </c>
      <c r="U24">
        <f t="shared" si="0"/>
        <v>2707.3906485671191</v>
      </c>
    </row>
    <row r="25" spans="1:21" ht="14.25">
      <c r="A25" s="3477" t="s">
        <v>3897</v>
      </c>
      <c r="B25" s="3477" t="s">
        <v>3454</v>
      </c>
      <c r="C25" s="3477" t="s">
        <v>3898</v>
      </c>
      <c r="D25" s="3477" t="s">
        <v>3455</v>
      </c>
      <c r="E25" s="3477">
        <v>56031</v>
      </c>
      <c r="F25" s="3477">
        <v>212917.8</v>
      </c>
      <c r="G25" s="3477" t="s">
        <v>3899</v>
      </c>
      <c r="H25" s="3477" t="s">
        <v>3457</v>
      </c>
      <c r="I25" s="3477" t="s">
        <v>3458</v>
      </c>
      <c r="J25" s="3477" t="s">
        <v>3427</v>
      </c>
      <c r="K25" s="3477" t="s">
        <v>3900</v>
      </c>
      <c r="L25" s="3477" t="s">
        <v>3900</v>
      </c>
      <c r="M25" s="3477" t="s">
        <v>3460</v>
      </c>
      <c r="N25" s="3477" t="s">
        <v>3901</v>
      </c>
      <c r="O25" s="3477">
        <v>31940</v>
      </c>
      <c r="P25" s="3477">
        <v>6390</v>
      </c>
      <c r="Q25" s="3477" t="s">
        <v>3902</v>
      </c>
      <c r="R25" s="3477">
        <v>31940</v>
      </c>
      <c r="S25" s="3477">
        <v>1500</v>
      </c>
      <c r="T25" s="3477">
        <v>0</v>
      </c>
      <c r="U25">
        <f t="shared" si="0"/>
        <v>5700.415841230747</v>
      </c>
    </row>
    <row r="26" spans="1:21" ht="14.25">
      <c r="A26" s="3477" t="s">
        <v>3958</v>
      </c>
      <c r="B26" s="3477" t="s">
        <v>3454</v>
      </c>
      <c r="C26" s="3477" t="s">
        <v>3959</v>
      </c>
      <c r="D26" s="3477" t="s">
        <v>3464</v>
      </c>
      <c r="E26" s="3477">
        <v>15468</v>
      </c>
      <c r="F26" s="3477">
        <v>34029.599999999999</v>
      </c>
      <c r="G26" s="3477" t="s">
        <v>3531</v>
      </c>
      <c r="H26" s="3477" t="s">
        <v>3457</v>
      </c>
      <c r="I26" s="3477" t="s">
        <v>3408</v>
      </c>
      <c r="J26" s="3477" t="s">
        <v>3427</v>
      </c>
      <c r="K26" s="3477" t="s">
        <v>3960</v>
      </c>
      <c r="L26" s="3477" t="s">
        <v>3960</v>
      </c>
      <c r="M26" s="3477" t="s">
        <v>3460</v>
      </c>
      <c r="N26" s="3477" t="s">
        <v>3961</v>
      </c>
      <c r="O26" s="3477">
        <v>11791</v>
      </c>
      <c r="P26" s="3477">
        <v>2359</v>
      </c>
      <c r="Q26" s="3477" t="s">
        <v>3962</v>
      </c>
      <c r="R26" s="3477">
        <v>11791</v>
      </c>
      <c r="S26" s="3477">
        <v>3465</v>
      </c>
      <c r="T26" s="3477">
        <v>0</v>
      </c>
      <c r="U26">
        <f t="shared" si="0"/>
        <v>7622.8342384277212</v>
      </c>
    </row>
    <row r="27" spans="1:21" ht="14.25">
      <c r="A27" s="3477" t="s">
        <v>4018</v>
      </c>
      <c r="B27" s="3477" t="s">
        <v>3454</v>
      </c>
      <c r="C27" s="3477" t="s">
        <v>4019</v>
      </c>
      <c r="D27" s="3477" t="s">
        <v>3455</v>
      </c>
      <c r="E27" s="3477">
        <v>19423</v>
      </c>
      <c r="F27" s="3477">
        <v>33019.1</v>
      </c>
      <c r="G27" s="3477" t="s">
        <v>4020</v>
      </c>
      <c r="H27" s="3477" t="s">
        <v>3457</v>
      </c>
      <c r="I27" s="3477" t="s">
        <v>3458</v>
      </c>
      <c r="J27" s="3477" t="s">
        <v>3427</v>
      </c>
      <c r="K27" s="3477" t="s">
        <v>4015</v>
      </c>
      <c r="L27" s="3477" t="s">
        <v>4015</v>
      </c>
      <c r="M27" s="3477" t="s">
        <v>3460</v>
      </c>
      <c r="N27" s="3477" t="s">
        <v>3879</v>
      </c>
      <c r="O27" s="3477">
        <v>7430</v>
      </c>
      <c r="P27" s="3477">
        <v>1490</v>
      </c>
      <c r="Q27" s="3477" t="s">
        <v>4017</v>
      </c>
      <c r="R27" s="3477">
        <v>7430</v>
      </c>
      <c r="S27" s="3477">
        <v>2250</v>
      </c>
      <c r="T27" s="3477">
        <v>0</v>
      </c>
      <c r="U27">
        <f t="shared" si="0"/>
        <v>3825.3616846007312</v>
      </c>
    </row>
    <row r="28" spans="1:21" s="3183" customFormat="1" ht="14.25">
      <c r="A28" s="3501" t="s">
        <v>4169</v>
      </c>
      <c r="B28" s="3501" t="s">
        <v>3454</v>
      </c>
      <c r="C28" s="3501" t="s">
        <v>4170</v>
      </c>
      <c r="D28" s="3501" t="s">
        <v>3464</v>
      </c>
      <c r="E28" s="3501">
        <v>81009</v>
      </c>
      <c r="F28" s="3501">
        <v>162018</v>
      </c>
      <c r="G28" s="3501" t="s">
        <v>3523</v>
      </c>
      <c r="H28" s="3501" t="s">
        <v>3457</v>
      </c>
      <c r="I28" s="3501" t="s">
        <v>3408</v>
      </c>
      <c r="J28" s="3501" t="s">
        <v>3427</v>
      </c>
      <c r="K28" s="3501" t="s">
        <v>4171</v>
      </c>
      <c r="L28" s="3501" t="s">
        <v>4171</v>
      </c>
      <c r="M28" s="3501" t="s">
        <v>3460</v>
      </c>
      <c r="N28" s="3501" t="s">
        <v>4172</v>
      </c>
      <c r="O28" s="3501">
        <v>31619</v>
      </c>
      <c r="P28" s="3501">
        <v>6324</v>
      </c>
      <c r="Q28" s="3501" t="s">
        <v>4173</v>
      </c>
      <c r="R28" s="3501">
        <v>31619</v>
      </c>
      <c r="S28" s="3501">
        <v>1952</v>
      </c>
      <c r="T28" s="3501">
        <v>0</v>
      </c>
      <c r="U28">
        <f t="shared" si="0"/>
        <v>3903.1465639620287</v>
      </c>
    </row>
    <row r="29" spans="1:21" ht="14.25">
      <c r="A29" s="3477" t="s">
        <v>4176</v>
      </c>
      <c r="B29" s="3477" t="s">
        <v>3454</v>
      </c>
      <c r="C29" s="3477" t="s">
        <v>4177</v>
      </c>
      <c r="D29" s="3477" t="s">
        <v>3464</v>
      </c>
      <c r="E29" s="3477">
        <v>9876</v>
      </c>
      <c r="F29" s="3477">
        <v>17776.8</v>
      </c>
      <c r="G29" s="3477" t="s">
        <v>4178</v>
      </c>
      <c r="H29" s="3477" t="s">
        <v>3457</v>
      </c>
      <c r="I29" s="3477" t="s">
        <v>3408</v>
      </c>
      <c r="J29" s="3477" t="s">
        <v>3427</v>
      </c>
      <c r="K29" s="3477" t="s">
        <v>4179</v>
      </c>
      <c r="L29" s="3477" t="s">
        <v>4179</v>
      </c>
      <c r="M29" s="3477" t="s">
        <v>3460</v>
      </c>
      <c r="N29" s="3477" t="s">
        <v>3484</v>
      </c>
      <c r="O29" s="3477">
        <v>6080</v>
      </c>
      <c r="P29" s="3477">
        <v>1980</v>
      </c>
      <c r="Q29" s="3477" t="s">
        <v>4180</v>
      </c>
      <c r="R29" s="3477">
        <v>6080</v>
      </c>
      <c r="S29" s="3477">
        <v>3420</v>
      </c>
      <c r="T29" s="3477">
        <v>0</v>
      </c>
      <c r="U29">
        <f t="shared" si="0"/>
        <v>6156.338598622925</v>
      </c>
    </row>
    <row r="30" spans="1:21" ht="14.25">
      <c r="A30" s="3477" t="s">
        <v>4181</v>
      </c>
      <c r="B30" s="3477" t="s">
        <v>3454</v>
      </c>
      <c r="C30" s="3477" t="s">
        <v>4182</v>
      </c>
      <c r="D30" s="3477" t="s">
        <v>3464</v>
      </c>
      <c r="E30" s="3477">
        <v>42162</v>
      </c>
      <c r="F30" s="3477">
        <v>84324</v>
      </c>
      <c r="G30" s="3477" t="s">
        <v>3728</v>
      </c>
      <c r="H30" s="3477" t="s">
        <v>3457</v>
      </c>
      <c r="I30" s="3477" t="s">
        <v>3408</v>
      </c>
      <c r="J30" s="3477" t="s">
        <v>3427</v>
      </c>
      <c r="K30" s="3477" t="s">
        <v>4179</v>
      </c>
      <c r="L30" s="3477" t="s">
        <v>4179</v>
      </c>
      <c r="M30" s="3477" t="s">
        <v>3460</v>
      </c>
      <c r="N30" s="3477" t="s">
        <v>4183</v>
      </c>
      <c r="O30" s="3477">
        <v>26570</v>
      </c>
      <c r="P30" s="3477">
        <v>5320</v>
      </c>
      <c r="Q30" s="3477" t="s">
        <v>4180</v>
      </c>
      <c r="R30" s="3477">
        <v>26570</v>
      </c>
      <c r="S30" s="3477">
        <v>3151</v>
      </c>
      <c r="T30" s="3477">
        <v>0</v>
      </c>
      <c r="U30">
        <f t="shared" si="0"/>
        <v>6301.88321237133</v>
      </c>
    </row>
    <row r="31" spans="1:21" ht="14.25">
      <c r="A31" s="3477" t="s">
        <v>4184</v>
      </c>
      <c r="B31" s="3477" t="s">
        <v>3454</v>
      </c>
      <c r="C31" s="3477" t="s">
        <v>4185</v>
      </c>
      <c r="D31" s="3477" t="s">
        <v>3455</v>
      </c>
      <c r="E31" s="3477">
        <v>96992</v>
      </c>
      <c r="F31" s="3477">
        <v>126089.60000000001</v>
      </c>
      <c r="G31" s="3477" t="s">
        <v>4083</v>
      </c>
      <c r="H31" s="3477" t="s">
        <v>3457</v>
      </c>
      <c r="I31" s="3477" t="s">
        <v>3973</v>
      </c>
      <c r="J31" s="3477" t="s">
        <v>3427</v>
      </c>
      <c r="K31" s="3477" t="s">
        <v>4179</v>
      </c>
      <c r="L31" s="3477" t="s">
        <v>4179</v>
      </c>
      <c r="M31" s="3477" t="s">
        <v>3460</v>
      </c>
      <c r="N31" s="3477" t="s">
        <v>4186</v>
      </c>
      <c r="O31" s="3477">
        <v>18920</v>
      </c>
      <c r="P31" s="3477">
        <v>3790</v>
      </c>
      <c r="Q31" s="3477" t="s">
        <v>4180</v>
      </c>
      <c r="R31" s="3477">
        <v>18920</v>
      </c>
      <c r="S31" s="3477">
        <v>1501</v>
      </c>
      <c r="T31" s="3477">
        <v>0</v>
      </c>
      <c r="U31">
        <f t="shared" si="0"/>
        <v>1950.6763444407788</v>
      </c>
    </row>
    <row r="32" spans="1:21" ht="14.25">
      <c r="A32" s="3477" t="s">
        <v>4187</v>
      </c>
      <c r="B32" s="3477" t="s">
        <v>3454</v>
      </c>
      <c r="C32" s="3477" t="s">
        <v>4188</v>
      </c>
      <c r="D32" s="3477" t="s">
        <v>3455</v>
      </c>
      <c r="E32" s="3477">
        <v>9014</v>
      </c>
      <c r="F32" s="3477">
        <v>22535</v>
      </c>
      <c r="G32" s="3477" t="s">
        <v>3511</v>
      </c>
      <c r="H32" s="3477" t="s">
        <v>3457</v>
      </c>
      <c r="I32" s="3477" t="s">
        <v>3407</v>
      </c>
      <c r="J32" s="3477" t="s">
        <v>3427</v>
      </c>
      <c r="K32" s="3477" t="s">
        <v>4179</v>
      </c>
      <c r="L32" s="3477" t="s">
        <v>4179</v>
      </c>
      <c r="M32" s="3477" t="s">
        <v>3460</v>
      </c>
      <c r="N32" s="3477" t="s">
        <v>3484</v>
      </c>
      <c r="O32" s="3477">
        <v>3790</v>
      </c>
      <c r="P32" s="3477">
        <v>1980</v>
      </c>
      <c r="Q32" s="3477" t="s">
        <v>4180</v>
      </c>
      <c r="R32" s="3477">
        <v>3790</v>
      </c>
      <c r="S32" s="3477">
        <v>1682</v>
      </c>
      <c r="T32" s="3477">
        <v>0</v>
      </c>
      <c r="U32">
        <f t="shared" si="0"/>
        <v>4204.570667850011</v>
      </c>
    </row>
    <row r="33" spans="1:21" ht="14.25">
      <c r="A33" s="3477" t="s">
        <v>4189</v>
      </c>
      <c r="B33" s="3477" t="s">
        <v>3454</v>
      </c>
      <c r="C33" s="3477" t="s">
        <v>4190</v>
      </c>
      <c r="D33" s="3477" t="s">
        <v>3455</v>
      </c>
      <c r="E33" s="3477">
        <v>3300</v>
      </c>
      <c r="F33" s="3477">
        <v>1980</v>
      </c>
      <c r="G33" s="3477" t="s">
        <v>3582</v>
      </c>
      <c r="H33" s="3477" t="s">
        <v>3457</v>
      </c>
      <c r="I33" s="3477" t="s">
        <v>3458</v>
      </c>
      <c r="J33" s="3477" t="s">
        <v>3427</v>
      </c>
      <c r="K33" s="3477" t="s">
        <v>4179</v>
      </c>
      <c r="L33" s="3477" t="s">
        <v>4179</v>
      </c>
      <c r="M33" s="3477" t="s">
        <v>3460</v>
      </c>
      <c r="N33" s="3477" t="s">
        <v>3879</v>
      </c>
      <c r="O33" s="3477">
        <v>620</v>
      </c>
      <c r="P33" s="3477">
        <v>130</v>
      </c>
      <c r="Q33" s="3477" t="s">
        <v>4180</v>
      </c>
      <c r="R33" s="3477">
        <v>620</v>
      </c>
      <c r="S33" s="3477">
        <v>3131</v>
      </c>
      <c r="T33" s="3477">
        <v>0</v>
      </c>
      <c r="U33">
        <f t="shared" si="0"/>
        <v>1878.7878787878788</v>
      </c>
    </row>
    <row r="34" spans="1:21" ht="14.25">
      <c r="A34" s="3477" t="s">
        <v>4229</v>
      </c>
      <c r="B34" s="3477" t="s">
        <v>3454</v>
      </c>
      <c r="C34" s="3477" t="s">
        <v>4230</v>
      </c>
      <c r="D34" s="3477" t="s">
        <v>3464</v>
      </c>
      <c r="E34" s="3477">
        <v>17149</v>
      </c>
      <c r="F34" s="3477">
        <v>20578.8</v>
      </c>
      <c r="G34" s="3477" t="s">
        <v>3773</v>
      </c>
      <c r="H34" s="3477" t="s">
        <v>3457</v>
      </c>
      <c r="I34" s="3477" t="s">
        <v>3408</v>
      </c>
      <c r="J34" s="3477" t="s">
        <v>3427</v>
      </c>
      <c r="K34" s="3477" t="s">
        <v>4231</v>
      </c>
      <c r="L34" s="3477" t="s">
        <v>4231</v>
      </c>
      <c r="M34" s="3477" t="s">
        <v>3460</v>
      </c>
      <c r="N34" s="3477" t="s">
        <v>4183</v>
      </c>
      <c r="O34" s="3477">
        <v>9270</v>
      </c>
      <c r="P34" s="3477">
        <v>4740</v>
      </c>
      <c r="Q34" s="3477" t="s">
        <v>4232</v>
      </c>
      <c r="R34" s="3477">
        <v>9270</v>
      </c>
      <c r="S34" s="3477">
        <v>4505</v>
      </c>
      <c r="T34" s="3477">
        <v>0</v>
      </c>
      <c r="U34">
        <f t="shared" si="0"/>
        <v>5405.5630065893056</v>
      </c>
    </row>
    <row r="35" spans="1:21" ht="14.25">
      <c r="A35" s="3477" t="s">
        <v>4233</v>
      </c>
      <c r="B35" s="3477" t="s">
        <v>3454</v>
      </c>
      <c r="C35" s="3477" t="s">
        <v>4234</v>
      </c>
      <c r="D35" s="3477" t="s">
        <v>3464</v>
      </c>
      <c r="E35" s="3477">
        <v>19070</v>
      </c>
      <c r="F35" s="3477">
        <v>26698</v>
      </c>
      <c r="G35" s="3477" t="s">
        <v>4235</v>
      </c>
      <c r="H35" s="3477" t="s">
        <v>3457</v>
      </c>
      <c r="I35" s="3477" t="s">
        <v>3408</v>
      </c>
      <c r="J35" s="3477" t="s">
        <v>3427</v>
      </c>
      <c r="K35" s="3477" t="s">
        <v>4231</v>
      </c>
      <c r="L35" s="3477" t="s">
        <v>4231</v>
      </c>
      <c r="M35" s="3477" t="s">
        <v>3460</v>
      </c>
      <c r="N35" s="3477" t="s">
        <v>4183</v>
      </c>
      <c r="O35" s="3477">
        <v>10880</v>
      </c>
      <c r="P35" s="3477">
        <v>4740</v>
      </c>
      <c r="Q35" s="3477" t="s">
        <v>4232</v>
      </c>
      <c r="R35" s="3477">
        <v>10880</v>
      </c>
      <c r="S35" s="3477">
        <v>4075</v>
      </c>
      <c r="T35" s="3477">
        <v>0</v>
      </c>
      <c r="U35">
        <f t="shared" si="0"/>
        <v>5705.296276874672</v>
      </c>
    </row>
    <row r="36" spans="1:21" ht="14.25">
      <c r="A36" s="3477" t="s">
        <v>4241</v>
      </c>
      <c r="B36" s="3477" t="s">
        <v>3454</v>
      </c>
      <c r="C36" s="3477" t="s">
        <v>4242</v>
      </c>
      <c r="D36" s="3477" t="s">
        <v>3455</v>
      </c>
      <c r="E36" s="3477">
        <v>11575</v>
      </c>
      <c r="F36" s="3477">
        <v>23150</v>
      </c>
      <c r="G36" s="3477" t="s">
        <v>3728</v>
      </c>
      <c r="H36" s="3477" t="s">
        <v>3457</v>
      </c>
      <c r="I36" s="3477" t="s">
        <v>3407</v>
      </c>
      <c r="J36" s="3477" t="s">
        <v>3427</v>
      </c>
      <c r="K36" s="3477" t="s">
        <v>4231</v>
      </c>
      <c r="L36" s="3477" t="s">
        <v>4231</v>
      </c>
      <c r="M36" s="3477" t="s">
        <v>3460</v>
      </c>
      <c r="N36" s="3477" t="s">
        <v>4183</v>
      </c>
      <c r="O36" s="3477">
        <v>3480</v>
      </c>
      <c r="P36" s="3477">
        <v>700</v>
      </c>
      <c r="Q36" s="3477" t="s">
        <v>4232</v>
      </c>
      <c r="R36" s="3477">
        <v>3480</v>
      </c>
      <c r="S36" s="3477">
        <v>1503</v>
      </c>
      <c r="T36" s="3477">
        <v>0</v>
      </c>
      <c r="U36">
        <f t="shared" si="0"/>
        <v>3006.4794816414687</v>
      </c>
    </row>
    <row r="37" spans="1:21" ht="14.25">
      <c r="A37" s="3477" t="s">
        <v>4828</v>
      </c>
      <c r="B37" s="3477" t="s">
        <v>3454</v>
      </c>
      <c r="C37" s="3477" t="s">
        <v>4829</v>
      </c>
      <c r="D37" s="3477" t="s">
        <v>3455</v>
      </c>
      <c r="E37" s="3477">
        <v>10008</v>
      </c>
      <c r="F37" s="3477">
        <v>25020</v>
      </c>
      <c r="G37" s="3477" t="s">
        <v>3511</v>
      </c>
      <c r="H37" s="3477" t="s">
        <v>3457</v>
      </c>
      <c r="I37" s="3477" t="s">
        <v>3407</v>
      </c>
      <c r="J37" s="3477" t="s">
        <v>3427</v>
      </c>
      <c r="K37" s="3477" t="s">
        <v>4830</v>
      </c>
      <c r="L37" s="3477" t="s">
        <v>4830</v>
      </c>
      <c r="M37" s="3477" t="s">
        <v>3460</v>
      </c>
      <c r="N37" s="3477" t="s">
        <v>3484</v>
      </c>
      <c r="O37" s="3477">
        <v>4210</v>
      </c>
      <c r="P37" s="3477">
        <v>2060</v>
      </c>
      <c r="Q37" s="3477" t="s">
        <v>4831</v>
      </c>
      <c r="R37" s="3477">
        <v>4210</v>
      </c>
      <c r="S37" s="3477">
        <v>1683</v>
      </c>
      <c r="T37" s="3477">
        <v>0</v>
      </c>
      <c r="U37">
        <f t="shared" si="0"/>
        <v>4206.6346922462026</v>
      </c>
    </row>
    <row r="38" spans="1:21" ht="14.25">
      <c r="A38" s="3477" t="s">
        <v>4832</v>
      </c>
      <c r="B38" s="3477" t="s">
        <v>3454</v>
      </c>
      <c r="C38" s="3477" t="s">
        <v>4833</v>
      </c>
      <c r="D38" s="3477" t="s">
        <v>3464</v>
      </c>
      <c r="E38" s="3477">
        <v>15711</v>
      </c>
      <c r="F38" s="3477">
        <v>36135.300000000003</v>
      </c>
      <c r="G38" s="3477" t="s">
        <v>3471</v>
      </c>
      <c r="H38" s="3477" t="s">
        <v>3457</v>
      </c>
      <c r="I38" s="3477" t="s">
        <v>3408</v>
      </c>
      <c r="J38" s="3477" t="s">
        <v>3427</v>
      </c>
      <c r="K38" s="3477" t="s">
        <v>4830</v>
      </c>
      <c r="L38" s="3477" t="s">
        <v>4830</v>
      </c>
      <c r="M38" s="3477" t="s">
        <v>3460</v>
      </c>
      <c r="N38" s="3477" t="s">
        <v>4183</v>
      </c>
      <c r="O38" s="3477">
        <v>9900</v>
      </c>
      <c r="P38" s="3477">
        <v>3640</v>
      </c>
      <c r="Q38" s="3477" t="s">
        <v>4831</v>
      </c>
      <c r="R38" s="3477">
        <v>9900</v>
      </c>
      <c r="S38" s="3477">
        <v>2740</v>
      </c>
      <c r="T38" s="3477">
        <v>0</v>
      </c>
      <c r="U38">
        <f t="shared" si="0"/>
        <v>6301.3175482146271</v>
      </c>
    </row>
    <row r="39" spans="1:21" ht="14.25">
      <c r="A39" s="3477" t="s">
        <v>4834</v>
      </c>
      <c r="B39" s="3477" t="s">
        <v>3454</v>
      </c>
      <c r="C39" s="3477" t="s">
        <v>4835</v>
      </c>
      <c r="D39" s="3477" t="s">
        <v>3455</v>
      </c>
      <c r="E39" s="3477">
        <v>19980</v>
      </c>
      <c r="F39" s="3477">
        <v>39960</v>
      </c>
      <c r="G39" s="3477" t="s">
        <v>3456</v>
      </c>
      <c r="H39" s="3477" t="s">
        <v>3457</v>
      </c>
      <c r="I39" s="3477" t="s">
        <v>3407</v>
      </c>
      <c r="J39" s="3477" t="s">
        <v>3427</v>
      </c>
      <c r="K39" s="3477" t="s">
        <v>4830</v>
      </c>
      <c r="L39" s="3477" t="s">
        <v>4830</v>
      </c>
      <c r="M39" s="3477" t="s">
        <v>3460</v>
      </c>
      <c r="N39" s="3477" t="s">
        <v>4836</v>
      </c>
      <c r="O39" s="3477">
        <v>7800</v>
      </c>
      <c r="P39" s="3477">
        <v>1560</v>
      </c>
      <c r="Q39" s="3477" t="s">
        <v>4831</v>
      </c>
      <c r="R39" s="3477">
        <v>7800</v>
      </c>
      <c r="S39" s="3477">
        <v>1952</v>
      </c>
      <c r="T39" s="3477">
        <v>0</v>
      </c>
      <c r="U39">
        <f t="shared" si="0"/>
        <v>3903.9039039039035</v>
      </c>
    </row>
    <row r="40" spans="1:21" ht="14.25">
      <c r="A40" s="3477" t="s">
        <v>4837</v>
      </c>
      <c r="B40" s="3477" t="s">
        <v>3454</v>
      </c>
      <c r="C40" s="3477" t="s">
        <v>4838</v>
      </c>
      <c r="D40" s="3477" t="s">
        <v>3455</v>
      </c>
      <c r="E40" s="3477">
        <v>14620</v>
      </c>
      <c r="F40" s="3477">
        <v>87720</v>
      </c>
      <c r="G40" s="3477" t="s">
        <v>4839</v>
      </c>
      <c r="H40" s="3477" t="s">
        <v>3457</v>
      </c>
      <c r="I40" s="3477" t="s">
        <v>3407</v>
      </c>
      <c r="J40" s="3477" t="s">
        <v>3427</v>
      </c>
      <c r="K40" s="3477" t="s">
        <v>4830</v>
      </c>
      <c r="L40" s="3477" t="s">
        <v>4830</v>
      </c>
      <c r="M40" s="3477" t="s">
        <v>3460</v>
      </c>
      <c r="N40" s="3477" t="s">
        <v>4183</v>
      </c>
      <c r="O40" s="3477">
        <v>7900</v>
      </c>
      <c r="P40" s="3477">
        <v>3240</v>
      </c>
      <c r="Q40" s="3477" t="s">
        <v>4831</v>
      </c>
      <c r="R40" s="3477">
        <v>7900</v>
      </c>
      <c r="S40" s="3477">
        <v>901</v>
      </c>
      <c r="T40" s="3477">
        <v>0</v>
      </c>
      <c r="U40">
        <f t="shared" si="0"/>
        <v>5403.5567715458274</v>
      </c>
    </row>
    <row r="41" spans="1:21" ht="14.25">
      <c r="A41" s="3477" t="s">
        <v>4840</v>
      </c>
      <c r="B41" s="3477" t="s">
        <v>3454</v>
      </c>
      <c r="C41" s="3477" t="s">
        <v>4841</v>
      </c>
      <c r="D41" s="3477" t="s">
        <v>3464</v>
      </c>
      <c r="E41" s="3477">
        <v>9787</v>
      </c>
      <c r="F41" s="3477">
        <v>17616.599999999999</v>
      </c>
      <c r="G41" s="3477" t="s">
        <v>4178</v>
      </c>
      <c r="H41" s="3477" t="s">
        <v>3457</v>
      </c>
      <c r="I41" s="3477" t="s">
        <v>3408</v>
      </c>
      <c r="J41" s="3477" t="s">
        <v>3427</v>
      </c>
      <c r="K41" s="3477" t="s">
        <v>4830</v>
      </c>
      <c r="L41" s="3477" t="s">
        <v>4830</v>
      </c>
      <c r="M41" s="3477" t="s">
        <v>3460</v>
      </c>
      <c r="N41" s="3477" t="s">
        <v>3484</v>
      </c>
      <c r="O41" s="3477">
        <v>6020</v>
      </c>
      <c r="P41" s="3477">
        <v>2060</v>
      </c>
      <c r="Q41" s="3477" t="s">
        <v>4831</v>
      </c>
      <c r="R41" s="3477">
        <v>6020</v>
      </c>
      <c r="S41" s="3477">
        <v>3417</v>
      </c>
      <c r="T41" s="3477">
        <v>0</v>
      </c>
      <c r="U41">
        <f t="shared" si="0"/>
        <v>6151.0166547460922</v>
      </c>
    </row>
    <row r="42" spans="1:21" ht="14.25">
      <c r="A42" s="3477" t="s">
        <v>4842</v>
      </c>
      <c r="B42" s="3477" t="s">
        <v>3454</v>
      </c>
      <c r="C42" s="3477" t="s">
        <v>4843</v>
      </c>
      <c r="D42" s="3477" t="s">
        <v>3455</v>
      </c>
      <c r="E42" s="3477">
        <v>15133</v>
      </c>
      <c r="F42" s="3477">
        <v>90798</v>
      </c>
      <c r="G42" s="3477" t="s">
        <v>4844</v>
      </c>
      <c r="H42" s="3477" t="s">
        <v>3457</v>
      </c>
      <c r="I42" s="3477" t="s">
        <v>3407</v>
      </c>
      <c r="J42" s="3477" t="s">
        <v>3427</v>
      </c>
      <c r="K42" s="3477" t="s">
        <v>4830</v>
      </c>
      <c r="L42" s="3477" t="s">
        <v>4830</v>
      </c>
      <c r="M42" s="3477" t="s">
        <v>3460</v>
      </c>
      <c r="N42" s="3477" t="s">
        <v>3484</v>
      </c>
      <c r="O42" s="3477">
        <v>8970</v>
      </c>
      <c r="P42" s="3477">
        <v>3940</v>
      </c>
      <c r="Q42" s="3477" t="s">
        <v>4831</v>
      </c>
      <c r="R42" s="3477">
        <v>8970</v>
      </c>
      <c r="S42" s="3477">
        <v>988</v>
      </c>
      <c r="T42" s="3477">
        <v>0</v>
      </c>
      <c r="U42">
        <f t="shared" si="0"/>
        <v>5927.4433357562939</v>
      </c>
    </row>
    <row r="43" spans="1:21" ht="14.25">
      <c r="A43" s="3477" t="s">
        <v>4845</v>
      </c>
      <c r="B43" s="3477" t="s">
        <v>3454</v>
      </c>
      <c r="C43" s="3477" t="s">
        <v>4846</v>
      </c>
      <c r="D43" s="3477" t="s">
        <v>3464</v>
      </c>
      <c r="E43" s="3477">
        <v>15711</v>
      </c>
      <c r="F43" s="3477">
        <v>36135.300000000003</v>
      </c>
      <c r="G43" s="3477" t="s">
        <v>3471</v>
      </c>
      <c r="H43" s="3477" t="s">
        <v>3457</v>
      </c>
      <c r="I43" s="3477" t="s">
        <v>3408</v>
      </c>
      <c r="J43" s="3477" t="s">
        <v>3427</v>
      </c>
      <c r="K43" s="3477" t="s">
        <v>4830</v>
      </c>
      <c r="L43" s="3477" t="s">
        <v>4830</v>
      </c>
      <c r="M43" s="3477" t="s">
        <v>3460</v>
      </c>
      <c r="N43" s="3477" t="s">
        <v>4183</v>
      </c>
      <c r="O43" s="3477">
        <v>9900</v>
      </c>
      <c r="P43" s="3477">
        <v>3540</v>
      </c>
      <c r="Q43" s="3477" t="s">
        <v>4831</v>
      </c>
      <c r="R43" s="3477">
        <v>9900</v>
      </c>
      <c r="S43" s="3477">
        <v>2740</v>
      </c>
      <c r="T43" s="3477">
        <v>0</v>
      </c>
      <c r="U43">
        <f t="shared" si="0"/>
        <v>6301.3175482146271</v>
      </c>
    </row>
    <row r="44" spans="1:21" ht="14.25">
      <c r="A44" s="3477" t="s">
        <v>4847</v>
      </c>
      <c r="B44" s="3477" t="s">
        <v>3454</v>
      </c>
      <c r="C44" s="3477" t="s">
        <v>4848</v>
      </c>
      <c r="D44" s="3477" t="s">
        <v>3455</v>
      </c>
      <c r="E44" s="3477">
        <v>15013</v>
      </c>
      <c r="F44" s="3477">
        <v>52545.5</v>
      </c>
      <c r="G44" s="3477" t="s">
        <v>4849</v>
      </c>
      <c r="H44" s="3477" t="s">
        <v>3457</v>
      </c>
      <c r="I44" s="3477" t="s">
        <v>3407</v>
      </c>
      <c r="J44" s="3477" t="s">
        <v>3427</v>
      </c>
      <c r="K44" s="3477" t="s">
        <v>4830</v>
      </c>
      <c r="L44" s="3477" t="s">
        <v>4830</v>
      </c>
      <c r="M44" s="3477" t="s">
        <v>3460</v>
      </c>
      <c r="N44" s="3477" t="s">
        <v>3484</v>
      </c>
      <c r="O44" s="3477">
        <v>7210</v>
      </c>
      <c r="P44" s="3477">
        <v>3280</v>
      </c>
      <c r="Q44" s="3477" t="s">
        <v>4831</v>
      </c>
      <c r="R44" s="3477">
        <v>7210</v>
      </c>
      <c r="S44" s="3477">
        <v>1372</v>
      </c>
      <c r="T44" s="3477">
        <v>0</v>
      </c>
      <c r="U44">
        <f t="shared" si="0"/>
        <v>4802.5044961033773</v>
      </c>
    </row>
    <row r="45" spans="1:21" ht="14.25">
      <c r="A45" s="3477" t="s">
        <v>4850</v>
      </c>
      <c r="B45" s="3477" t="s">
        <v>3454</v>
      </c>
      <c r="C45" s="3477" t="s">
        <v>4851</v>
      </c>
      <c r="D45" s="3477" t="s">
        <v>3455</v>
      </c>
      <c r="E45" s="3477">
        <v>15801</v>
      </c>
      <c r="F45" s="3477">
        <v>9480.6</v>
      </c>
      <c r="G45" s="3477" t="s">
        <v>3582</v>
      </c>
      <c r="H45" s="3477" t="s">
        <v>3457</v>
      </c>
      <c r="I45" s="3477" t="s">
        <v>3407</v>
      </c>
      <c r="J45" s="3477" t="s">
        <v>3427</v>
      </c>
      <c r="K45" s="3477" t="s">
        <v>4830</v>
      </c>
      <c r="L45" s="3477" t="s">
        <v>4830</v>
      </c>
      <c r="M45" s="3477" t="s">
        <v>3460</v>
      </c>
      <c r="N45" s="3477" t="s">
        <v>3879</v>
      </c>
      <c r="O45" s="3477">
        <v>2970</v>
      </c>
      <c r="P45" s="3477">
        <v>600</v>
      </c>
      <c r="Q45" s="3477" t="s">
        <v>4831</v>
      </c>
      <c r="R45" s="3477">
        <v>2970</v>
      </c>
      <c r="S45" s="3477">
        <v>3133</v>
      </c>
      <c r="T45" s="3477">
        <v>0</v>
      </c>
      <c r="U45">
        <f t="shared" si="0"/>
        <v>1879.6278716536929</v>
      </c>
    </row>
    <row r="46" spans="1:21" ht="14.25">
      <c r="A46" s="3477" t="s">
        <v>4852</v>
      </c>
      <c r="B46" s="3477" t="s">
        <v>3454</v>
      </c>
      <c r="C46" s="3477" t="s">
        <v>4853</v>
      </c>
      <c r="D46" s="3477" t="s">
        <v>3464</v>
      </c>
      <c r="E46" s="3477">
        <v>22810</v>
      </c>
      <c r="F46" s="3477">
        <v>50182</v>
      </c>
      <c r="G46" s="3477" t="s">
        <v>3531</v>
      </c>
      <c r="H46" s="3477" t="s">
        <v>3457</v>
      </c>
      <c r="I46" s="3477" t="s">
        <v>3408</v>
      </c>
      <c r="J46" s="3477" t="s">
        <v>3427</v>
      </c>
      <c r="K46" s="3477" t="s">
        <v>4830</v>
      </c>
      <c r="L46" s="3477" t="s">
        <v>4830</v>
      </c>
      <c r="M46" s="3477" t="s">
        <v>3460</v>
      </c>
      <c r="N46" s="3477" t="s">
        <v>4183</v>
      </c>
      <c r="O46" s="3477">
        <v>14380</v>
      </c>
      <c r="P46" s="3477">
        <v>5500</v>
      </c>
      <c r="Q46" s="3477" t="s">
        <v>4831</v>
      </c>
      <c r="R46" s="3477">
        <v>14380</v>
      </c>
      <c r="S46" s="3477">
        <v>2866</v>
      </c>
      <c r="T46" s="3477">
        <v>0</v>
      </c>
      <c r="U46">
        <f t="shared" si="0"/>
        <v>6304.2525208241996</v>
      </c>
    </row>
    <row r="47" spans="1:21" ht="14.25">
      <c r="A47" s="3477" t="s">
        <v>4854</v>
      </c>
      <c r="B47" s="3477" t="s">
        <v>3454</v>
      </c>
      <c r="C47" s="3477" t="s">
        <v>4855</v>
      </c>
      <c r="D47" s="3477" t="s">
        <v>3455</v>
      </c>
      <c r="E47" s="3477">
        <v>32069</v>
      </c>
      <c r="F47" s="3477">
        <v>32069</v>
      </c>
      <c r="G47" s="3477" t="s">
        <v>3636</v>
      </c>
      <c r="H47" s="3477" t="s">
        <v>3457</v>
      </c>
      <c r="I47" s="3477" t="s">
        <v>3407</v>
      </c>
      <c r="J47" s="3477" t="s">
        <v>3427</v>
      </c>
      <c r="K47" s="3477" t="s">
        <v>4830</v>
      </c>
      <c r="L47" s="3477" t="s">
        <v>4830</v>
      </c>
      <c r="M47" s="3477" t="s">
        <v>3460</v>
      </c>
      <c r="N47" s="3477" t="s">
        <v>3879</v>
      </c>
      <c r="O47" s="3477">
        <v>9870</v>
      </c>
      <c r="P47" s="3477">
        <v>1980</v>
      </c>
      <c r="Q47" s="3477" t="s">
        <v>4831</v>
      </c>
      <c r="R47" s="3477">
        <v>9870</v>
      </c>
      <c r="S47" s="3477">
        <v>3078</v>
      </c>
      <c r="T47" s="3477">
        <v>0</v>
      </c>
      <c r="U47">
        <f t="shared" si="0"/>
        <v>3077.7386260874991</v>
      </c>
    </row>
    <row r="48" spans="1:21" ht="14.25">
      <c r="A48" s="3477" t="s">
        <v>4856</v>
      </c>
      <c r="B48" s="3477" t="s">
        <v>3454</v>
      </c>
      <c r="C48" s="3477" t="s">
        <v>4857</v>
      </c>
      <c r="D48" s="3477" t="s">
        <v>3455</v>
      </c>
      <c r="E48" s="3477">
        <v>10870</v>
      </c>
      <c r="F48" s="3477">
        <v>6522</v>
      </c>
      <c r="G48" s="3477" t="s">
        <v>3582</v>
      </c>
      <c r="H48" s="3477" t="s">
        <v>3457</v>
      </c>
      <c r="I48" s="3477" t="s">
        <v>3407</v>
      </c>
      <c r="J48" s="3477" t="s">
        <v>3427</v>
      </c>
      <c r="K48" s="3477" t="s">
        <v>4830</v>
      </c>
      <c r="L48" s="3477" t="s">
        <v>4830</v>
      </c>
      <c r="M48" s="3477" t="s">
        <v>3460</v>
      </c>
      <c r="N48" s="3477" t="s">
        <v>3879</v>
      </c>
      <c r="O48" s="3477">
        <v>2040</v>
      </c>
      <c r="P48" s="3477">
        <v>410</v>
      </c>
      <c r="Q48" s="3477" t="s">
        <v>4831</v>
      </c>
      <c r="R48" s="3477">
        <v>2040</v>
      </c>
      <c r="S48" s="3477">
        <v>3128</v>
      </c>
      <c r="T48" s="3477">
        <v>0</v>
      </c>
      <c r="U48">
        <f t="shared" si="0"/>
        <v>1876.7249310027598</v>
      </c>
    </row>
    <row r="49" spans="1:21" ht="14.25">
      <c r="A49" s="3477" t="s">
        <v>4858</v>
      </c>
      <c r="B49" s="3477" t="s">
        <v>3454</v>
      </c>
      <c r="C49" s="3477" t="s">
        <v>4859</v>
      </c>
      <c r="D49" s="3477" t="s">
        <v>3464</v>
      </c>
      <c r="E49" s="3477">
        <v>13366</v>
      </c>
      <c r="F49" s="3477">
        <v>30741.8</v>
      </c>
      <c r="G49" s="3477" t="s">
        <v>3471</v>
      </c>
      <c r="H49" s="3477" t="s">
        <v>3457</v>
      </c>
      <c r="I49" s="3477" t="s">
        <v>3408</v>
      </c>
      <c r="J49" s="3477" t="s">
        <v>3427</v>
      </c>
      <c r="K49" s="3477" t="s">
        <v>4830</v>
      </c>
      <c r="L49" s="3477" t="s">
        <v>4830</v>
      </c>
      <c r="M49" s="3477" t="s">
        <v>3460</v>
      </c>
      <c r="N49" s="3477" t="s">
        <v>4183</v>
      </c>
      <c r="O49" s="3477">
        <v>8430</v>
      </c>
      <c r="P49" s="3477">
        <v>1690</v>
      </c>
      <c r="Q49" s="3477" t="s">
        <v>4831</v>
      </c>
      <c r="R49" s="3477">
        <v>8430</v>
      </c>
      <c r="S49" s="3477">
        <v>2742</v>
      </c>
      <c r="T49" s="3477">
        <v>0</v>
      </c>
      <c r="U49">
        <f t="shared" si="0"/>
        <v>6307.047733054018</v>
      </c>
    </row>
    <row r="50" spans="1:21" ht="14.25">
      <c r="A50" s="3477" t="s">
        <v>4860</v>
      </c>
      <c r="B50" s="3477" t="s">
        <v>3454</v>
      </c>
      <c r="C50" s="3477" t="s">
        <v>4861</v>
      </c>
      <c r="D50" s="3477" t="s">
        <v>3464</v>
      </c>
      <c r="E50" s="3477">
        <v>14515</v>
      </c>
      <c r="F50" s="3477">
        <v>31933</v>
      </c>
      <c r="G50" s="3477" t="s">
        <v>3531</v>
      </c>
      <c r="H50" s="3477" t="s">
        <v>3457</v>
      </c>
      <c r="I50" s="3477" t="s">
        <v>3408</v>
      </c>
      <c r="J50" s="3477" t="s">
        <v>3427</v>
      </c>
      <c r="K50" s="3477" t="s">
        <v>4830</v>
      </c>
      <c r="L50" s="3477" t="s">
        <v>4830</v>
      </c>
      <c r="M50" s="3477" t="s">
        <v>3460</v>
      </c>
      <c r="N50" s="3477" t="s">
        <v>3484</v>
      </c>
      <c r="O50" s="3477">
        <v>9150</v>
      </c>
      <c r="P50" s="3477">
        <v>3280</v>
      </c>
      <c r="Q50" s="3477" t="s">
        <v>4831</v>
      </c>
      <c r="R50" s="3477">
        <v>9150</v>
      </c>
      <c r="S50" s="3477">
        <v>2865</v>
      </c>
      <c r="T50" s="3477">
        <v>0</v>
      </c>
      <c r="U50">
        <f t="shared" si="0"/>
        <v>6303.8236307268344</v>
      </c>
    </row>
    <row r="51" spans="1:21" ht="14.25">
      <c r="A51" s="3477" t="s">
        <v>4862</v>
      </c>
      <c r="B51" s="3477" t="s">
        <v>3454</v>
      </c>
      <c r="C51" s="3477" t="s">
        <v>4863</v>
      </c>
      <c r="D51" s="3477" t="s">
        <v>3455</v>
      </c>
      <c r="E51" s="3477">
        <v>21362</v>
      </c>
      <c r="F51" s="3477">
        <v>12817.2</v>
      </c>
      <c r="G51" s="3477" t="s">
        <v>3582</v>
      </c>
      <c r="H51" s="3477" t="s">
        <v>3457</v>
      </c>
      <c r="I51" s="3477" t="s">
        <v>3407</v>
      </c>
      <c r="J51" s="3477" t="s">
        <v>3427</v>
      </c>
      <c r="K51" s="3477" t="s">
        <v>4830</v>
      </c>
      <c r="L51" s="3477" t="s">
        <v>4830</v>
      </c>
      <c r="M51" s="3477" t="s">
        <v>3460</v>
      </c>
      <c r="N51" s="3477" t="s">
        <v>3879</v>
      </c>
      <c r="O51" s="3477">
        <v>4010</v>
      </c>
      <c r="P51" s="3477">
        <v>810</v>
      </c>
      <c r="Q51" s="3477" t="s">
        <v>4831</v>
      </c>
      <c r="R51" s="3477">
        <v>4010</v>
      </c>
      <c r="S51" s="3477">
        <v>3129</v>
      </c>
      <c r="T51" s="3477">
        <v>0</v>
      </c>
      <c r="U51">
        <f t="shared" si="0"/>
        <v>1877.1650594513621</v>
      </c>
    </row>
    <row r="52" spans="1:21" ht="14.25">
      <c r="A52" s="3477" t="s">
        <v>3453</v>
      </c>
      <c r="B52" s="3477" t="s">
        <v>3454</v>
      </c>
      <c r="C52" s="3477" t="s">
        <v>3453</v>
      </c>
      <c r="D52" s="3477" t="s">
        <v>3455</v>
      </c>
      <c r="E52" s="3477">
        <v>18000</v>
      </c>
      <c r="F52" s="3477">
        <v>36000</v>
      </c>
      <c r="G52" s="3477" t="s">
        <v>3456</v>
      </c>
      <c r="H52" s="3477" t="s">
        <v>3457</v>
      </c>
      <c r="I52" s="3477" t="s">
        <v>3458</v>
      </c>
      <c r="J52" s="3477" t="s">
        <v>3427</v>
      </c>
      <c r="K52" s="3477" t="s">
        <v>3459</v>
      </c>
      <c r="L52" s="3477" t="s">
        <v>3459</v>
      </c>
      <c r="M52" s="3477" t="s">
        <v>3460</v>
      </c>
      <c r="N52" s="3477" t="s">
        <v>3461</v>
      </c>
      <c r="O52" s="3477">
        <v>5400</v>
      </c>
      <c r="P52" s="3477">
        <v>1700</v>
      </c>
      <c r="Q52" s="3477" t="s">
        <v>3462</v>
      </c>
      <c r="R52" s="3477">
        <v>5400</v>
      </c>
      <c r="S52" s="3477">
        <v>1500</v>
      </c>
      <c r="T52" s="3477">
        <v>0</v>
      </c>
      <c r="U52">
        <f t="shared" si="0"/>
        <v>3000</v>
      </c>
    </row>
    <row r="53" spans="1:21" ht="14.25">
      <c r="A53" s="3477" t="s">
        <v>3463</v>
      </c>
      <c r="B53" s="3477" t="s">
        <v>3454</v>
      </c>
      <c r="C53" s="3477" t="s">
        <v>3463</v>
      </c>
      <c r="D53" s="3477" t="s">
        <v>3464</v>
      </c>
      <c r="E53" s="3477">
        <v>8667</v>
      </c>
      <c r="F53" s="3477">
        <v>15600.6</v>
      </c>
      <c r="G53" s="3477" t="s">
        <v>3465</v>
      </c>
      <c r="H53" s="3477" t="s">
        <v>3457</v>
      </c>
      <c r="I53" s="3477" t="s">
        <v>3408</v>
      </c>
      <c r="J53" s="3477" t="s">
        <v>3427</v>
      </c>
      <c r="K53" s="3477" t="s">
        <v>3459</v>
      </c>
      <c r="L53" s="3477" t="s">
        <v>3459</v>
      </c>
      <c r="M53" s="3477" t="s">
        <v>3460</v>
      </c>
      <c r="N53" s="3477" t="s">
        <v>3466</v>
      </c>
      <c r="O53" s="3477">
        <v>2600</v>
      </c>
      <c r="P53" s="3477">
        <v>780</v>
      </c>
      <c r="Q53" s="3477" t="s">
        <v>3462</v>
      </c>
      <c r="R53" s="3477">
        <v>2600</v>
      </c>
      <c r="S53" s="3477">
        <v>1667</v>
      </c>
      <c r="T53" s="3477">
        <v>0</v>
      </c>
      <c r="U53">
        <f t="shared" si="0"/>
        <v>2999.8846198223146</v>
      </c>
    </row>
    <row r="54" spans="1:21" ht="14.25">
      <c r="A54" s="3477" t="s">
        <v>3467</v>
      </c>
      <c r="B54" s="3477" t="s">
        <v>3454</v>
      </c>
      <c r="C54" s="3477" t="s">
        <v>3467</v>
      </c>
      <c r="D54" s="3477" t="s">
        <v>3464</v>
      </c>
      <c r="E54" s="3477">
        <v>16667</v>
      </c>
      <c r="F54" s="3477">
        <v>30000.6</v>
      </c>
      <c r="G54" s="3477" t="s">
        <v>3465</v>
      </c>
      <c r="H54" s="3477" t="s">
        <v>3457</v>
      </c>
      <c r="I54" s="3477" t="s">
        <v>3408</v>
      </c>
      <c r="J54" s="3477" t="s">
        <v>3427</v>
      </c>
      <c r="K54" s="3477" t="s">
        <v>3459</v>
      </c>
      <c r="L54" s="3477" t="s">
        <v>3459</v>
      </c>
      <c r="M54" s="3477" t="s">
        <v>3460</v>
      </c>
      <c r="N54" s="3477" t="s">
        <v>3468</v>
      </c>
      <c r="O54" s="3477">
        <v>5000</v>
      </c>
      <c r="P54" s="3477">
        <v>1500</v>
      </c>
      <c r="Q54" s="3477" t="s">
        <v>3462</v>
      </c>
      <c r="R54" s="3477">
        <v>5000</v>
      </c>
      <c r="S54" s="3477">
        <v>1667</v>
      </c>
      <c r="T54" s="3477">
        <v>0</v>
      </c>
      <c r="U54">
        <f t="shared" si="0"/>
        <v>2999.940001199976</v>
      </c>
    </row>
    <row r="55" spans="1:21" ht="14.25">
      <c r="A55" s="3477" t="s">
        <v>3469</v>
      </c>
      <c r="B55" s="3477" t="s">
        <v>3454</v>
      </c>
      <c r="C55" s="3477" t="s">
        <v>3470</v>
      </c>
      <c r="D55" s="3477" t="s">
        <v>3464</v>
      </c>
      <c r="E55" s="3477">
        <v>13694</v>
      </c>
      <c r="F55" s="3477">
        <v>31496.2</v>
      </c>
      <c r="G55" s="3477" t="s">
        <v>3471</v>
      </c>
      <c r="H55" s="3477" t="s">
        <v>3457</v>
      </c>
      <c r="I55" s="3477" t="s">
        <v>3408</v>
      </c>
      <c r="J55" s="3477" t="s">
        <v>3427</v>
      </c>
      <c r="K55" s="3477" t="s">
        <v>3472</v>
      </c>
      <c r="L55" s="3477" t="s">
        <v>3472</v>
      </c>
      <c r="M55" s="3477" t="s">
        <v>3460</v>
      </c>
      <c r="N55" s="3477" t="s">
        <v>3473</v>
      </c>
      <c r="O55" s="3477">
        <v>26709</v>
      </c>
      <c r="P55" s="3477">
        <v>6000</v>
      </c>
      <c r="Q55" s="3477" t="s">
        <v>3474</v>
      </c>
      <c r="R55" s="3477">
        <v>32909</v>
      </c>
      <c r="S55" s="3477">
        <v>10449</v>
      </c>
      <c r="T55" s="3477">
        <v>23.21</v>
      </c>
      <c r="U55">
        <f t="shared" si="0"/>
        <v>24031.692712136704</v>
      </c>
    </row>
    <row r="56" spans="1:21" ht="14.25">
      <c r="A56" s="3477" t="s">
        <v>4790</v>
      </c>
      <c r="B56" s="3477" t="s">
        <v>3454</v>
      </c>
      <c r="C56" s="3477" t="s">
        <v>3475</v>
      </c>
      <c r="D56" s="3477" t="s">
        <v>3464</v>
      </c>
      <c r="E56" s="3477">
        <v>32663</v>
      </c>
      <c r="F56" s="3477">
        <v>55527.1</v>
      </c>
      <c r="G56" s="3477" t="s">
        <v>3476</v>
      </c>
      <c r="H56" s="3477" t="s">
        <v>3457</v>
      </c>
      <c r="I56" s="3477" t="s">
        <v>3408</v>
      </c>
      <c r="J56" s="3477" t="s">
        <v>3427</v>
      </c>
      <c r="K56" s="3477" t="s">
        <v>3477</v>
      </c>
      <c r="L56" s="3477" t="s">
        <v>3477</v>
      </c>
      <c r="M56" s="3477" t="s">
        <v>3460</v>
      </c>
      <c r="N56" s="3477" t="s">
        <v>3478</v>
      </c>
      <c r="O56" s="3477">
        <v>33026</v>
      </c>
      <c r="P56" s="3477">
        <v>6606</v>
      </c>
      <c r="Q56" s="3477" t="s">
        <v>3479</v>
      </c>
      <c r="R56" s="3477">
        <v>33026</v>
      </c>
      <c r="S56" s="3477">
        <v>5948</v>
      </c>
      <c r="T56" s="3477">
        <v>0</v>
      </c>
      <c r="U56">
        <f t="shared" si="0"/>
        <v>10111.134923307718</v>
      </c>
    </row>
    <row r="57" spans="1:21" ht="14.25">
      <c r="A57" s="3477" t="s">
        <v>3480</v>
      </c>
      <c r="B57" s="3477" t="s">
        <v>3454</v>
      </c>
      <c r="C57" s="3477" t="s">
        <v>3481</v>
      </c>
      <c r="D57" s="3477" t="s">
        <v>3455</v>
      </c>
      <c r="E57" s="3477">
        <v>259</v>
      </c>
      <c r="F57" s="3477">
        <v>1554</v>
      </c>
      <c r="G57" s="3477" t="s">
        <v>3482</v>
      </c>
      <c r="H57" s="3477" t="s">
        <v>3457</v>
      </c>
      <c r="I57" s="3477" t="s">
        <v>3458</v>
      </c>
      <c r="J57" s="3477" t="s">
        <v>3427</v>
      </c>
      <c r="K57" s="3477" t="s">
        <v>3483</v>
      </c>
      <c r="L57" s="3477" t="s">
        <v>3483</v>
      </c>
      <c r="M57" s="3477" t="s">
        <v>3460</v>
      </c>
      <c r="N57" s="3477" t="s">
        <v>3484</v>
      </c>
      <c r="O57" s="3477">
        <v>160</v>
      </c>
      <c r="P57" s="3477">
        <v>40</v>
      </c>
      <c r="Q57" s="3477" t="s">
        <v>3485</v>
      </c>
      <c r="R57" s="3477">
        <v>160</v>
      </c>
      <c r="S57" s="3477">
        <v>1030</v>
      </c>
      <c r="T57" s="3477">
        <v>0</v>
      </c>
      <c r="U57">
        <f t="shared" si="0"/>
        <v>6177.6061776061779</v>
      </c>
    </row>
    <row r="58" spans="1:21" ht="14.25">
      <c r="A58" s="3477" t="s">
        <v>3486</v>
      </c>
      <c r="B58" s="3477" t="s">
        <v>3454</v>
      </c>
      <c r="C58" s="3477" t="s">
        <v>3487</v>
      </c>
      <c r="D58" s="3477" t="s">
        <v>3455</v>
      </c>
      <c r="E58" s="3477">
        <v>13940</v>
      </c>
      <c r="F58" s="3477">
        <v>55760</v>
      </c>
      <c r="G58" s="3477" t="s">
        <v>3488</v>
      </c>
      <c r="H58" s="3477" t="s">
        <v>3457</v>
      </c>
      <c r="I58" s="3477" t="s">
        <v>3458</v>
      </c>
      <c r="J58" s="3477" t="s">
        <v>3427</v>
      </c>
      <c r="K58" s="3477" t="s">
        <v>3483</v>
      </c>
      <c r="L58" s="3477" t="s">
        <v>3483</v>
      </c>
      <c r="M58" s="3477" t="s">
        <v>3460</v>
      </c>
      <c r="N58" s="3477" t="s">
        <v>3484</v>
      </c>
      <c r="O58" s="3477">
        <v>7430</v>
      </c>
      <c r="P58" s="3477">
        <v>1490</v>
      </c>
      <c r="Q58" s="3477" t="s">
        <v>3485</v>
      </c>
      <c r="R58" s="3477">
        <v>7430</v>
      </c>
      <c r="S58" s="3477">
        <v>1333</v>
      </c>
      <c r="T58" s="3477">
        <v>0</v>
      </c>
    </row>
    <row r="59" spans="1:21" ht="14.25">
      <c r="A59" s="3477" t="s">
        <v>3489</v>
      </c>
      <c r="B59" s="3477" t="s">
        <v>3454</v>
      </c>
      <c r="C59" s="3477" t="s">
        <v>3489</v>
      </c>
      <c r="D59" s="3477" t="s">
        <v>3455</v>
      </c>
      <c r="E59" s="3477">
        <v>6415</v>
      </c>
      <c r="F59" s="3477">
        <v>12830</v>
      </c>
      <c r="G59" s="3477" t="s">
        <v>3456</v>
      </c>
      <c r="H59" s="3477" t="s">
        <v>3457</v>
      </c>
      <c r="I59" s="3477" t="s">
        <v>3458</v>
      </c>
      <c r="J59" s="3477" t="s">
        <v>3427</v>
      </c>
      <c r="K59" s="3477" t="s">
        <v>3490</v>
      </c>
      <c r="L59" s="3477" t="s">
        <v>3490</v>
      </c>
      <c r="M59" s="3477" t="s">
        <v>3460</v>
      </c>
      <c r="N59" s="3477" t="s">
        <v>3491</v>
      </c>
      <c r="O59" s="3477">
        <v>442</v>
      </c>
      <c r="P59" s="3477">
        <v>230</v>
      </c>
      <c r="Q59" s="3477" t="s">
        <v>3492</v>
      </c>
      <c r="R59" s="3477">
        <v>442</v>
      </c>
      <c r="S59" s="3477">
        <v>345</v>
      </c>
      <c r="T59" s="3477">
        <v>0</v>
      </c>
    </row>
    <row r="60" spans="1:21" ht="14.25">
      <c r="A60" s="3477" t="s">
        <v>3493</v>
      </c>
      <c r="B60" s="3477" t="s">
        <v>3454</v>
      </c>
      <c r="C60" s="3477" t="s">
        <v>3493</v>
      </c>
      <c r="D60" s="3477" t="s">
        <v>3455</v>
      </c>
      <c r="E60" s="3477">
        <v>7796</v>
      </c>
      <c r="F60" s="3477">
        <v>15592</v>
      </c>
      <c r="G60" s="3477" t="s">
        <v>3456</v>
      </c>
      <c r="H60" s="3477" t="s">
        <v>3457</v>
      </c>
      <c r="I60" s="3477" t="s">
        <v>3458</v>
      </c>
      <c r="J60" s="3477" t="s">
        <v>3427</v>
      </c>
      <c r="K60" s="3477" t="s">
        <v>3490</v>
      </c>
      <c r="L60" s="3477" t="s">
        <v>3490</v>
      </c>
      <c r="M60" s="3477" t="s">
        <v>3460</v>
      </c>
      <c r="N60" s="3477" t="s">
        <v>3494</v>
      </c>
      <c r="O60" s="3477">
        <v>547</v>
      </c>
      <c r="P60" s="3477">
        <v>280</v>
      </c>
      <c r="Q60" s="3477" t="s">
        <v>3492</v>
      </c>
      <c r="R60" s="3477">
        <v>635</v>
      </c>
      <c r="S60" s="3477">
        <v>407</v>
      </c>
      <c r="T60" s="3477">
        <v>16.09</v>
      </c>
    </row>
    <row r="61" spans="1:21" ht="14.25">
      <c r="A61" s="3477" t="s">
        <v>3495</v>
      </c>
      <c r="B61" s="3477" t="s">
        <v>3454</v>
      </c>
      <c r="C61" s="3477" t="s">
        <v>3495</v>
      </c>
      <c r="D61" s="3477" t="s">
        <v>3455</v>
      </c>
      <c r="E61" s="3477">
        <v>1373</v>
      </c>
      <c r="F61" s="3477">
        <v>2471.4</v>
      </c>
      <c r="G61" s="3477" t="s">
        <v>3496</v>
      </c>
      <c r="H61" s="3477" t="s">
        <v>3457</v>
      </c>
      <c r="I61" s="3477" t="s">
        <v>3458</v>
      </c>
      <c r="J61" s="3477" t="s">
        <v>3427</v>
      </c>
      <c r="K61" s="3477" t="s">
        <v>3490</v>
      </c>
      <c r="L61" s="3477" t="s">
        <v>3490</v>
      </c>
      <c r="M61" s="3477" t="s">
        <v>3460</v>
      </c>
      <c r="N61" s="3477" t="s">
        <v>3497</v>
      </c>
      <c r="O61" s="3477">
        <v>176</v>
      </c>
      <c r="P61" s="3477">
        <v>90</v>
      </c>
      <c r="Q61" s="3477" t="s">
        <v>3492</v>
      </c>
      <c r="R61" s="3477">
        <v>176</v>
      </c>
      <c r="S61" s="3477">
        <v>712</v>
      </c>
      <c r="T61" s="3477">
        <v>0</v>
      </c>
    </row>
    <row r="62" spans="1:21" ht="14.25">
      <c r="A62" s="3477" t="s">
        <v>3498</v>
      </c>
      <c r="B62" s="3477" t="s">
        <v>3454</v>
      </c>
      <c r="C62" s="3477" t="s">
        <v>3498</v>
      </c>
      <c r="D62" s="3477" t="s">
        <v>3455</v>
      </c>
      <c r="E62" s="3477">
        <v>181408</v>
      </c>
      <c r="F62" s="3477">
        <v>272112</v>
      </c>
      <c r="G62" s="3477" t="s">
        <v>3499</v>
      </c>
      <c r="H62" s="3477" t="s">
        <v>3457</v>
      </c>
      <c r="I62" s="3477" t="s">
        <v>3458</v>
      </c>
      <c r="J62" s="3477" t="s">
        <v>3427</v>
      </c>
      <c r="K62" s="3477" t="s">
        <v>3500</v>
      </c>
      <c r="L62" s="3477" t="s">
        <v>3500</v>
      </c>
      <c r="M62" s="3477" t="s">
        <v>3460</v>
      </c>
      <c r="N62" s="3477" t="s">
        <v>3501</v>
      </c>
      <c r="O62" s="3477">
        <v>10885</v>
      </c>
      <c r="P62" s="3477">
        <v>5443</v>
      </c>
      <c r="Q62" s="3477" t="s">
        <v>3502</v>
      </c>
      <c r="R62" s="3477">
        <v>10885</v>
      </c>
      <c r="S62" s="3477">
        <v>400</v>
      </c>
      <c r="T62" s="3477">
        <v>0</v>
      </c>
    </row>
    <row r="63" spans="1:21" ht="14.25">
      <c r="A63" s="3477" t="s">
        <v>3503</v>
      </c>
      <c r="B63" s="3477" t="s">
        <v>3454</v>
      </c>
      <c r="C63" s="3477" t="s">
        <v>3504</v>
      </c>
      <c r="D63" s="3477" t="s">
        <v>3455</v>
      </c>
      <c r="E63" s="3477">
        <v>22368</v>
      </c>
      <c r="F63" s="3477">
        <v>33552</v>
      </c>
      <c r="G63" s="3477" t="s">
        <v>3505</v>
      </c>
      <c r="H63" s="3477" t="s">
        <v>3457</v>
      </c>
      <c r="I63" s="3477" t="s">
        <v>3458</v>
      </c>
      <c r="J63" s="3477" t="s">
        <v>3427</v>
      </c>
      <c r="K63" s="3477" t="s">
        <v>3506</v>
      </c>
      <c r="L63" s="3477" t="s">
        <v>3506</v>
      </c>
      <c r="M63" s="3477" t="s">
        <v>3460</v>
      </c>
      <c r="N63" s="3477" t="s">
        <v>3507</v>
      </c>
      <c r="O63" s="3477">
        <v>5043</v>
      </c>
      <c r="P63" s="3477">
        <v>1009</v>
      </c>
      <c r="Q63" s="3477" t="s">
        <v>3508</v>
      </c>
      <c r="R63" s="3477">
        <v>5043</v>
      </c>
      <c r="S63" s="3477">
        <v>1503</v>
      </c>
      <c r="T63" s="3477">
        <v>0</v>
      </c>
    </row>
    <row r="64" spans="1:21" ht="14.25">
      <c r="A64" s="3477" t="s">
        <v>3509</v>
      </c>
      <c r="B64" s="3477" t="s">
        <v>3454</v>
      </c>
      <c r="C64" s="3477" t="s">
        <v>3510</v>
      </c>
      <c r="D64" s="3477" t="s">
        <v>3464</v>
      </c>
      <c r="E64" s="3477">
        <v>60971</v>
      </c>
      <c r="F64" s="3477">
        <v>152427.5</v>
      </c>
      <c r="G64" s="3477" t="s">
        <v>3511</v>
      </c>
      <c r="H64" s="3477" t="s">
        <v>3457</v>
      </c>
      <c r="I64" s="3477" t="s">
        <v>3408</v>
      </c>
      <c r="J64" s="3477" t="s">
        <v>3427</v>
      </c>
      <c r="K64" s="3477" t="s">
        <v>3512</v>
      </c>
      <c r="L64" s="3477" t="s">
        <v>3512</v>
      </c>
      <c r="M64" s="3477" t="s">
        <v>3460</v>
      </c>
      <c r="N64" s="3477" t="s">
        <v>3513</v>
      </c>
      <c r="O64" s="3477">
        <v>98621</v>
      </c>
      <c r="P64" s="3477">
        <v>20000</v>
      </c>
      <c r="Q64" s="3477" t="s">
        <v>3514</v>
      </c>
      <c r="R64" s="3477">
        <v>148621</v>
      </c>
      <c r="S64" s="3477">
        <v>9750</v>
      </c>
      <c r="T64" s="3477">
        <v>50.7</v>
      </c>
    </row>
    <row r="65" spans="1:20" ht="14.25">
      <c r="A65" s="3477" t="s">
        <v>3515</v>
      </c>
      <c r="B65" s="3477" t="s">
        <v>3454</v>
      </c>
      <c r="C65" s="3477" t="s">
        <v>3516</v>
      </c>
      <c r="D65" s="3477" t="s">
        <v>3455</v>
      </c>
      <c r="E65" s="3477">
        <v>40064</v>
      </c>
      <c r="F65" s="3477">
        <v>120192</v>
      </c>
      <c r="G65" s="3477" t="s">
        <v>3517</v>
      </c>
      <c r="H65" s="3477" t="s">
        <v>3457</v>
      </c>
      <c r="I65" s="3477" t="s">
        <v>3458</v>
      </c>
      <c r="J65" s="3477" t="s">
        <v>3427</v>
      </c>
      <c r="K65" s="3477" t="s">
        <v>3518</v>
      </c>
      <c r="L65" s="3477" t="s">
        <v>3518</v>
      </c>
      <c r="M65" s="3477" t="s">
        <v>3460</v>
      </c>
      <c r="N65" s="3477" t="s">
        <v>3519</v>
      </c>
      <c r="O65" s="3477">
        <v>18029</v>
      </c>
      <c r="P65" s="3477">
        <v>3606</v>
      </c>
      <c r="Q65" s="3477" t="s">
        <v>3520</v>
      </c>
      <c r="R65" s="3477">
        <v>18029</v>
      </c>
      <c r="S65" s="3477">
        <v>1500</v>
      </c>
      <c r="T65" s="3477">
        <v>0</v>
      </c>
    </row>
    <row r="66" spans="1:20" ht="14.25">
      <c r="A66" s="3477" t="s">
        <v>3521</v>
      </c>
      <c r="B66" s="3477" t="s">
        <v>3454</v>
      </c>
      <c r="C66" s="3477" t="s">
        <v>3522</v>
      </c>
      <c r="D66" s="3477" t="s">
        <v>3464</v>
      </c>
      <c r="E66" s="3477">
        <v>19082</v>
      </c>
      <c r="F66" s="3477">
        <v>38164</v>
      </c>
      <c r="G66" s="3477" t="s">
        <v>3523</v>
      </c>
      <c r="H66" s="3477" t="s">
        <v>3457</v>
      </c>
      <c r="I66" s="3477" t="s">
        <v>3408</v>
      </c>
      <c r="J66" s="3477" t="s">
        <v>3427</v>
      </c>
      <c r="K66" s="3477" t="s">
        <v>3512</v>
      </c>
      <c r="L66" s="3477" t="s">
        <v>3512</v>
      </c>
      <c r="M66" s="3477" t="s">
        <v>3460</v>
      </c>
      <c r="N66" s="3477" t="s">
        <v>3524</v>
      </c>
      <c r="O66" s="3477">
        <v>26361</v>
      </c>
      <c r="P66" s="3477">
        <v>5300</v>
      </c>
      <c r="Q66" s="3477" t="s">
        <v>3514</v>
      </c>
      <c r="R66" s="3477">
        <v>40061</v>
      </c>
      <c r="S66" s="3477">
        <v>10497</v>
      </c>
      <c r="T66" s="3477">
        <v>51.97</v>
      </c>
    </row>
    <row r="67" spans="1:20" ht="14.25">
      <c r="A67" s="3477" t="s">
        <v>3525</v>
      </c>
      <c r="B67" s="3477" t="s">
        <v>3454</v>
      </c>
      <c r="C67" s="3477" t="s">
        <v>3526</v>
      </c>
      <c r="D67" s="3477" t="s">
        <v>3455</v>
      </c>
      <c r="E67" s="3477">
        <v>7732</v>
      </c>
      <c r="F67" s="3477">
        <v>38660</v>
      </c>
      <c r="G67" s="3477" t="s">
        <v>3527</v>
      </c>
      <c r="H67" s="3477" t="s">
        <v>3457</v>
      </c>
      <c r="I67" s="3477" t="s">
        <v>3407</v>
      </c>
      <c r="J67" s="3477" t="s">
        <v>3427</v>
      </c>
      <c r="K67" s="3477" t="s">
        <v>3518</v>
      </c>
      <c r="L67" s="3477" t="s">
        <v>3518</v>
      </c>
      <c r="M67" s="3477" t="s">
        <v>3460</v>
      </c>
      <c r="N67" s="3477" t="s">
        <v>3528</v>
      </c>
      <c r="O67" s="3477">
        <v>13952</v>
      </c>
      <c r="P67" s="3477">
        <v>2791</v>
      </c>
      <c r="Q67" s="3477" t="s">
        <v>3520</v>
      </c>
      <c r="R67" s="3477">
        <v>13952</v>
      </c>
      <c r="S67" s="3477">
        <v>3609</v>
      </c>
      <c r="T67" s="3477">
        <v>0</v>
      </c>
    </row>
    <row r="68" spans="1:20" ht="14.25">
      <c r="A68" s="3477" t="s">
        <v>3529</v>
      </c>
      <c r="B68" s="3477" t="s">
        <v>3454</v>
      </c>
      <c r="C68" s="3477" t="s">
        <v>3530</v>
      </c>
      <c r="D68" s="3477" t="s">
        <v>3464</v>
      </c>
      <c r="E68" s="3477">
        <v>12858</v>
      </c>
      <c r="F68" s="3477">
        <v>28287.599999999999</v>
      </c>
      <c r="G68" s="3477" t="s">
        <v>3531</v>
      </c>
      <c r="H68" s="3477" t="s">
        <v>3457</v>
      </c>
      <c r="I68" s="3477" t="s">
        <v>3408</v>
      </c>
      <c r="J68" s="3477" t="s">
        <v>3427</v>
      </c>
      <c r="K68" s="3477" t="s">
        <v>3512</v>
      </c>
      <c r="L68" s="3477" t="s">
        <v>3512</v>
      </c>
      <c r="M68" s="3477" t="s">
        <v>3460</v>
      </c>
      <c r="N68" s="3477" t="s">
        <v>3532</v>
      </c>
      <c r="O68" s="3477">
        <v>12072</v>
      </c>
      <c r="P68" s="3477">
        <v>2415</v>
      </c>
      <c r="Q68" s="3477" t="s">
        <v>3514</v>
      </c>
      <c r="R68" s="3477">
        <v>12072</v>
      </c>
      <c r="S68" s="3477">
        <v>4268</v>
      </c>
      <c r="T68" s="3477">
        <v>0</v>
      </c>
    </row>
    <row r="69" spans="1:20" ht="14.25">
      <c r="A69" s="3477" t="s">
        <v>3533</v>
      </c>
      <c r="B69" s="3477" t="s">
        <v>3454</v>
      </c>
      <c r="C69" s="3477" t="s">
        <v>3534</v>
      </c>
      <c r="D69" s="3477" t="s">
        <v>3464</v>
      </c>
      <c r="E69" s="3477">
        <v>45828</v>
      </c>
      <c r="F69" s="3477">
        <v>82490.399999999994</v>
      </c>
      <c r="G69" s="3477" t="s">
        <v>3465</v>
      </c>
      <c r="H69" s="3477" t="s">
        <v>3457</v>
      </c>
      <c r="I69" s="3477" t="s">
        <v>3408</v>
      </c>
      <c r="J69" s="3477" t="s">
        <v>3427</v>
      </c>
      <c r="K69" s="3477" t="s">
        <v>3512</v>
      </c>
      <c r="L69" s="3477" t="s">
        <v>3512</v>
      </c>
      <c r="M69" s="3477" t="s">
        <v>3460</v>
      </c>
      <c r="N69" s="3477" t="s">
        <v>3535</v>
      </c>
      <c r="O69" s="3477">
        <v>46884</v>
      </c>
      <c r="P69" s="3477">
        <v>10010</v>
      </c>
      <c r="Q69" s="3477" t="s">
        <v>3514</v>
      </c>
      <c r="R69" s="3477">
        <v>46884</v>
      </c>
      <c r="S69" s="3477">
        <v>5684</v>
      </c>
      <c r="T69" s="3477">
        <v>0</v>
      </c>
    </row>
    <row r="70" spans="1:20" ht="14.25">
      <c r="A70" s="3477" t="s">
        <v>3536</v>
      </c>
      <c r="B70" s="3477" t="s">
        <v>3454</v>
      </c>
      <c r="C70" s="3477" t="s">
        <v>3537</v>
      </c>
      <c r="D70" s="3477" t="s">
        <v>3455</v>
      </c>
      <c r="E70" s="3477">
        <v>6260</v>
      </c>
      <c r="F70" s="3477">
        <v>10016</v>
      </c>
      <c r="G70" s="3477" t="s">
        <v>3538</v>
      </c>
      <c r="H70" s="3477" t="s">
        <v>3457</v>
      </c>
      <c r="I70" s="3477" t="s">
        <v>3407</v>
      </c>
      <c r="J70" s="3477" t="s">
        <v>3427</v>
      </c>
      <c r="K70" s="3477" t="s">
        <v>3512</v>
      </c>
      <c r="L70" s="3477" t="s">
        <v>3512</v>
      </c>
      <c r="M70" s="3477" t="s">
        <v>3460</v>
      </c>
      <c r="N70" s="3477" t="s">
        <v>3539</v>
      </c>
      <c r="O70" s="3477">
        <v>3006</v>
      </c>
      <c r="P70" s="3477">
        <v>601</v>
      </c>
      <c r="Q70" s="3477" t="s">
        <v>3514</v>
      </c>
      <c r="R70" s="3477">
        <v>3006</v>
      </c>
      <c r="S70" s="3477">
        <v>3001</v>
      </c>
      <c r="T70" s="3477">
        <v>0</v>
      </c>
    </row>
    <row r="71" spans="1:20" ht="14.25">
      <c r="A71" s="3477" t="s">
        <v>3540</v>
      </c>
      <c r="B71" s="3477" t="s">
        <v>3454</v>
      </c>
      <c r="C71" s="3477" t="s">
        <v>3541</v>
      </c>
      <c r="D71" s="3477" t="s">
        <v>3455</v>
      </c>
      <c r="E71" s="3477">
        <v>19862</v>
      </c>
      <c r="F71" s="3477">
        <v>51641.2</v>
      </c>
      <c r="G71" s="3477" t="s">
        <v>3542</v>
      </c>
      <c r="H71" s="3477" t="s">
        <v>3457</v>
      </c>
      <c r="I71" s="3477" t="s">
        <v>3458</v>
      </c>
      <c r="J71" s="3477" t="s">
        <v>3427</v>
      </c>
      <c r="K71" s="3477" t="s">
        <v>3512</v>
      </c>
      <c r="L71" s="3477" t="s">
        <v>3512</v>
      </c>
      <c r="M71" s="3477" t="s">
        <v>3460</v>
      </c>
      <c r="N71" s="3477" t="s">
        <v>3543</v>
      </c>
      <c r="O71" s="3477">
        <v>4343</v>
      </c>
      <c r="P71" s="3477">
        <v>1000</v>
      </c>
      <c r="Q71" s="3477" t="s">
        <v>3514</v>
      </c>
      <c r="R71" s="3477">
        <v>4343</v>
      </c>
      <c r="S71" s="3477">
        <v>841</v>
      </c>
      <c r="T71" s="3477">
        <v>0</v>
      </c>
    </row>
    <row r="72" spans="1:20" s="3183" customFormat="1" ht="14.25">
      <c r="A72" s="3501" t="s">
        <v>3544</v>
      </c>
      <c r="B72" s="3501" t="s">
        <v>3454</v>
      </c>
      <c r="C72" s="3501" t="s">
        <v>3545</v>
      </c>
      <c r="D72" s="3501" t="s">
        <v>3464</v>
      </c>
      <c r="E72" s="3501">
        <v>28649</v>
      </c>
      <c r="F72" s="3501">
        <v>74487.399999999994</v>
      </c>
      <c r="G72" s="3501" t="s">
        <v>3546</v>
      </c>
      <c r="H72" s="3501" t="s">
        <v>3457</v>
      </c>
      <c r="I72" s="3501" t="s">
        <v>3408</v>
      </c>
      <c r="J72" s="3501" t="s">
        <v>3427</v>
      </c>
      <c r="K72" s="3501" t="s">
        <v>3512</v>
      </c>
      <c r="L72" s="3501" t="s">
        <v>3512</v>
      </c>
      <c r="M72" s="3501" t="s">
        <v>3460</v>
      </c>
      <c r="N72" s="3501" t="s">
        <v>3539</v>
      </c>
      <c r="O72" s="3501">
        <v>50376</v>
      </c>
      <c r="P72" s="3501">
        <v>10677</v>
      </c>
      <c r="Q72" s="3501" t="s">
        <v>3514</v>
      </c>
      <c r="R72" s="3501">
        <v>53376</v>
      </c>
      <c r="S72" s="3501">
        <v>7166</v>
      </c>
      <c r="T72" s="3501">
        <v>5.96</v>
      </c>
    </row>
    <row r="73" spans="1:20" ht="14.25">
      <c r="A73" s="3477" t="s">
        <v>3547</v>
      </c>
      <c r="B73" s="3477" t="s">
        <v>3454</v>
      </c>
      <c r="C73" s="3477" t="s">
        <v>3548</v>
      </c>
      <c r="D73" s="3477" t="s">
        <v>3455</v>
      </c>
      <c r="E73" s="3477">
        <v>15548</v>
      </c>
      <c r="F73" s="3477">
        <v>93288</v>
      </c>
      <c r="G73" s="3477" t="s">
        <v>3549</v>
      </c>
      <c r="H73" s="3477" t="s">
        <v>3457</v>
      </c>
      <c r="I73" s="3477" t="s">
        <v>3407</v>
      </c>
      <c r="J73" s="3477" t="s">
        <v>3427</v>
      </c>
      <c r="K73" s="3477" t="s">
        <v>3518</v>
      </c>
      <c r="L73" s="3477" t="s">
        <v>3518</v>
      </c>
      <c r="M73" s="3477" t="s">
        <v>3460</v>
      </c>
      <c r="N73" s="3477" t="s">
        <v>3550</v>
      </c>
      <c r="O73" s="3477">
        <v>39042</v>
      </c>
      <c r="P73" s="3477">
        <v>7809</v>
      </c>
      <c r="Q73" s="3477" t="s">
        <v>3520</v>
      </c>
      <c r="R73" s="3477">
        <v>39042</v>
      </c>
      <c r="S73" s="3477">
        <v>4185</v>
      </c>
      <c r="T73" s="3477">
        <v>0</v>
      </c>
    </row>
    <row r="74" spans="1:20" ht="14.25">
      <c r="A74" s="3477" t="s">
        <v>3551</v>
      </c>
      <c r="B74" s="3477" t="s">
        <v>3454</v>
      </c>
      <c r="C74" s="3477" t="s">
        <v>3552</v>
      </c>
      <c r="D74" s="3477" t="s">
        <v>3455</v>
      </c>
      <c r="E74" s="3477">
        <v>13215</v>
      </c>
      <c r="F74" s="3477">
        <v>26430</v>
      </c>
      <c r="G74" s="3477" t="s">
        <v>3553</v>
      </c>
      <c r="H74" s="3477" t="s">
        <v>3457</v>
      </c>
      <c r="I74" s="3477" t="s">
        <v>3407</v>
      </c>
      <c r="J74" s="3477" t="s">
        <v>3427</v>
      </c>
      <c r="K74" s="3477" t="s">
        <v>3518</v>
      </c>
      <c r="L74" s="3477" t="s">
        <v>3518</v>
      </c>
      <c r="M74" s="3477" t="s">
        <v>3460</v>
      </c>
      <c r="N74" s="3477" t="s">
        <v>3554</v>
      </c>
      <c r="O74" s="3477">
        <v>4519</v>
      </c>
      <c r="P74" s="3477">
        <v>904</v>
      </c>
      <c r="Q74" s="3477" t="s">
        <v>3520</v>
      </c>
      <c r="R74" s="3477">
        <v>4519</v>
      </c>
      <c r="S74" s="3477">
        <v>1710</v>
      </c>
      <c r="T74" s="3477">
        <v>0</v>
      </c>
    </row>
    <row r="75" spans="1:20" ht="14.25">
      <c r="A75" s="3477" t="s">
        <v>3555</v>
      </c>
      <c r="B75" s="3477" t="s">
        <v>3454</v>
      </c>
      <c r="C75" s="3477" t="s">
        <v>3555</v>
      </c>
      <c r="D75" s="3477" t="s">
        <v>3464</v>
      </c>
      <c r="E75" s="3477">
        <v>18443</v>
      </c>
      <c r="F75" s="3477">
        <v>29508.799999999999</v>
      </c>
      <c r="G75" s="3477" t="s">
        <v>3556</v>
      </c>
      <c r="H75" s="3477" t="s">
        <v>3457</v>
      </c>
      <c r="I75" s="3477" t="s">
        <v>3408</v>
      </c>
      <c r="J75" s="3477" t="s">
        <v>3427</v>
      </c>
      <c r="K75" s="3477" t="s">
        <v>3557</v>
      </c>
      <c r="L75" s="3477" t="s">
        <v>3557</v>
      </c>
      <c r="M75" s="3477" t="s">
        <v>3460</v>
      </c>
      <c r="N75" s="3477" t="s">
        <v>3468</v>
      </c>
      <c r="O75" s="3477">
        <v>5533</v>
      </c>
      <c r="P75" s="3477">
        <v>1700</v>
      </c>
      <c r="Q75" s="3477" t="s">
        <v>3558</v>
      </c>
      <c r="R75" s="3477">
        <v>5533</v>
      </c>
      <c r="S75" s="3477">
        <v>1875</v>
      </c>
      <c r="T75" s="3477">
        <v>0</v>
      </c>
    </row>
    <row r="76" spans="1:20" ht="14.25">
      <c r="A76" s="3477" t="s">
        <v>3559</v>
      </c>
      <c r="B76" s="3477" t="s">
        <v>3454</v>
      </c>
      <c r="C76" s="3477" t="s">
        <v>3559</v>
      </c>
      <c r="D76" s="3477" t="s">
        <v>3464</v>
      </c>
      <c r="E76" s="3477">
        <v>9647</v>
      </c>
      <c r="F76" s="3477">
        <v>15435.2</v>
      </c>
      <c r="G76" s="3477" t="s">
        <v>3556</v>
      </c>
      <c r="H76" s="3477" t="s">
        <v>3457</v>
      </c>
      <c r="I76" s="3477" t="s">
        <v>3408</v>
      </c>
      <c r="J76" s="3477" t="s">
        <v>3427</v>
      </c>
      <c r="K76" s="3477" t="s">
        <v>3557</v>
      </c>
      <c r="L76" s="3477" t="s">
        <v>3557</v>
      </c>
      <c r="M76" s="3477" t="s">
        <v>3460</v>
      </c>
      <c r="N76" s="3477" t="s">
        <v>3468</v>
      </c>
      <c r="O76" s="3477">
        <v>2895</v>
      </c>
      <c r="P76" s="3477">
        <v>900</v>
      </c>
      <c r="Q76" s="3477" t="s">
        <v>3558</v>
      </c>
      <c r="R76" s="3477">
        <v>2895</v>
      </c>
      <c r="S76" s="3477">
        <v>1876</v>
      </c>
      <c r="T76" s="3477">
        <v>0</v>
      </c>
    </row>
    <row r="77" spans="1:20" ht="14.25">
      <c r="A77" s="3477" t="s">
        <v>3560</v>
      </c>
      <c r="B77" s="3477" t="s">
        <v>3454</v>
      </c>
      <c r="C77" s="3477" t="s">
        <v>3560</v>
      </c>
      <c r="D77" s="3477" t="s">
        <v>3455</v>
      </c>
      <c r="E77" s="3477">
        <v>8402</v>
      </c>
      <c r="F77" s="3477">
        <v>15123.6</v>
      </c>
      <c r="G77" s="3477" t="s">
        <v>3496</v>
      </c>
      <c r="H77" s="3477" t="s">
        <v>3457</v>
      </c>
      <c r="I77" s="3477" t="s">
        <v>3458</v>
      </c>
      <c r="J77" s="3477" t="s">
        <v>3427</v>
      </c>
      <c r="K77" s="3477" t="s">
        <v>3557</v>
      </c>
      <c r="L77" s="3477" t="s">
        <v>3557</v>
      </c>
      <c r="M77" s="3477" t="s">
        <v>3460</v>
      </c>
      <c r="N77" s="3477" t="s">
        <v>3468</v>
      </c>
      <c r="O77" s="3477">
        <v>2521</v>
      </c>
      <c r="P77" s="3477">
        <v>760</v>
      </c>
      <c r="Q77" s="3477" t="s">
        <v>3558</v>
      </c>
      <c r="R77" s="3477">
        <v>2521</v>
      </c>
      <c r="S77" s="3477">
        <v>1667</v>
      </c>
      <c r="T77" s="3477">
        <v>0</v>
      </c>
    </row>
    <row r="78" spans="1:20" ht="14.25">
      <c r="A78" s="3477" t="s">
        <v>3561</v>
      </c>
      <c r="B78" s="3477" t="s">
        <v>3454</v>
      </c>
      <c r="C78" s="3477" t="s">
        <v>3562</v>
      </c>
      <c r="D78" s="3477" t="s">
        <v>3464</v>
      </c>
      <c r="E78" s="3477">
        <v>41697</v>
      </c>
      <c r="F78" s="3477">
        <v>66715.199999999997</v>
      </c>
      <c r="G78" s="3477" t="s">
        <v>3563</v>
      </c>
      <c r="H78" s="3477" t="s">
        <v>3457</v>
      </c>
      <c r="I78" s="3477" t="s">
        <v>3408</v>
      </c>
      <c r="J78" s="3477" t="s">
        <v>3427</v>
      </c>
      <c r="K78" s="3477" t="s">
        <v>3564</v>
      </c>
      <c r="L78" s="3477" t="s">
        <v>3564</v>
      </c>
      <c r="M78" s="3477" t="s">
        <v>3460</v>
      </c>
      <c r="N78" s="3477" t="s">
        <v>3565</v>
      </c>
      <c r="O78" s="3477">
        <v>23794</v>
      </c>
      <c r="P78" s="3477">
        <v>4800</v>
      </c>
      <c r="Q78" s="3477" t="s">
        <v>3566</v>
      </c>
      <c r="R78" s="3477">
        <v>23794</v>
      </c>
      <c r="S78" s="3477">
        <v>3567</v>
      </c>
      <c r="T78" s="3477">
        <v>0</v>
      </c>
    </row>
    <row r="79" spans="1:20" ht="14.25">
      <c r="A79" s="3477" t="s">
        <v>3567</v>
      </c>
      <c r="B79" s="3477" t="s">
        <v>3454</v>
      </c>
      <c r="C79" s="3477" t="s">
        <v>3568</v>
      </c>
      <c r="D79" s="3477" t="s">
        <v>3464</v>
      </c>
      <c r="E79" s="3477">
        <v>37271</v>
      </c>
      <c r="F79" s="3477">
        <v>108085.9</v>
      </c>
      <c r="G79" s="3477" t="s">
        <v>3569</v>
      </c>
      <c r="H79" s="3477" t="s">
        <v>3457</v>
      </c>
      <c r="I79" s="3477" t="s">
        <v>3408</v>
      </c>
      <c r="J79" s="3477" t="s">
        <v>3427</v>
      </c>
      <c r="K79" s="3477" t="s">
        <v>3570</v>
      </c>
      <c r="L79" s="3477" t="s">
        <v>3570</v>
      </c>
      <c r="M79" s="3477" t="s">
        <v>3460</v>
      </c>
      <c r="N79" s="3477" t="s">
        <v>3571</v>
      </c>
      <c r="O79" s="3477">
        <v>162129</v>
      </c>
      <c r="P79" s="3477">
        <v>32426</v>
      </c>
      <c r="Q79" s="3477" t="s">
        <v>3572</v>
      </c>
      <c r="R79" s="3477">
        <v>162129</v>
      </c>
      <c r="S79" s="3477">
        <v>15000</v>
      </c>
      <c r="T79" s="3477">
        <v>0</v>
      </c>
    </row>
    <row r="80" spans="1:20" ht="14.25">
      <c r="A80" s="3477" t="s">
        <v>3573</v>
      </c>
      <c r="B80" s="3477" t="s">
        <v>3454</v>
      </c>
      <c r="C80" s="3477" t="s">
        <v>3573</v>
      </c>
      <c r="D80" s="3477" t="s">
        <v>3464</v>
      </c>
      <c r="E80" s="3477">
        <v>16464</v>
      </c>
      <c r="F80" s="3477">
        <v>32928</v>
      </c>
      <c r="G80" s="3477" t="s">
        <v>3523</v>
      </c>
      <c r="H80" s="3477" t="s">
        <v>3457</v>
      </c>
      <c r="I80" s="3477" t="s">
        <v>3408</v>
      </c>
      <c r="J80" s="3477" t="s">
        <v>3427</v>
      </c>
      <c r="K80" s="3477" t="s">
        <v>3574</v>
      </c>
      <c r="L80" s="3477" t="s">
        <v>3574</v>
      </c>
      <c r="M80" s="3477" t="s">
        <v>3460</v>
      </c>
      <c r="N80" s="3477" t="s">
        <v>3575</v>
      </c>
      <c r="O80" s="3477">
        <v>4940</v>
      </c>
      <c r="P80" s="3477">
        <v>1500</v>
      </c>
      <c r="Q80" s="3477" t="s">
        <v>3576</v>
      </c>
      <c r="R80" s="3477">
        <v>4940</v>
      </c>
      <c r="S80" s="3477">
        <v>1500</v>
      </c>
      <c r="T80" s="3477">
        <v>0</v>
      </c>
    </row>
    <row r="81" spans="1:20" ht="14.25">
      <c r="A81" s="3477" t="s">
        <v>3577</v>
      </c>
      <c r="B81" s="3477" t="s">
        <v>3454</v>
      </c>
      <c r="C81" s="3477" t="s">
        <v>3577</v>
      </c>
      <c r="D81" s="3477" t="s">
        <v>3464</v>
      </c>
      <c r="E81" s="3477">
        <v>20098</v>
      </c>
      <c r="F81" s="3477">
        <v>40196</v>
      </c>
      <c r="G81" s="3477" t="s">
        <v>3523</v>
      </c>
      <c r="H81" s="3477" t="s">
        <v>3457</v>
      </c>
      <c r="I81" s="3477" t="s">
        <v>3408</v>
      </c>
      <c r="J81" s="3477" t="s">
        <v>3427</v>
      </c>
      <c r="K81" s="3477" t="s">
        <v>3574</v>
      </c>
      <c r="L81" s="3477" t="s">
        <v>3574</v>
      </c>
      <c r="M81" s="3477" t="s">
        <v>3460</v>
      </c>
      <c r="N81" s="3477" t="s">
        <v>3575</v>
      </c>
      <c r="O81" s="3477">
        <v>6030</v>
      </c>
      <c r="P81" s="3477">
        <v>1900</v>
      </c>
      <c r="Q81" s="3477" t="s">
        <v>3576</v>
      </c>
      <c r="R81" s="3477">
        <v>6030</v>
      </c>
      <c r="S81" s="3477">
        <v>1500</v>
      </c>
      <c r="T81" s="3477">
        <v>0</v>
      </c>
    </row>
    <row r="82" spans="1:20" ht="14.25">
      <c r="A82" s="3477" t="s">
        <v>3578</v>
      </c>
      <c r="B82" s="3477" t="s">
        <v>3454</v>
      </c>
      <c r="C82" s="3477" t="s">
        <v>3578</v>
      </c>
      <c r="D82" s="3477" t="s">
        <v>3455</v>
      </c>
      <c r="E82" s="3477">
        <v>12244</v>
      </c>
      <c r="F82" s="3477">
        <v>18366</v>
      </c>
      <c r="G82" s="3477" t="s">
        <v>3579</v>
      </c>
      <c r="H82" s="3477" t="s">
        <v>3457</v>
      </c>
      <c r="I82" s="3477" t="s">
        <v>3458</v>
      </c>
      <c r="J82" s="3477" t="s">
        <v>3427</v>
      </c>
      <c r="K82" s="3477" t="s">
        <v>3574</v>
      </c>
      <c r="L82" s="3477" t="s">
        <v>3574</v>
      </c>
      <c r="M82" s="3477" t="s">
        <v>3460</v>
      </c>
      <c r="N82" s="3477" t="s">
        <v>3580</v>
      </c>
      <c r="O82" s="3477">
        <v>3674</v>
      </c>
      <c r="P82" s="3477">
        <v>1900</v>
      </c>
      <c r="Q82" s="3477" t="s">
        <v>3576</v>
      </c>
      <c r="R82" s="3477">
        <v>3674</v>
      </c>
      <c r="S82" s="3477">
        <v>2000</v>
      </c>
      <c r="T82" s="3477">
        <v>0</v>
      </c>
    </row>
    <row r="83" spans="1:20" ht="14.25">
      <c r="A83" s="3477" t="s">
        <v>3581</v>
      </c>
      <c r="B83" s="3477" t="s">
        <v>3454</v>
      </c>
      <c r="C83" s="3477" t="s">
        <v>3581</v>
      </c>
      <c r="D83" s="3477" t="s">
        <v>3455</v>
      </c>
      <c r="E83" s="3477">
        <v>1155</v>
      </c>
      <c r="F83" s="3477">
        <v>693</v>
      </c>
      <c r="G83" s="3477" t="s">
        <v>3582</v>
      </c>
      <c r="H83" s="3477" t="s">
        <v>3457</v>
      </c>
      <c r="I83" s="3477" t="s">
        <v>3458</v>
      </c>
      <c r="J83" s="3477" t="s">
        <v>3427</v>
      </c>
      <c r="K83" s="3477" t="s">
        <v>3574</v>
      </c>
      <c r="L83" s="3477" t="s">
        <v>3574</v>
      </c>
      <c r="M83" s="3477" t="s">
        <v>3460</v>
      </c>
      <c r="N83" s="3477" t="s">
        <v>3583</v>
      </c>
      <c r="O83" s="3477">
        <v>49</v>
      </c>
      <c r="P83" s="3477">
        <v>30</v>
      </c>
      <c r="Q83" s="3477" t="s">
        <v>3576</v>
      </c>
      <c r="R83" s="3477">
        <v>49</v>
      </c>
      <c r="S83" s="3477">
        <v>707</v>
      </c>
      <c r="T83" s="3477">
        <v>0</v>
      </c>
    </row>
    <row r="84" spans="1:20" ht="14.25">
      <c r="A84" s="3477" t="s">
        <v>3584</v>
      </c>
      <c r="B84" s="3477" t="s">
        <v>3454</v>
      </c>
      <c r="C84" s="3477" t="s">
        <v>3584</v>
      </c>
      <c r="D84" s="3477" t="s">
        <v>3464</v>
      </c>
      <c r="E84" s="3477">
        <v>16463</v>
      </c>
      <c r="F84" s="3477">
        <v>32926</v>
      </c>
      <c r="G84" s="3477" t="s">
        <v>3523</v>
      </c>
      <c r="H84" s="3477" t="s">
        <v>3457</v>
      </c>
      <c r="I84" s="3477" t="s">
        <v>3408</v>
      </c>
      <c r="J84" s="3477" t="s">
        <v>3427</v>
      </c>
      <c r="K84" s="3477" t="s">
        <v>3574</v>
      </c>
      <c r="L84" s="3477" t="s">
        <v>3574</v>
      </c>
      <c r="M84" s="3477" t="s">
        <v>3460</v>
      </c>
      <c r="N84" s="3477" t="s">
        <v>3575</v>
      </c>
      <c r="O84" s="3477">
        <v>4939</v>
      </c>
      <c r="P84" s="3477">
        <v>1500</v>
      </c>
      <c r="Q84" s="3477" t="s">
        <v>3576</v>
      </c>
      <c r="R84" s="3477">
        <v>4939</v>
      </c>
      <c r="S84" s="3477">
        <v>1500</v>
      </c>
      <c r="T84" s="3477">
        <v>0</v>
      </c>
    </row>
    <row r="85" spans="1:20" ht="14.25">
      <c r="A85" s="3477" t="s">
        <v>3585</v>
      </c>
      <c r="B85" s="3477" t="s">
        <v>3454</v>
      </c>
      <c r="C85" s="3477" t="s">
        <v>3585</v>
      </c>
      <c r="D85" s="3477" t="s">
        <v>3464</v>
      </c>
      <c r="E85" s="3477">
        <v>25965</v>
      </c>
      <c r="F85" s="3477">
        <v>51930</v>
      </c>
      <c r="G85" s="3477" t="s">
        <v>3523</v>
      </c>
      <c r="H85" s="3477" t="s">
        <v>3457</v>
      </c>
      <c r="I85" s="3477" t="s">
        <v>3408</v>
      </c>
      <c r="J85" s="3477" t="s">
        <v>3427</v>
      </c>
      <c r="K85" s="3477" t="s">
        <v>3574</v>
      </c>
      <c r="L85" s="3477" t="s">
        <v>3574</v>
      </c>
      <c r="M85" s="3477" t="s">
        <v>3460</v>
      </c>
      <c r="N85" s="3477" t="s">
        <v>3575</v>
      </c>
      <c r="O85" s="3477">
        <v>7790</v>
      </c>
      <c r="P85" s="3477">
        <v>2400</v>
      </c>
      <c r="Q85" s="3477" t="s">
        <v>3576</v>
      </c>
      <c r="R85" s="3477">
        <v>7790</v>
      </c>
      <c r="S85" s="3477">
        <v>1500</v>
      </c>
      <c r="T85" s="3477">
        <v>0</v>
      </c>
    </row>
    <row r="86" spans="1:20" ht="14.25">
      <c r="A86" s="3477" t="s">
        <v>3586</v>
      </c>
      <c r="B86" s="3477" t="s">
        <v>3454</v>
      </c>
      <c r="C86" s="3477" t="s">
        <v>3586</v>
      </c>
      <c r="D86" s="3477" t="s">
        <v>3464</v>
      </c>
      <c r="E86" s="3477">
        <v>20098</v>
      </c>
      <c r="F86" s="3477">
        <v>40196</v>
      </c>
      <c r="G86" s="3477" t="s">
        <v>3523</v>
      </c>
      <c r="H86" s="3477" t="s">
        <v>3457</v>
      </c>
      <c r="I86" s="3477" t="s">
        <v>3408</v>
      </c>
      <c r="J86" s="3477" t="s">
        <v>3427</v>
      </c>
      <c r="K86" s="3477" t="s">
        <v>3587</v>
      </c>
      <c r="L86" s="3477" t="s">
        <v>3587</v>
      </c>
      <c r="M86" s="3477" t="s">
        <v>3460</v>
      </c>
      <c r="N86" s="3477" t="s">
        <v>3575</v>
      </c>
      <c r="O86" s="3477">
        <v>6030</v>
      </c>
      <c r="P86" s="3477">
        <v>1900</v>
      </c>
      <c r="Q86" s="3477" t="s">
        <v>3588</v>
      </c>
      <c r="R86" s="3477">
        <v>6030</v>
      </c>
      <c r="S86" s="3477">
        <v>1500</v>
      </c>
      <c r="T86" s="3477">
        <v>0</v>
      </c>
    </row>
    <row r="87" spans="1:20" ht="14.25">
      <c r="A87" s="3477" t="s">
        <v>3589</v>
      </c>
      <c r="B87" s="3477" t="s">
        <v>3454</v>
      </c>
      <c r="C87" s="3477" t="s">
        <v>3589</v>
      </c>
      <c r="D87" s="3477" t="s">
        <v>3464</v>
      </c>
      <c r="E87" s="3477">
        <v>41835</v>
      </c>
      <c r="F87" s="3477">
        <v>75303</v>
      </c>
      <c r="G87" s="3477" t="s">
        <v>3465</v>
      </c>
      <c r="H87" s="3477" t="s">
        <v>3457</v>
      </c>
      <c r="I87" s="3477" t="s">
        <v>3408</v>
      </c>
      <c r="J87" s="3477" t="s">
        <v>3427</v>
      </c>
      <c r="K87" s="3477" t="s">
        <v>3590</v>
      </c>
      <c r="L87" s="3477" t="s">
        <v>3590</v>
      </c>
      <c r="M87" s="3477" t="s">
        <v>3460</v>
      </c>
      <c r="N87" s="3477" t="s">
        <v>3591</v>
      </c>
      <c r="O87" s="3477">
        <v>12551</v>
      </c>
      <c r="P87" s="3477">
        <v>3800</v>
      </c>
      <c r="Q87" s="3477" t="s">
        <v>3592</v>
      </c>
      <c r="R87" s="3477">
        <v>12551</v>
      </c>
      <c r="S87" s="3477">
        <v>1667</v>
      </c>
      <c r="T87" s="3477">
        <v>0</v>
      </c>
    </row>
    <row r="88" spans="1:20" ht="14.25">
      <c r="A88" s="3477" t="s">
        <v>3593</v>
      </c>
      <c r="B88" s="3477" t="s">
        <v>3454</v>
      </c>
      <c r="C88" s="3477" t="s">
        <v>3593</v>
      </c>
      <c r="D88" s="3477" t="s">
        <v>3464</v>
      </c>
      <c r="E88" s="3477">
        <v>680</v>
      </c>
      <c r="F88" s="3477">
        <v>0</v>
      </c>
      <c r="G88" s="3477" t="s">
        <v>3594</v>
      </c>
      <c r="H88" s="3477" t="s">
        <v>3457</v>
      </c>
      <c r="I88" s="3477" t="s">
        <v>2490</v>
      </c>
      <c r="J88" s="3477" t="s">
        <v>3427</v>
      </c>
      <c r="K88" s="3477" t="s">
        <v>3595</v>
      </c>
      <c r="L88" s="3477" t="s">
        <v>3595</v>
      </c>
      <c r="M88" s="3477" t="s">
        <v>3460</v>
      </c>
      <c r="N88" s="3477" t="s">
        <v>3596</v>
      </c>
      <c r="O88" s="3477">
        <v>23</v>
      </c>
      <c r="P88" s="3477">
        <v>12</v>
      </c>
      <c r="Q88" s="3477" t="s">
        <v>3597</v>
      </c>
      <c r="R88" s="3477">
        <v>23</v>
      </c>
      <c r="S88" s="3477" t="s">
        <v>3427</v>
      </c>
      <c r="T88" s="3477">
        <v>0</v>
      </c>
    </row>
    <row r="89" spans="1:20" ht="14.25">
      <c r="A89" s="3477" t="s">
        <v>3598</v>
      </c>
      <c r="B89" s="3477" t="s">
        <v>3454</v>
      </c>
      <c r="C89" s="3477" t="s">
        <v>3598</v>
      </c>
      <c r="D89" s="3477" t="s">
        <v>3455</v>
      </c>
      <c r="E89" s="3477">
        <v>3154</v>
      </c>
      <c r="F89" s="3477">
        <v>6308</v>
      </c>
      <c r="G89" s="3477" t="s">
        <v>3456</v>
      </c>
      <c r="H89" s="3477" t="s">
        <v>3457</v>
      </c>
      <c r="I89" s="3477" t="s">
        <v>3458</v>
      </c>
      <c r="J89" s="3477" t="s">
        <v>3427</v>
      </c>
      <c r="K89" s="3477" t="s">
        <v>3595</v>
      </c>
      <c r="L89" s="3477" t="s">
        <v>3595</v>
      </c>
      <c r="M89" s="3477" t="s">
        <v>3460</v>
      </c>
      <c r="N89" s="3477" t="s">
        <v>3599</v>
      </c>
      <c r="O89" s="3477">
        <v>947</v>
      </c>
      <c r="P89" s="3477">
        <v>290</v>
      </c>
      <c r="Q89" s="3477" t="s">
        <v>3597</v>
      </c>
      <c r="R89" s="3477">
        <v>947</v>
      </c>
      <c r="S89" s="3477">
        <v>1501</v>
      </c>
      <c r="T89" s="3477">
        <v>0</v>
      </c>
    </row>
    <row r="90" spans="1:20" ht="14.25">
      <c r="A90" s="3477" t="s">
        <v>3600</v>
      </c>
      <c r="B90" s="3477" t="s">
        <v>3454</v>
      </c>
      <c r="C90" s="3477" t="s">
        <v>3601</v>
      </c>
      <c r="D90" s="3477" t="s">
        <v>3464</v>
      </c>
      <c r="E90" s="3477">
        <v>55559</v>
      </c>
      <c r="F90" s="3477">
        <v>88894.399999999994</v>
      </c>
      <c r="G90" s="3477" t="s">
        <v>3602</v>
      </c>
      <c r="H90" s="3477" t="s">
        <v>3457</v>
      </c>
      <c r="I90" s="3477" t="s">
        <v>3408</v>
      </c>
      <c r="J90" s="3477" t="s">
        <v>3427</v>
      </c>
      <c r="K90" s="3477" t="s">
        <v>3603</v>
      </c>
      <c r="L90" s="3477" t="s">
        <v>3603</v>
      </c>
      <c r="M90" s="3477" t="s">
        <v>3460</v>
      </c>
      <c r="N90" s="3477" t="s">
        <v>3528</v>
      </c>
      <c r="O90" s="3477">
        <v>29141</v>
      </c>
      <c r="P90" s="3477">
        <v>5829</v>
      </c>
      <c r="Q90" s="3477" t="s">
        <v>3604</v>
      </c>
      <c r="R90" s="3477">
        <v>29141</v>
      </c>
      <c r="S90" s="3477">
        <v>3278</v>
      </c>
      <c r="T90" s="3477">
        <v>0</v>
      </c>
    </row>
    <row r="91" spans="1:20" ht="14.25">
      <c r="A91" s="3477" t="s">
        <v>3605</v>
      </c>
      <c r="B91" s="3477" t="s">
        <v>3454</v>
      </c>
      <c r="C91" s="3477" t="s">
        <v>3606</v>
      </c>
      <c r="D91" s="3477" t="s">
        <v>3464</v>
      </c>
      <c r="E91" s="3477">
        <v>21401</v>
      </c>
      <c r="F91" s="3477">
        <v>60992.85</v>
      </c>
      <c r="G91" s="3477" t="s">
        <v>3607</v>
      </c>
      <c r="H91" s="3477" t="s">
        <v>3457</v>
      </c>
      <c r="I91" s="3477" t="s">
        <v>3408</v>
      </c>
      <c r="J91" s="3477" t="s">
        <v>3427</v>
      </c>
      <c r="K91" s="3477" t="s">
        <v>3603</v>
      </c>
      <c r="L91" s="3477" t="s">
        <v>3603</v>
      </c>
      <c r="M91" s="3477" t="s">
        <v>3460</v>
      </c>
      <c r="N91" s="3477" t="s">
        <v>3528</v>
      </c>
      <c r="O91" s="3477">
        <v>12763</v>
      </c>
      <c r="P91" s="3477">
        <v>2553</v>
      </c>
      <c r="Q91" s="3477" t="s">
        <v>3604</v>
      </c>
      <c r="R91" s="3477">
        <v>12763</v>
      </c>
      <c r="S91" s="3477">
        <v>2093</v>
      </c>
      <c r="T91" s="3477">
        <v>0</v>
      </c>
    </row>
    <row r="92" spans="1:20" ht="14.25">
      <c r="A92" s="3477" t="s">
        <v>3608</v>
      </c>
      <c r="B92" s="3477" t="s">
        <v>3454</v>
      </c>
      <c r="C92" s="3477" t="s">
        <v>3609</v>
      </c>
      <c r="D92" s="3477" t="s">
        <v>3464</v>
      </c>
      <c r="E92" s="3477">
        <v>87757</v>
      </c>
      <c r="F92" s="3477">
        <v>245719.6</v>
      </c>
      <c r="G92" s="3477" t="s">
        <v>3610</v>
      </c>
      <c r="H92" s="3477" t="s">
        <v>3457</v>
      </c>
      <c r="I92" s="3477" t="s">
        <v>3408</v>
      </c>
      <c r="J92" s="3477" t="s">
        <v>3427</v>
      </c>
      <c r="K92" s="3477" t="s">
        <v>3603</v>
      </c>
      <c r="L92" s="3477" t="s">
        <v>3603</v>
      </c>
      <c r="M92" s="3477" t="s">
        <v>3460</v>
      </c>
      <c r="N92" s="3477" t="s">
        <v>3528</v>
      </c>
      <c r="O92" s="3477">
        <v>48355</v>
      </c>
      <c r="P92" s="3477">
        <v>9671</v>
      </c>
      <c r="Q92" s="3477" t="s">
        <v>3604</v>
      </c>
      <c r="R92" s="3477">
        <v>48355</v>
      </c>
      <c r="S92" s="3477">
        <v>1968</v>
      </c>
      <c r="T92" s="3477">
        <v>0</v>
      </c>
    </row>
    <row r="93" spans="1:20" ht="14.25">
      <c r="A93" s="3477" t="s">
        <v>3611</v>
      </c>
      <c r="B93" s="3477" t="s">
        <v>3454</v>
      </c>
      <c r="C93" s="3477" t="s">
        <v>3612</v>
      </c>
      <c r="D93" s="3477" t="s">
        <v>3464</v>
      </c>
      <c r="E93" s="3477">
        <v>42185</v>
      </c>
      <c r="F93" s="3477">
        <v>118118</v>
      </c>
      <c r="G93" s="3477" t="s">
        <v>3613</v>
      </c>
      <c r="H93" s="3477" t="s">
        <v>3457</v>
      </c>
      <c r="I93" s="3477" t="s">
        <v>3408</v>
      </c>
      <c r="J93" s="3477" t="s">
        <v>3427</v>
      </c>
      <c r="K93" s="3477" t="s">
        <v>3603</v>
      </c>
      <c r="L93" s="3477" t="s">
        <v>3603</v>
      </c>
      <c r="M93" s="3477" t="s">
        <v>3460</v>
      </c>
      <c r="N93" s="3477" t="s">
        <v>3528</v>
      </c>
      <c r="O93" s="3477">
        <v>25037</v>
      </c>
      <c r="P93" s="3477">
        <v>5008</v>
      </c>
      <c r="Q93" s="3477" t="s">
        <v>3604</v>
      </c>
      <c r="R93" s="3477">
        <v>25037</v>
      </c>
      <c r="S93" s="3477">
        <v>2120</v>
      </c>
      <c r="T93" s="3477">
        <v>0</v>
      </c>
    </row>
    <row r="94" spans="1:20" ht="14.25">
      <c r="A94" s="3477" t="s">
        <v>3614</v>
      </c>
      <c r="B94" s="3477" t="s">
        <v>3454</v>
      </c>
      <c r="C94" s="3477" t="s">
        <v>3615</v>
      </c>
      <c r="D94" s="3477" t="s">
        <v>3464</v>
      </c>
      <c r="E94" s="3477">
        <v>27580</v>
      </c>
      <c r="F94" s="3477">
        <v>49644</v>
      </c>
      <c r="G94" s="3477" t="s">
        <v>3465</v>
      </c>
      <c r="H94" s="3477" t="s">
        <v>3457</v>
      </c>
      <c r="I94" s="3477" t="s">
        <v>3408</v>
      </c>
      <c r="J94" s="3477" t="s">
        <v>3427</v>
      </c>
      <c r="K94" s="3477" t="s">
        <v>3616</v>
      </c>
      <c r="L94" s="3477" t="s">
        <v>3616</v>
      </c>
      <c r="M94" s="3477" t="s">
        <v>3460</v>
      </c>
      <c r="N94" s="3477" t="s">
        <v>3617</v>
      </c>
      <c r="O94" s="3477">
        <v>12379</v>
      </c>
      <c r="P94" s="3477">
        <v>2500</v>
      </c>
      <c r="Q94" s="3477" t="s">
        <v>3618</v>
      </c>
      <c r="R94" s="3477">
        <v>12379</v>
      </c>
      <c r="S94" s="3477">
        <v>2494</v>
      </c>
      <c r="T94" s="3477">
        <v>0</v>
      </c>
    </row>
    <row r="95" spans="1:20" ht="14.25">
      <c r="A95" s="3477" t="s">
        <v>3619</v>
      </c>
      <c r="B95" s="3477" t="s">
        <v>3454</v>
      </c>
      <c r="C95" s="3477" t="s">
        <v>3620</v>
      </c>
      <c r="D95" s="3477" t="s">
        <v>3464</v>
      </c>
      <c r="E95" s="3477">
        <v>315</v>
      </c>
      <c r="F95" s="3477">
        <v>267.75</v>
      </c>
      <c r="G95" s="3477" t="s">
        <v>3621</v>
      </c>
      <c r="H95" s="3477" t="s">
        <v>3457</v>
      </c>
      <c r="I95" s="3477" t="s">
        <v>3408</v>
      </c>
      <c r="J95" s="3477" t="s">
        <v>3427</v>
      </c>
      <c r="K95" s="3477" t="s">
        <v>3616</v>
      </c>
      <c r="L95" s="3477" t="s">
        <v>3616</v>
      </c>
      <c r="M95" s="3477" t="s">
        <v>3460</v>
      </c>
      <c r="N95" s="3477" t="s">
        <v>3622</v>
      </c>
      <c r="O95" s="3477">
        <v>374</v>
      </c>
      <c r="P95" s="3477">
        <v>76</v>
      </c>
      <c r="Q95" s="3477" t="s">
        <v>3618</v>
      </c>
      <c r="R95" s="3477">
        <v>374</v>
      </c>
      <c r="S95" s="3477">
        <v>13968</v>
      </c>
      <c r="T95" s="3477">
        <v>0</v>
      </c>
    </row>
    <row r="96" spans="1:20" ht="14.25">
      <c r="A96" s="3477" t="s">
        <v>3623</v>
      </c>
      <c r="B96" s="3477" t="s">
        <v>3454</v>
      </c>
      <c r="C96" s="3477" t="s">
        <v>3624</v>
      </c>
      <c r="D96" s="3477" t="s">
        <v>3455</v>
      </c>
      <c r="E96" s="3477">
        <v>1072</v>
      </c>
      <c r="F96" s="3477">
        <v>857.6</v>
      </c>
      <c r="G96" s="3477" t="s">
        <v>3625</v>
      </c>
      <c r="H96" s="3477" t="s">
        <v>3457</v>
      </c>
      <c r="I96" s="3477" t="s">
        <v>3458</v>
      </c>
      <c r="J96" s="3477" t="s">
        <v>3427</v>
      </c>
      <c r="K96" s="3477" t="s">
        <v>3616</v>
      </c>
      <c r="L96" s="3477" t="s">
        <v>3616</v>
      </c>
      <c r="M96" s="3477" t="s">
        <v>3460</v>
      </c>
      <c r="N96" s="3477" t="s">
        <v>3626</v>
      </c>
      <c r="O96" s="3477">
        <v>779</v>
      </c>
      <c r="P96" s="3477">
        <v>160</v>
      </c>
      <c r="Q96" s="3477" t="s">
        <v>3618</v>
      </c>
      <c r="R96" s="3477">
        <v>779</v>
      </c>
      <c r="S96" s="3477">
        <v>9083</v>
      </c>
      <c r="T96" s="3477">
        <v>0</v>
      </c>
    </row>
    <row r="97" spans="1:20" ht="14.25">
      <c r="A97" s="3477" t="s">
        <v>3627</v>
      </c>
      <c r="B97" s="3477" t="s">
        <v>3454</v>
      </c>
      <c r="C97" s="3477" t="s">
        <v>3628</v>
      </c>
      <c r="D97" s="3477" t="s">
        <v>3629</v>
      </c>
      <c r="E97" s="3477">
        <v>540</v>
      </c>
      <c r="F97" s="3477">
        <v>561.6</v>
      </c>
      <c r="G97" s="3477" t="s">
        <v>3630</v>
      </c>
      <c r="H97" s="3477" t="s">
        <v>3457</v>
      </c>
      <c r="I97" s="3477" t="s">
        <v>3631</v>
      </c>
      <c r="J97" s="3477" t="s">
        <v>3427</v>
      </c>
      <c r="K97" s="3477" t="s">
        <v>3616</v>
      </c>
      <c r="L97" s="3477" t="s">
        <v>3616</v>
      </c>
      <c r="M97" s="3477" t="s">
        <v>3460</v>
      </c>
      <c r="N97" s="3477" t="s">
        <v>3622</v>
      </c>
      <c r="O97" s="3477">
        <v>588</v>
      </c>
      <c r="P97" s="3477">
        <v>464</v>
      </c>
      <c r="Q97" s="3477" t="s">
        <v>3618</v>
      </c>
      <c r="R97" s="3477">
        <v>588</v>
      </c>
      <c r="S97" s="3477">
        <v>10470</v>
      </c>
      <c r="T97" s="3477">
        <v>0</v>
      </c>
    </row>
    <row r="98" spans="1:20" ht="14.25">
      <c r="A98" s="3477" t="s">
        <v>3632</v>
      </c>
      <c r="B98" s="3477" t="s">
        <v>3454</v>
      </c>
      <c r="C98" s="3477" t="s">
        <v>3633</v>
      </c>
      <c r="D98" s="3477" t="s">
        <v>3464</v>
      </c>
      <c r="E98" s="3477">
        <v>172</v>
      </c>
      <c r="F98" s="3477">
        <v>146.19999999999999</v>
      </c>
      <c r="G98" s="3477" t="s">
        <v>3621</v>
      </c>
      <c r="H98" s="3477" t="s">
        <v>3457</v>
      </c>
      <c r="I98" s="3477" t="s">
        <v>3408</v>
      </c>
      <c r="J98" s="3477" t="s">
        <v>3427</v>
      </c>
      <c r="K98" s="3477" t="s">
        <v>3616</v>
      </c>
      <c r="L98" s="3477" t="s">
        <v>3616</v>
      </c>
      <c r="M98" s="3477" t="s">
        <v>3460</v>
      </c>
      <c r="N98" s="3477" t="s">
        <v>3622</v>
      </c>
      <c r="O98" s="3477">
        <v>204</v>
      </c>
      <c r="P98" s="3477">
        <v>42</v>
      </c>
      <c r="Q98" s="3477" t="s">
        <v>3618</v>
      </c>
      <c r="R98" s="3477">
        <v>204</v>
      </c>
      <c r="S98" s="3477">
        <v>13953</v>
      </c>
      <c r="T98" s="3477">
        <v>0</v>
      </c>
    </row>
    <row r="99" spans="1:20" ht="14.25">
      <c r="A99" s="3477" t="s">
        <v>3634</v>
      </c>
      <c r="B99" s="3477" t="s">
        <v>3454</v>
      </c>
      <c r="C99" s="3477" t="s">
        <v>3635</v>
      </c>
      <c r="D99" s="3477" t="s">
        <v>3464</v>
      </c>
      <c r="E99" s="3477">
        <v>134</v>
      </c>
      <c r="F99" s="3477">
        <v>134</v>
      </c>
      <c r="G99" s="3477" t="s">
        <v>3636</v>
      </c>
      <c r="H99" s="3477" t="s">
        <v>3457</v>
      </c>
      <c r="I99" s="3477" t="s">
        <v>3408</v>
      </c>
      <c r="J99" s="3477" t="s">
        <v>3427</v>
      </c>
      <c r="K99" s="3477" t="s">
        <v>3616</v>
      </c>
      <c r="L99" s="3477" t="s">
        <v>3616</v>
      </c>
      <c r="M99" s="3477" t="s">
        <v>3460</v>
      </c>
      <c r="N99" s="3477" t="s">
        <v>3622</v>
      </c>
      <c r="O99" s="3477">
        <v>161</v>
      </c>
      <c r="P99" s="3477">
        <v>33</v>
      </c>
      <c r="Q99" s="3477" t="s">
        <v>3618</v>
      </c>
      <c r="R99" s="3477">
        <v>161</v>
      </c>
      <c r="S99" s="3477">
        <v>12015</v>
      </c>
      <c r="T99" s="3477">
        <v>0</v>
      </c>
    </row>
    <row r="100" spans="1:20" ht="14.25">
      <c r="A100" s="3477" t="s">
        <v>3637</v>
      </c>
      <c r="B100" s="3477" t="s">
        <v>3454</v>
      </c>
      <c r="C100" s="3477" t="s">
        <v>3638</v>
      </c>
      <c r="D100" s="3477" t="s">
        <v>3464</v>
      </c>
      <c r="E100" s="3477">
        <v>111</v>
      </c>
      <c r="F100" s="3477">
        <v>111</v>
      </c>
      <c r="G100" s="3477" t="s">
        <v>3636</v>
      </c>
      <c r="H100" s="3477" t="s">
        <v>3457</v>
      </c>
      <c r="I100" s="3477" t="s">
        <v>3408</v>
      </c>
      <c r="J100" s="3477" t="s">
        <v>3427</v>
      </c>
      <c r="K100" s="3477" t="s">
        <v>3616</v>
      </c>
      <c r="L100" s="3477" t="s">
        <v>3616</v>
      </c>
      <c r="M100" s="3477" t="s">
        <v>3460</v>
      </c>
      <c r="N100" s="3477" t="s">
        <v>3622</v>
      </c>
      <c r="O100" s="3477">
        <v>134</v>
      </c>
      <c r="P100" s="3477">
        <v>28</v>
      </c>
      <c r="Q100" s="3477" t="s">
        <v>3618</v>
      </c>
      <c r="R100" s="3477">
        <v>134</v>
      </c>
      <c r="S100" s="3477">
        <v>12072</v>
      </c>
      <c r="T100" s="3477">
        <v>0</v>
      </c>
    </row>
    <row r="101" spans="1:20" ht="14.25">
      <c r="A101" s="3477" t="s">
        <v>3639</v>
      </c>
      <c r="B101" s="3477" t="s">
        <v>3454</v>
      </c>
      <c r="C101" s="3477" t="s">
        <v>3640</v>
      </c>
      <c r="D101" s="3477" t="s">
        <v>3464</v>
      </c>
      <c r="E101" s="3477">
        <v>439</v>
      </c>
      <c r="F101" s="3477">
        <v>307.3</v>
      </c>
      <c r="G101" s="3477" t="s">
        <v>3641</v>
      </c>
      <c r="H101" s="3477" t="s">
        <v>3457</v>
      </c>
      <c r="I101" s="3477" t="s">
        <v>3408</v>
      </c>
      <c r="J101" s="3477" t="s">
        <v>3427</v>
      </c>
      <c r="K101" s="3477" t="s">
        <v>3616</v>
      </c>
      <c r="L101" s="3477" t="s">
        <v>3616</v>
      </c>
      <c r="M101" s="3477" t="s">
        <v>3460</v>
      </c>
      <c r="N101" s="3477" t="s">
        <v>3622</v>
      </c>
      <c r="O101" s="3477">
        <v>557</v>
      </c>
      <c r="P101" s="3477">
        <v>464</v>
      </c>
      <c r="Q101" s="3477" t="s">
        <v>3618</v>
      </c>
      <c r="R101" s="3477">
        <v>557</v>
      </c>
      <c r="S101" s="3477">
        <v>18126</v>
      </c>
      <c r="T101" s="3477">
        <v>0</v>
      </c>
    </row>
    <row r="102" spans="1:20" ht="14.25">
      <c r="A102" s="3477" t="s">
        <v>3642</v>
      </c>
      <c r="B102" s="3477" t="s">
        <v>3454</v>
      </c>
      <c r="C102" s="3477" t="s">
        <v>3643</v>
      </c>
      <c r="D102" s="3477" t="s">
        <v>3464</v>
      </c>
      <c r="E102" s="3477">
        <v>398</v>
      </c>
      <c r="F102" s="3477">
        <v>497.5</v>
      </c>
      <c r="G102" s="3477" t="s">
        <v>3644</v>
      </c>
      <c r="H102" s="3477" t="s">
        <v>3457</v>
      </c>
      <c r="I102" s="3477" t="s">
        <v>3408</v>
      </c>
      <c r="J102" s="3477" t="s">
        <v>3427</v>
      </c>
      <c r="K102" s="3477" t="s">
        <v>3616</v>
      </c>
      <c r="L102" s="3477" t="s">
        <v>3616</v>
      </c>
      <c r="M102" s="3477" t="s">
        <v>3460</v>
      </c>
      <c r="N102" s="3477" t="s">
        <v>3622</v>
      </c>
      <c r="O102" s="3477">
        <v>555</v>
      </c>
      <c r="P102" s="3477">
        <v>112</v>
      </c>
      <c r="Q102" s="3477" t="s">
        <v>3618</v>
      </c>
      <c r="R102" s="3477">
        <v>555</v>
      </c>
      <c r="S102" s="3477">
        <v>11156</v>
      </c>
      <c r="T102" s="3477">
        <v>0</v>
      </c>
    </row>
    <row r="103" spans="1:20" ht="14.25">
      <c r="A103" s="3477" t="s">
        <v>3645</v>
      </c>
      <c r="B103" s="3477" t="s">
        <v>3454</v>
      </c>
      <c r="C103" s="3477" t="s">
        <v>3646</v>
      </c>
      <c r="D103" s="3477" t="s">
        <v>3629</v>
      </c>
      <c r="E103" s="3477">
        <v>57</v>
      </c>
      <c r="F103" s="3477">
        <v>57.57</v>
      </c>
      <c r="G103" s="3477" t="s">
        <v>3647</v>
      </c>
      <c r="H103" s="3477" t="s">
        <v>3457</v>
      </c>
      <c r="I103" s="3477" t="s">
        <v>3631</v>
      </c>
      <c r="J103" s="3477" t="s">
        <v>3427</v>
      </c>
      <c r="K103" s="3477" t="s">
        <v>3616</v>
      </c>
      <c r="L103" s="3477" t="s">
        <v>3616</v>
      </c>
      <c r="M103" s="3477" t="s">
        <v>3460</v>
      </c>
      <c r="N103" s="3477" t="s">
        <v>3622</v>
      </c>
      <c r="O103" s="3477">
        <v>61</v>
      </c>
      <c r="P103" s="3477">
        <v>13</v>
      </c>
      <c r="Q103" s="3477" t="s">
        <v>3618</v>
      </c>
      <c r="R103" s="3477">
        <v>61</v>
      </c>
      <c r="S103" s="3477">
        <v>10596</v>
      </c>
      <c r="T103" s="3477">
        <v>0</v>
      </c>
    </row>
    <row r="104" spans="1:20" ht="14.25">
      <c r="A104" s="3477" t="s">
        <v>3648</v>
      </c>
      <c r="B104" s="3477" t="s">
        <v>3454</v>
      </c>
      <c r="C104" s="3477" t="s">
        <v>3649</v>
      </c>
      <c r="D104" s="3477" t="s">
        <v>3464</v>
      </c>
      <c r="E104" s="3477">
        <v>194</v>
      </c>
      <c r="F104" s="3477">
        <v>164.9</v>
      </c>
      <c r="G104" s="3477" t="s">
        <v>3621</v>
      </c>
      <c r="H104" s="3477" t="s">
        <v>3457</v>
      </c>
      <c r="I104" s="3477" t="s">
        <v>3408</v>
      </c>
      <c r="J104" s="3477" t="s">
        <v>3427</v>
      </c>
      <c r="K104" s="3477" t="s">
        <v>3616</v>
      </c>
      <c r="L104" s="3477" t="s">
        <v>3616</v>
      </c>
      <c r="M104" s="3477" t="s">
        <v>3460</v>
      </c>
      <c r="N104" s="3477" t="s">
        <v>3622</v>
      </c>
      <c r="O104" s="3477">
        <v>230</v>
      </c>
      <c r="P104" s="3477">
        <v>47</v>
      </c>
      <c r="Q104" s="3477" t="s">
        <v>3618</v>
      </c>
      <c r="R104" s="3477">
        <v>230</v>
      </c>
      <c r="S104" s="3477">
        <v>13948</v>
      </c>
      <c r="T104" s="3477">
        <v>0</v>
      </c>
    </row>
    <row r="105" spans="1:20" ht="14.25">
      <c r="A105" s="3477" t="s">
        <v>3650</v>
      </c>
      <c r="B105" s="3477" t="s">
        <v>3454</v>
      </c>
      <c r="C105" s="3477" t="s">
        <v>3651</v>
      </c>
      <c r="D105" s="3477" t="s">
        <v>3455</v>
      </c>
      <c r="E105" s="3477">
        <v>27</v>
      </c>
      <c r="F105" s="3477">
        <v>27</v>
      </c>
      <c r="G105" s="3477" t="s">
        <v>3636</v>
      </c>
      <c r="H105" s="3477" t="s">
        <v>3457</v>
      </c>
      <c r="I105" s="3477" t="s">
        <v>3458</v>
      </c>
      <c r="J105" s="3477" t="s">
        <v>3427</v>
      </c>
      <c r="K105" s="3477" t="s">
        <v>3616</v>
      </c>
      <c r="L105" s="3477" t="s">
        <v>3616</v>
      </c>
      <c r="M105" s="3477" t="s">
        <v>3460</v>
      </c>
      <c r="N105" s="3477" t="s">
        <v>3622</v>
      </c>
      <c r="O105" s="3477">
        <v>26</v>
      </c>
      <c r="P105" s="3477">
        <v>6</v>
      </c>
      <c r="Q105" s="3477" t="s">
        <v>3618</v>
      </c>
      <c r="R105" s="3477">
        <v>26</v>
      </c>
      <c r="S105" s="3477">
        <v>9630</v>
      </c>
      <c r="T105" s="3477">
        <v>0</v>
      </c>
    </row>
    <row r="106" spans="1:20" ht="14.25">
      <c r="A106" s="3477" t="s">
        <v>3652</v>
      </c>
      <c r="B106" s="3477" t="s">
        <v>3454</v>
      </c>
      <c r="C106" s="3477" t="s">
        <v>3653</v>
      </c>
      <c r="D106" s="3477" t="s">
        <v>3464</v>
      </c>
      <c r="E106" s="3477">
        <v>545</v>
      </c>
      <c r="F106" s="3477">
        <v>517.75</v>
      </c>
      <c r="G106" s="3477" t="s">
        <v>3654</v>
      </c>
      <c r="H106" s="3477" t="s">
        <v>3457</v>
      </c>
      <c r="I106" s="3477" t="s">
        <v>3408</v>
      </c>
      <c r="J106" s="3477" t="s">
        <v>3427</v>
      </c>
      <c r="K106" s="3477" t="s">
        <v>3616</v>
      </c>
      <c r="L106" s="3477" t="s">
        <v>3616</v>
      </c>
      <c r="M106" s="3477" t="s">
        <v>3460</v>
      </c>
      <c r="N106" s="3477" t="s">
        <v>3622</v>
      </c>
      <c r="O106" s="3477">
        <v>651</v>
      </c>
      <c r="P106" s="3477">
        <v>131</v>
      </c>
      <c r="Q106" s="3477" t="s">
        <v>3618</v>
      </c>
      <c r="R106" s="3477">
        <v>651</v>
      </c>
      <c r="S106" s="3477">
        <v>12574</v>
      </c>
      <c r="T106" s="3477">
        <v>0</v>
      </c>
    </row>
    <row r="107" spans="1:20" ht="14.25">
      <c r="A107" s="3477" t="s">
        <v>3655</v>
      </c>
      <c r="B107" s="3477" t="s">
        <v>3454</v>
      </c>
      <c r="C107" s="3477" t="s">
        <v>3656</v>
      </c>
      <c r="D107" s="3477" t="s">
        <v>3464</v>
      </c>
      <c r="E107" s="3477">
        <v>115</v>
      </c>
      <c r="F107" s="3477">
        <v>161</v>
      </c>
      <c r="G107" s="3477" t="s">
        <v>3657</v>
      </c>
      <c r="H107" s="3477" t="s">
        <v>3457</v>
      </c>
      <c r="I107" s="3477" t="s">
        <v>3408</v>
      </c>
      <c r="J107" s="3477" t="s">
        <v>3427</v>
      </c>
      <c r="K107" s="3477" t="s">
        <v>3616</v>
      </c>
      <c r="L107" s="3477" t="s">
        <v>3616</v>
      </c>
      <c r="M107" s="3477" t="s">
        <v>3460</v>
      </c>
      <c r="N107" s="3477" t="s">
        <v>3622</v>
      </c>
      <c r="O107" s="3477">
        <v>174</v>
      </c>
      <c r="P107" s="3477">
        <v>36</v>
      </c>
      <c r="Q107" s="3477" t="s">
        <v>3618</v>
      </c>
      <c r="R107" s="3477">
        <v>174</v>
      </c>
      <c r="S107" s="3477">
        <v>10807</v>
      </c>
      <c r="T107" s="3477">
        <v>0</v>
      </c>
    </row>
    <row r="108" spans="1:20" ht="14.25">
      <c r="A108" s="3477" t="s">
        <v>3658</v>
      </c>
      <c r="B108" s="3477" t="s">
        <v>3454</v>
      </c>
      <c r="C108" s="3477" t="s">
        <v>3659</v>
      </c>
      <c r="D108" s="3477" t="s">
        <v>3464</v>
      </c>
      <c r="E108" s="3477">
        <v>403</v>
      </c>
      <c r="F108" s="3477">
        <v>322.39999999999998</v>
      </c>
      <c r="G108" s="3477" t="s">
        <v>3625</v>
      </c>
      <c r="H108" s="3477" t="s">
        <v>3457</v>
      </c>
      <c r="I108" s="3477" t="s">
        <v>3408</v>
      </c>
      <c r="J108" s="3477" t="s">
        <v>3427</v>
      </c>
      <c r="K108" s="3477" t="s">
        <v>3616</v>
      </c>
      <c r="L108" s="3477" t="s">
        <v>3616</v>
      </c>
      <c r="M108" s="3477" t="s">
        <v>3460</v>
      </c>
      <c r="N108" s="3477" t="s">
        <v>3622</v>
      </c>
      <c r="O108" s="3477">
        <v>481</v>
      </c>
      <c r="P108" s="3477">
        <v>97</v>
      </c>
      <c r="Q108" s="3477" t="s">
        <v>3618</v>
      </c>
      <c r="R108" s="3477">
        <v>481</v>
      </c>
      <c r="S108" s="3477">
        <v>14919</v>
      </c>
      <c r="T108" s="3477">
        <v>0</v>
      </c>
    </row>
    <row r="109" spans="1:20" ht="14.25">
      <c r="A109" s="3477" t="s">
        <v>3660</v>
      </c>
      <c r="B109" s="3477" t="s">
        <v>3454</v>
      </c>
      <c r="C109" s="3477" t="s">
        <v>3661</v>
      </c>
      <c r="D109" s="3477" t="s">
        <v>3455</v>
      </c>
      <c r="E109" s="3477">
        <v>1333</v>
      </c>
      <c r="F109" s="3477">
        <v>1199.7</v>
      </c>
      <c r="G109" s="3477" t="s">
        <v>3662</v>
      </c>
      <c r="H109" s="3477" t="s">
        <v>3457</v>
      </c>
      <c r="I109" s="3477" t="s">
        <v>3458</v>
      </c>
      <c r="J109" s="3477" t="s">
        <v>3427</v>
      </c>
      <c r="K109" s="3477" t="s">
        <v>3616</v>
      </c>
      <c r="L109" s="3477" t="s">
        <v>3616</v>
      </c>
      <c r="M109" s="3477" t="s">
        <v>3460</v>
      </c>
      <c r="N109" s="3477" t="s">
        <v>3626</v>
      </c>
      <c r="O109" s="3477">
        <v>1095</v>
      </c>
      <c r="P109" s="3477">
        <v>219</v>
      </c>
      <c r="Q109" s="3477" t="s">
        <v>3618</v>
      </c>
      <c r="R109" s="3477">
        <v>1095</v>
      </c>
      <c r="S109" s="3477">
        <v>9127</v>
      </c>
      <c r="T109" s="3477">
        <v>0</v>
      </c>
    </row>
    <row r="110" spans="1:20" ht="14.25">
      <c r="A110" s="3477" t="s">
        <v>3663</v>
      </c>
      <c r="B110" s="3477" t="s">
        <v>3454</v>
      </c>
      <c r="C110" s="3477" t="s">
        <v>3664</v>
      </c>
      <c r="D110" s="3477" t="s">
        <v>3464</v>
      </c>
      <c r="E110" s="3477">
        <v>706</v>
      </c>
      <c r="F110" s="3477">
        <v>882.5</v>
      </c>
      <c r="G110" s="3477" t="s">
        <v>3644</v>
      </c>
      <c r="H110" s="3477" t="s">
        <v>3457</v>
      </c>
      <c r="I110" s="3477" t="s">
        <v>3408</v>
      </c>
      <c r="J110" s="3477" t="s">
        <v>3427</v>
      </c>
      <c r="K110" s="3477" t="s">
        <v>3616</v>
      </c>
      <c r="L110" s="3477" t="s">
        <v>3616</v>
      </c>
      <c r="M110" s="3477" t="s">
        <v>3460</v>
      </c>
      <c r="N110" s="3477" t="s">
        <v>3622</v>
      </c>
      <c r="O110" s="3477">
        <v>985</v>
      </c>
      <c r="P110" s="3477">
        <v>895</v>
      </c>
      <c r="Q110" s="3477" t="s">
        <v>3618</v>
      </c>
      <c r="R110" s="3477">
        <v>985</v>
      </c>
      <c r="S110" s="3477">
        <v>11161</v>
      </c>
      <c r="T110" s="3477">
        <v>0</v>
      </c>
    </row>
    <row r="111" spans="1:20" ht="14.25">
      <c r="A111" s="3477" t="s">
        <v>3665</v>
      </c>
      <c r="B111" s="3477" t="s">
        <v>3454</v>
      </c>
      <c r="C111" s="3477" t="s">
        <v>3666</v>
      </c>
      <c r="D111" s="3477" t="s">
        <v>3464</v>
      </c>
      <c r="E111" s="3477">
        <v>409</v>
      </c>
      <c r="F111" s="3477">
        <v>347.65</v>
      </c>
      <c r="G111" s="3477" t="s">
        <v>3621</v>
      </c>
      <c r="H111" s="3477" t="s">
        <v>3457</v>
      </c>
      <c r="I111" s="3477" t="s">
        <v>3408</v>
      </c>
      <c r="J111" s="3477" t="s">
        <v>3427</v>
      </c>
      <c r="K111" s="3477" t="s">
        <v>3616</v>
      </c>
      <c r="L111" s="3477" t="s">
        <v>3616</v>
      </c>
      <c r="M111" s="3477" t="s">
        <v>3460</v>
      </c>
      <c r="N111" s="3477" t="s">
        <v>3622</v>
      </c>
      <c r="O111" s="3477">
        <v>485</v>
      </c>
      <c r="P111" s="3477">
        <v>98</v>
      </c>
      <c r="Q111" s="3477" t="s">
        <v>3618</v>
      </c>
      <c r="R111" s="3477">
        <v>485</v>
      </c>
      <c r="S111" s="3477">
        <v>13951</v>
      </c>
      <c r="T111" s="3477">
        <v>0</v>
      </c>
    </row>
    <row r="112" spans="1:20" ht="14.25">
      <c r="A112" s="3477" t="s">
        <v>3667</v>
      </c>
      <c r="B112" s="3477" t="s">
        <v>3454</v>
      </c>
      <c r="C112" s="3477" t="s">
        <v>3668</v>
      </c>
      <c r="D112" s="3477" t="s">
        <v>3455</v>
      </c>
      <c r="E112" s="3477">
        <v>2513</v>
      </c>
      <c r="F112" s="3477">
        <v>2261.6999999999998</v>
      </c>
      <c r="G112" s="3477" t="s">
        <v>3662</v>
      </c>
      <c r="H112" s="3477" t="s">
        <v>3457</v>
      </c>
      <c r="I112" s="3477" t="s">
        <v>3458</v>
      </c>
      <c r="J112" s="3477" t="s">
        <v>3427</v>
      </c>
      <c r="K112" s="3477" t="s">
        <v>3616</v>
      </c>
      <c r="L112" s="3477" t="s">
        <v>3616</v>
      </c>
      <c r="M112" s="3477" t="s">
        <v>3460</v>
      </c>
      <c r="N112" s="3477" t="s">
        <v>3626</v>
      </c>
      <c r="O112" s="3477">
        <v>2071</v>
      </c>
      <c r="P112" s="3477">
        <v>415</v>
      </c>
      <c r="Q112" s="3477" t="s">
        <v>3618</v>
      </c>
      <c r="R112" s="3477">
        <v>2071</v>
      </c>
      <c r="S112" s="3477">
        <v>9157</v>
      </c>
      <c r="T112" s="3477">
        <v>0</v>
      </c>
    </row>
    <row r="113" spans="1:20" ht="14.25">
      <c r="A113" s="3477" t="s">
        <v>3669</v>
      </c>
      <c r="B113" s="3477" t="s">
        <v>3454</v>
      </c>
      <c r="C113" s="3477" t="s">
        <v>3670</v>
      </c>
      <c r="D113" s="3477" t="s">
        <v>3455</v>
      </c>
      <c r="E113" s="3477">
        <v>34</v>
      </c>
      <c r="F113" s="3477">
        <v>32.299999999999997</v>
      </c>
      <c r="G113" s="3477" t="s">
        <v>3654</v>
      </c>
      <c r="H113" s="3477" t="s">
        <v>3457</v>
      </c>
      <c r="I113" s="3477" t="s">
        <v>3458</v>
      </c>
      <c r="J113" s="3477" t="s">
        <v>3427</v>
      </c>
      <c r="K113" s="3477" t="s">
        <v>3616</v>
      </c>
      <c r="L113" s="3477" t="s">
        <v>3616</v>
      </c>
      <c r="M113" s="3477" t="s">
        <v>3460</v>
      </c>
      <c r="N113" s="3477" t="s">
        <v>3622</v>
      </c>
      <c r="O113" s="3477">
        <v>32</v>
      </c>
      <c r="P113" s="3477">
        <v>7</v>
      </c>
      <c r="Q113" s="3477" t="s">
        <v>3618</v>
      </c>
      <c r="R113" s="3477">
        <v>32</v>
      </c>
      <c r="S113" s="3477">
        <v>9907</v>
      </c>
      <c r="T113" s="3477">
        <v>0</v>
      </c>
    </row>
    <row r="114" spans="1:20" ht="14.25">
      <c r="A114" s="3477" t="s">
        <v>3671</v>
      </c>
      <c r="B114" s="3477" t="s">
        <v>3454</v>
      </c>
      <c r="C114" s="3477" t="s">
        <v>3672</v>
      </c>
      <c r="D114" s="3477" t="s">
        <v>3464</v>
      </c>
      <c r="E114" s="3477">
        <v>335</v>
      </c>
      <c r="F114" s="3477">
        <v>318.25</v>
      </c>
      <c r="G114" s="3477" t="s">
        <v>3654</v>
      </c>
      <c r="H114" s="3477" t="s">
        <v>3457</v>
      </c>
      <c r="I114" s="3477" t="s">
        <v>3408</v>
      </c>
      <c r="J114" s="3477" t="s">
        <v>3427</v>
      </c>
      <c r="K114" s="3477" t="s">
        <v>3616</v>
      </c>
      <c r="L114" s="3477" t="s">
        <v>3616</v>
      </c>
      <c r="M114" s="3477" t="s">
        <v>3460</v>
      </c>
      <c r="N114" s="3477" t="s">
        <v>3622</v>
      </c>
      <c r="O114" s="3477">
        <v>401</v>
      </c>
      <c r="P114" s="3477">
        <v>81</v>
      </c>
      <c r="Q114" s="3477" t="s">
        <v>3618</v>
      </c>
      <c r="R114" s="3477">
        <v>401</v>
      </c>
      <c r="S114" s="3477">
        <v>12600</v>
      </c>
      <c r="T114" s="3477">
        <v>0</v>
      </c>
    </row>
    <row r="115" spans="1:20" ht="14.25">
      <c r="A115" s="3477" t="s">
        <v>3673</v>
      </c>
      <c r="B115" s="3477" t="s">
        <v>3454</v>
      </c>
      <c r="C115" s="3477" t="s">
        <v>3674</v>
      </c>
      <c r="D115" s="3477" t="s">
        <v>3464</v>
      </c>
      <c r="E115" s="3477">
        <v>208</v>
      </c>
      <c r="F115" s="3477">
        <v>145.6</v>
      </c>
      <c r="G115" s="3477" t="s">
        <v>3641</v>
      </c>
      <c r="H115" s="3477" t="s">
        <v>3457</v>
      </c>
      <c r="I115" s="3477" t="s">
        <v>3408</v>
      </c>
      <c r="J115" s="3477" t="s">
        <v>3427</v>
      </c>
      <c r="K115" s="3477" t="s">
        <v>3616</v>
      </c>
      <c r="L115" s="3477" t="s">
        <v>3616</v>
      </c>
      <c r="M115" s="3477" t="s">
        <v>3460</v>
      </c>
      <c r="N115" s="3477" t="s">
        <v>3622</v>
      </c>
      <c r="O115" s="3477">
        <v>264</v>
      </c>
      <c r="P115" s="3477">
        <v>54</v>
      </c>
      <c r="Q115" s="3477" t="s">
        <v>3618</v>
      </c>
      <c r="R115" s="3477">
        <v>264</v>
      </c>
      <c r="S115" s="3477">
        <v>18132</v>
      </c>
      <c r="T115" s="3477">
        <v>0</v>
      </c>
    </row>
    <row r="116" spans="1:20" ht="14.25">
      <c r="A116" s="3477" t="s">
        <v>3675</v>
      </c>
      <c r="B116" s="3477" t="s">
        <v>3454</v>
      </c>
      <c r="C116" s="3477" t="s">
        <v>3676</v>
      </c>
      <c r="D116" s="3477" t="s">
        <v>3464</v>
      </c>
      <c r="E116" s="3477">
        <v>252</v>
      </c>
      <c r="F116" s="3477">
        <v>189</v>
      </c>
      <c r="G116" s="3477" t="s">
        <v>3677</v>
      </c>
      <c r="H116" s="3477" t="s">
        <v>3457</v>
      </c>
      <c r="I116" s="3477" t="s">
        <v>3408</v>
      </c>
      <c r="J116" s="3477" t="s">
        <v>3427</v>
      </c>
      <c r="K116" s="3477" t="s">
        <v>3616</v>
      </c>
      <c r="L116" s="3477" t="s">
        <v>3616</v>
      </c>
      <c r="M116" s="3477" t="s">
        <v>3460</v>
      </c>
      <c r="N116" s="3477" t="s">
        <v>3622</v>
      </c>
      <c r="O116" s="3477">
        <v>340</v>
      </c>
      <c r="P116" s="3477">
        <v>69</v>
      </c>
      <c r="Q116" s="3477" t="s">
        <v>3618</v>
      </c>
      <c r="R116" s="3477">
        <v>340</v>
      </c>
      <c r="S116" s="3477">
        <v>17989</v>
      </c>
      <c r="T116" s="3477">
        <v>0</v>
      </c>
    </row>
    <row r="117" spans="1:20" ht="14.25">
      <c r="A117" s="3477" t="s">
        <v>3678</v>
      </c>
      <c r="B117" s="3477" t="s">
        <v>3454</v>
      </c>
      <c r="C117" s="3477" t="s">
        <v>3679</v>
      </c>
      <c r="D117" s="3477" t="s">
        <v>3455</v>
      </c>
      <c r="E117" s="3477">
        <v>3173</v>
      </c>
      <c r="F117" s="3477">
        <v>2538.4</v>
      </c>
      <c r="G117" s="3477" t="s">
        <v>3625</v>
      </c>
      <c r="H117" s="3477" t="s">
        <v>3457</v>
      </c>
      <c r="I117" s="3477" t="s">
        <v>3458</v>
      </c>
      <c r="J117" s="3477" t="s">
        <v>3427</v>
      </c>
      <c r="K117" s="3477" t="s">
        <v>3616</v>
      </c>
      <c r="L117" s="3477" t="s">
        <v>3616</v>
      </c>
      <c r="M117" s="3477" t="s">
        <v>3460</v>
      </c>
      <c r="N117" s="3477" t="s">
        <v>3626</v>
      </c>
      <c r="O117" s="3477">
        <v>2450</v>
      </c>
      <c r="P117" s="3477">
        <v>490</v>
      </c>
      <c r="Q117" s="3477" t="s">
        <v>3618</v>
      </c>
      <c r="R117" s="3477">
        <v>2450</v>
      </c>
      <c r="S117" s="3477">
        <v>9652</v>
      </c>
      <c r="T117" s="3477">
        <v>0</v>
      </c>
    </row>
    <row r="118" spans="1:20" ht="14.25">
      <c r="A118" s="3477" t="s">
        <v>3680</v>
      </c>
      <c r="B118" s="3477" t="s">
        <v>3454</v>
      </c>
      <c r="C118" s="3477" t="s">
        <v>3681</v>
      </c>
      <c r="D118" s="3477" t="s">
        <v>3464</v>
      </c>
      <c r="E118" s="3477">
        <v>13232</v>
      </c>
      <c r="F118" s="3477">
        <v>14555.2</v>
      </c>
      <c r="G118" s="3477" t="s">
        <v>3682</v>
      </c>
      <c r="H118" s="3477" t="s">
        <v>3457</v>
      </c>
      <c r="I118" s="3477" t="s">
        <v>3408</v>
      </c>
      <c r="J118" s="3477" t="s">
        <v>3427</v>
      </c>
      <c r="K118" s="3477" t="s">
        <v>3616</v>
      </c>
      <c r="L118" s="3477" t="s">
        <v>3616</v>
      </c>
      <c r="M118" s="3477" t="s">
        <v>3460</v>
      </c>
      <c r="N118" s="3477" t="s">
        <v>3617</v>
      </c>
      <c r="O118" s="3477">
        <v>5384</v>
      </c>
      <c r="P118" s="3477">
        <v>1100</v>
      </c>
      <c r="Q118" s="3477" t="s">
        <v>3618</v>
      </c>
      <c r="R118" s="3477">
        <v>5384</v>
      </c>
      <c r="S118" s="3477">
        <v>3699</v>
      </c>
      <c r="T118" s="3477">
        <v>0</v>
      </c>
    </row>
    <row r="119" spans="1:20" ht="14.25">
      <c r="A119" s="3477" t="s">
        <v>3683</v>
      </c>
      <c r="B119" s="3477" t="s">
        <v>3454</v>
      </c>
      <c r="C119" s="3477" t="s">
        <v>3684</v>
      </c>
      <c r="D119" s="3477" t="s">
        <v>3455</v>
      </c>
      <c r="E119" s="3477">
        <v>79332</v>
      </c>
      <c r="F119" s="3477">
        <v>118998</v>
      </c>
      <c r="G119" s="3477" t="s">
        <v>3505</v>
      </c>
      <c r="H119" s="3477" t="s">
        <v>3457</v>
      </c>
      <c r="I119" s="3477" t="s">
        <v>2445</v>
      </c>
      <c r="J119" s="3477" t="s">
        <v>3427</v>
      </c>
      <c r="K119" s="3477" t="s">
        <v>3616</v>
      </c>
      <c r="L119" s="3477" t="s">
        <v>3616</v>
      </c>
      <c r="M119" s="3477" t="s">
        <v>3460</v>
      </c>
      <c r="N119" s="3477" t="s">
        <v>3685</v>
      </c>
      <c r="O119" s="3477">
        <v>32796</v>
      </c>
      <c r="P119" s="3477">
        <v>6560</v>
      </c>
      <c r="Q119" s="3477" t="s">
        <v>3618</v>
      </c>
      <c r="R119" s="3477">
        <v>32796</v>
      </c>
      <c r="S119" s="3477">
        <v>2756</v>
      </c>
      <c r="T119" s="3477">
        <v>0</v>
      </c>
    </row>
    <row r="120" spans="1:20" ht="14.25">
      <c r="A120" s="3477" t="s">
        <v>3686</v>
      </c>
      <c r="B120" s="3477" t="s">
        <v>3454</v>
      </c>
      <c r="C120" s="3477" t="s">
        <v>3687</v>
      </c>
      <c r="D120" s="3477" t="s">
        <v>3455</v>
      </c>
      <c r="E120" s="3477">
        <v>19981.41</v>
      </c>
      <c r="F120" s="3477">
        <v>29972.11</v>
      </c>
      <c r="G120" s="3477" t="s">
        <v>3505</v>
      </c>
      <c r="H120" s="3477" t="s">
        <v>3457</v>
      </c>
      <c r="I120" s="3477" t="s">
        <v>3407</v>
      </c>
      <c r="J120" s="3477" t="s">
        <v>3427</v>
      </c>
      <c r="K120" s="3477" t="s">
        <v>3688</v>
      </c>
      <c r="L120" s="3477" t="s">
        <v>3688</v>
      </c>
      <c r="M120" s="3477" t="s">
        <v>3460</v>
      </c>
      <c r="N120" s="3477" t="s">
        <v>3689</v>
      </c>
      <c r="O120" s="3477">
        <v>3729</v>
      </c>
      <c r="P120" s="3477">
        <v>1865</v>
      </c>
      <c r="Q120" s="3477" t="s">
        <v>3690</v>
      </c>
      <c r="R120" s="3477">
        <v>3729</v>
      </c>
      <c r="S120" s="3477">
        <v>1244</v>
      </c>
      <c r="T120" s="3477">
        <v>0</v>
      </c>
    </row>
    <row r="121" spans="1:20" ht="14.25">
      <c r="A121" s="3477" t="s">
        <v>3691</v>
      </c>
      <c r="B121" s="3477" t="s">
        <v>3454</v>
      </c>
      <c r="C121" s="3477" t="s">
        <v>3692</v>
      </c>
      <c r="D121" s="3477" t="s">
        <v>3464</v>
      </c>
      <c r="E121" s="3477">
        <v>51632</v>
      </c>
      <c r="F121" s="3477">
        <v>67121.600000000006</v>
      </c>
      <c r="G121" s="3477" t="s">
        <v>3693</v>
      </c>
      <c r="H121" s="3477" t="s">
        <v>3457</v>
      </c>
      <c r="I121" s="3477" t="s">
        <v>3408</v>
      </c>
      <c r="J121" s="3477" t="s">
        <v>3427</v>
      </c>
      <c r="K121" s="3477" t="s">
        <v>3694</v>
      </c>
      <c r="L121" s="3477" t="s">
        <v>3694</v>
      </c>
      <c r="M121" s="3477" t="s">
        <v>3460</v>
      </c>
      <c r="N121" s="3477" t="s">
        <v>3695</v>
      </c>
      <c r="O121" s="3477">
        <v>77310</v>
      </c>
      <c r="P121" s="3477">
        <v>15470</v>
      </c>
      <c r="Q121" s="3477" t="s">
        <v>3696</v>
      </c>
      <c r="R121" s="3477">
        <v>78710</v>
      </c>
      <c r="S121" s="3477">
        <v>11726</v>
      </c>
      <c r="T121" s="3477">
        <v>1.81</v>
      </c>
    </row>
    <row r="122" spans="1:20" ht="14.25">
      <c r="A122" s="3477" t="s">
        <v>3697</v>
      </c>
      <c r="B122" s="3477" t="s">
        <v>3454</v>
      </c>
      <c r="C122" s="3477" t="s">
        <v>3698</v>
      </c>
      <c r="D122" s="3477" t="s">
        <v>3464</v>
      </c>
      <c r="E122" s="3477">
        <v>74576</v>
      </c>
      <c r="F122" s="3477">
        <v>96948.800000000003</v>
      </c>
      <c r="G122" s="3477" t="s">
        <v>3693</v>
      </c>
      <c r="H122" s="3477" t="s">
        <v>3457</v>
      </c>
      <c r="I122" s="3477" t="s">
        <v>3408</v>
      </c>
      <c r="J122" s="3477" t="s">
        <v>3427</v>
      </c>
      <c r="K122" s="3477" t="s">
        <v>3694</v>
      </c>
      <c r="L122" s="3477" t="s">
        <v>3694</v>
      </c>
      <c r="M122" s="3477" t="s">
        <v>3460</v>
      </c>
      <c r="N122" s="3477" t="s">
        <v>3695</v>
      </c>
      <c r="O122" s="3477">
        <v>111522</v>
      </c>
      <c r="P122" s="3477">
        <v>22310</v>
      </c>
      <c r="Q122" s="3477" t="s">
        <v>3696</v>
      </c>
      <c r="R122" s="3477">
        <v>111522</v>
      </c>
      <c r="S122" s="3477">
        <v>11503</v>
      </c>
      <c r="T122" s="3477">
        <v>0</v>
      </c>
    </row>
    <row r="123" spans="1:20" ht="14.25">
      <c r="A123" s="3477" t="s">
        <v>3699</v>
      </c>
      <c r="B123" s="3477" t="s">
        <v>3454</v>
      </c>
      <c r="C123" s="3477" t="s">
        <v>3700</v>
      </c>
      <c r="D123" s="3477" t="s">
        <v>3464</v>
      </c>
      <c r="E123" s="3477">
        <v>3543</v>
      </c>
      <c r="F123" s="3477">
        <v>8503.2000000000007</v>
      </c>
      <c r="G123" s="3477" t="s">
        <v>3701</v>
      </c>
      <c r="H123" s="3477" t="s">
        <v>3457</v>
      </c>
      <c r="I123" s="3477" t="s">
        <v>3408</v>
      </c>
      <c r="J123" s="3477" t="s">
        <v>3427</v>
      </c>
      <c r="K123" s="3477" t="s">
        <v>3694</v>
      </c>
      <c r="L123" s="3477" t="s">
        <v>3694</v>
      </c>
      <c r="M123" s="3477" t="s">
        <v>3460</v>
      </c>
      <c r="N123" s="3477" t="s">
        <v>3528</v>
      </c>
      <c r="O123" s="3477">
        <v>5874</v>
      </c>
      <c r="P123" s="3477">
        <v>1175</v>
      </c>
      <c r="Q123" s="3477" t="s">
        <v>3696</v>
      </c>
      <c r="R123" s="3477">
        <v>5874</v>
      </c>
      <c r="S123" s="3477">
        <v>6908</v>
      </c>
      <c r="T123" s="3477">
        <v>0</v>
      </c>
    </row>
    <row r="124" spans="1:20" ht="14.25">
      <c r="A124" s="3477" t="s">
        <v>3702</v>
      </c>
      <c r="B124" s="3477" t="s">
        <v>3454</v>
      </c>
      <c r="C124" s="3477" t="s">
        <v>3703</v>
      </c>
      <c r="D124" s="3477" t="s">
        <v>3464</v>
      </c>
      <c r="E124" s="3477">
        <v>17055</v>
      </c>
      <c r="F124" s="3477">
        <v>28993.5</v>
      </c>
      <c r="G124" s="3477" t="s">
        <v>3704</v>
      </c>
      <c r="H124" s="3477" t="s">
        <v>3457</v>
      </c>
      <c r="I124" s="3477" t="s">
        <v>3408</v>
      </c>
      <c r="J124" s="3477" t="s">
        <v>3427</v>
      </c>
      <c r="K124" s="3477" t="s">
        <v>3705</v>
      </c>
      <c r="L124" s="3477" t="s">
        <v>3705</v>
      </c>
      <c r="M124" s="3477" t="s">
        <v>3460</v>
      </c>
      <c r="N124" s="3477" t="s">
        <v>3535</v>
      </c>
      <c r="O124" s="3477">
        <v>18076</v>
      </c>
      <c r="P124" s="3477">
        <v>9309</v>
      </c>
      <c r="Q124" s="3477" t="s">
        <v>3706</v>
      </c>
      <c r="R124" s="3477">
        <v>18076</v>
      </c>
      <c r="S124" s="3477">
        <v>6235</v>
      </c>
      <c r="T124" s="3477">
        <v>0</v>
      </c>
    </row>
    <row r="125" spans="1:20" ht="14.25">
      <c r="A125" s="3477" t="s">
        <v>3707</v>
      </c>
      <c r="B125" s="3477" t="s">
        <v>3454</v>
      </c>
      <c r="C125" s="3477" t="s">
        <v>3708</v>
      </c>
      <c r="D125" s="3477" t="s">
        <v>3464</v>
      </c>
      <c r="E125" s="3477">
        <v>8891</v>
      </c>
      <c r="F125" s="3477">
        <v>16892.900000000001</v>
      </c>
      <c r="G125" s="3477" t="s">
        <v>3709</v>
      </c>
      <c r="H125" s="3477" t="s">
        <v>3457</v>
      </c>
      <c r="I125" s="3477" t="s">
        <v>3408</v>
      </c>
      <c r="J125" s="3477" t="s">
        <v>3427</v>
      </c>
      <c r="K125" s="3477" t="s">
        <v>3705</v>
      </c>
      <c r="L125" s="3477" t="s">
        <v>3705</v>
      </c>
      <c r="M125" s="3477" t="s">
        <v>3460</v>
      </c>
      <c r="N125" s="3477" t="s">
        <v>3710</v>
      </c>
      <c r="O125" s="3477">
        <v>22501</v>
      </c>
      <c r="P125" s="3477">
        <v>11250</v>
      </c>
      <c r="Q125" s="3477" t="s">
        <v>3706</v>
      </c>
      <c r="R125" s="3477">
        <v>22501</v>
      </c>
      <c r="S125" s="3477">
        <v>13320</v>
      </c>
      <c r="T125" s="3477">
        <v>0</v>
      </c>
    </row>
    <row r="126" spans="1:20" ht="14.25">
      <c r="A126" s="3477" t="s">
        <v>3711</v>
      </c>
      <c r="B126" s="3477" t="s">
        <v>3454</v>
      </c>
      <c r="C126" s="3477" t="s">
        <v>3712</v>
      </c>
      <c r="D126" s="3477" t="s">
        <v>3464</v>
      </c>
      <c r="E126" s="3477">
        <v>25873</v>
      </c>
      <c r="F126" s="3477">
        <v>46571.4</v>
      </c>
      <c r="G126" s="3477" t="s">
        <v>3713</v>
      </c>
      <c r="H126" s="3477" t="s">
        <v>3457</v>
      </c>
      <c r="I126" s="3477" t="s">
        <v>3408</v>
      </c>
      <c r="J126" s="3477" t="s">
        <v>3427</v>
      </c>
      <c r="K126" s="3477" t="s">
        <v>3705</v>
      </c>
      <c r="L126" s="3477" t="s">
        <v>3705</v>
      </c>
      <c r="M126" s="3477" t="s">
        <v>3460</v>
      </c>
      <c r="N126" s="3477" t="s">
        <v>3535</v>
      </c>
      <c r="O126" s="3477">
        <v>28464</v>
      </c>
      <c r="P126" s="3477">
        <v>9309</v>
      </c>
      <c r="Q126" s="3477" t="s">
        <v>3706</v>
      </c>
      <c r="R126" s="3477">
        <v>28464</v>
      </c>
      <c r="S126" s="3477">
        <v>6112</v>
      </c>
      <c r="T126" s="3477">
        <v>0</v>
      </c>
    </row>
    <row r="127" spans="1:20" ht="14.25">
      <c r="A127" s="3477" t="s">
        <v>3714</v>
      </c>
      <c r="B127" s="3477" t="s">
        <v>3454</v>
      </c>
      <c r="C127" s="3477" t="s">
        <v>3715</v>
      </c>
      <c r="D127" s="3477" t="s">
        <v>3464</v>
      </c>
      <c r="E127" s="3477">
        <v>24766</v>
      </c>
      <c r="F127" s="3477">
        <v>54485.2</v>
      </c>
      <c r="G127" s="3477" t="s">
        <v>3531</v>
      </c>
      <c r="H127" s="3477" t="s">
        <v>3457</v>
      </c>
      <c r="I127" s="3477" t="s">
        <v>3408</v>
      </c>
      <c r="J127" s="3477" t="s">
        <v>3427</v>
      </c>
      <c r="K127" s="3477" t="s">
        <v>3705</v>
      </c>
      <c r="L127" s="3477" t="s">
        <v>3705</v>
      </c>
      <c r="M127" s="3477" t="s">
        <v>3460</v>
      </c>
      <c r="N127" s="3477" t="s">
        <v>3716</v>
      </c>
      <c r="O127" s="3477">
        <v>24789</v>
      </c>
      <c r="P127" s="3477">
        <v>10518</v>
      </c>
      <c r="Q127" s="3477" t="s">
        <v>3706</v>
      </c>
      <c r="R127" s="3477">
        <v>24789</v>
      </c>
      <c r="S127" s="3477">
        <v>4550</v>
      </c>
      <c r="T127" s="3477">
        <v>0</v>
      </c>
    </row>
    <row r="128" spans="1:20" ht="14.25">
      <c r="A128" s="3477" t="s">
        <v>3717</v>
      </c>
      <c r="B128" s="3477" t="s">
        <v>3454</v>
      </c>
      <c r="C128" s="3477" t="s">
        <v>3718</v>
      </c>
      <c r="D128" s="3477" t="s">
        <v>3455</v>
      </c>
      <c r="E128" s="3477">
        <v>24170</v>
      </c>
      <c r="F128" s="3477">
        <v>31421</v>
      </c>
      <c r="G128" s="3477" t="s">
        <v>3719</v>
      </c>
      <c r="H128" s="3477" t="s">
        <v>3457</v>
      </c>
      <c r="I128" s="3477" t="s">
        <v>3407</v>
      </c>
      <c r="J128" s="3477" t="s">
        <v>3427</v>
      </c>
      <c r="K128" s="3477" t="s">
        <v>3705</v>
      </c>
      <c r="L128" s="3477" t="s">
        <v>3705</v>
      </c>
      <c r="M128" s="3477" t="s">
        <v>3460</v>
      </c>
      <c r="N128" s="3477" t="s">
        <v>3720</v>
      </c>
      <c r="O128" s="3477">
        <v>3210</v>
      </c>
      <c r="P128" s="3477">
        <v>642</v>
      </c>
      <c r="Q128" s="3477" t="s">
        <v>3706</v>
      </c>
      <c r="R128" s="3477">
        <v>3210</v>
      </c>
      <c r="S128" s="3477">
        <v>1022</v>
      </c>
      <c r="T128" s="3477">
        <v>0</v>
      </c>
    </row>
    <row r="129" spans="1:20" ht="14.25">
      <c r="A129" s="3477" t="s">
        <v>3721</v>
      </c>
      <c r="B129" s="3477" t="s">
        <v>3454</v>
      </c>
      <c r="C129" s="3477" t="s">
        <v>3722</v>
      </c>
      <c r="D129" s="3477" t="s">
        <v>3464</v>
      </c>
      <c r="E129" s="3477">
        <v>27773</v>
      </c>
      <c r="F129" s="3477">
        <v>61100.6</v>
      </c>
      <c r="G129" s="3477" t="s">
        <v>3531</v>
      </c>
      <c r="H129" s="3477" t="s">
        <v>3457</v>
      </c>
      <c r="I129" s="3477" t="s">
        <v>3408</v>
      </c>
      <c r="J129" s="3477" t="s">
        <v>3427</v>
      </c>
      <c r="K129" s="3477" t="s">
        <v>3705</v>
      </c>
      <c r="L129" s="3477" t="s">
        <v>3705</v>
      </c>
      <c r="M129" s="3477" t="s">
        <v>3460</v>
      </c>
      <c r="N129" s="3477" t="s">
        <v>3716</v>
      </c>
      <c r="O129" s="3477">
        <v>27799</v>
      </c>
      <c r="P129" s="3477">
        <v>10518</v>
      </c>
      <c r="Q129" s="3477" t="s">
        <v>3706</v>
      </c>
      <c r="R129" s="3477">
        <v>27799</v>
      </c>
      <c r="S129" s="3477">
        <v>4550</v>
      </c>
      <c r="T129" s="3477">
        <v>0</v>
      </c>
    </row>
    <row r="130" spans="1:20" ht="14.25">
      <c r="A130" s="3477" t="s">
        <v>3723</v>
      </c>
      <c r="B130" s="3477" t="s">
        <v>3454</v>
      </c>
      <c r="C130" s="3477" t="s">
        <v>3723</v>
      </c>
      <c r="D130" s="3477" t="s">
        <v>3455</v>
      </c>
      <c r="E130" s="3477">
        <v>32959</v>
      </c>
      <c r="F130" s="3477">
        <v>42846.7</v>
      </c>
      <c r="G130" s="3477" t="s">
        <v>3719</v>
      </c>
      <c r="H130" s="3477" t="s">
        <v>3457</v>
      </c>
      <c r="I130" s="3477" t="s">
        <v>3407</v>
      </c>
      <c r="J130" s="3477" t="s">
        <v>3427</v>
      </c>
      <c r="K130" s="3477" t="s">
        <v>3724</v>
      </c>
      <c r="L130" s="3477" t="s">
        <v>3724</v>
      </c>
      <c r="M130" s="3477" t="s">
        <v>3460</v>
      </c>
      <c r="N130" s="3477" t="s">
        <v>3725</v>
      </c>
      <c r="O130" s="3477">
        <v>7416</v>
      </c>
      <c r="P130" s="3477">
        <v>7416</v>
      </c>
      <c r="Q130" s="3477" t="s">
        <v>3706</v>
      </c>
      <c r="R130" s="3477">
        <v>7416</v>
      </c>
      <c r="S130" s="3477">
        <v>1731</v>
      </c>
      <c r="T130" s="3477">
        <v>0</v>
      </c>
    </row>
    <row r="131" spans="1:20" ht="14.25">
      <c r="A131" s="3477" t="s">
        <v>3726</v>
      </c>
      <c r="B131" s="3477" t="s">
        <v>3454</v>
      </c>
      <c r="C131" s="3477" t="s">
        <v>3727</v>
      </c>
      <c r="D131" s="3477" t="s">
        <v>3464</v>
      </c>
      <c r="E131" s="3477">
        <v>20031</v>
      </c>
      <c r="F131" s="3477">
        <v>40062</v>
      </c>
      <c r="G131" s="3477" t="s">
        <v>3728</v>
      </c>
      <c r="H131" s="3477" t="s">
        <v>3457</v>
      </c>
      <c r="I131" s="3477" t="s">
        <v>3408</v>
      </c>
      <c r="J131" s="3477" t="s">
        <v>3427</v>
      </c>
      <c r="K131" s="3477" t="s">
        <v>3729</v>
      </c>
      <c r="L131" s="3477" t="s">
        <v>3729</v>
      </c>
      <c r="M131" s="3477" t="s">
        <v>3460</v>
      </c>
      <c r="N131" s="3477" t="s">
        <v>3730</v>
      </c>
      <c r="O131" s="3477">
        <v>6298</v>
      </c>
      <c r="P131" s="3477">
        <v>3149</v>
      </c>
      <c r="Q131" s="3477" t="s">
        <v>3731</v>
      </c>
      <c r="R131" s="3477">
        <v>6298</v>
      </c>
      <c r="S131" s="3477">
        <v>1572</v>
      </c>
      <c r="T131" s="3477">
        <v>0</v>
      </c>
    </row>
    <row r="132" spans="1:20" ht="14.25">
      <c r="A132" s="3477" t="s">
        <v>3732</v>
      </c>
      <c r="B132" s="3477" t="s">
        <v>3454</v>
      </c>
      <c r="C132" s="3477" t="s">
        <v>3733</v>
      </c>
      <c r="D132" s="3477" t="s">
        <v>3464</v>
      </c>
      <c r="E132" s="3477">
        <v>35603</v>
      </c>
      <c r="F132" s="3477">
        <v>53404.5</v>
      </c>
      <c r="G132" s="3477" t="s">
        <v>3505</v>
      </c>
      <c r="H132" s="3477" t="s">
        <v>3457</v>
      </c>
      <c r="I132" s="3477" t="s">
        <v>3408</v>
      </c>
      <c r="J132" s="3477" t="s">
        <v>3427</v>
      </c>
      <c r="K132" s="3477" t="s">
        <v>3724</v>
      </c>
      <c r="L132" s="3477" t="s">
        <v>3724</v>
      </c>
      <c r="M132" s="3477" t="s">
        <v>3460</v>
      </c>
      <c r="N132" s="3477" t="s">
        <v>3734</v>
      </c>
      <c r="O132" s="3477">
        <v>10681</v>
      </c>
      <c r="P132" s="3477">
        <v>10681</v>
      </c>
      <c r="Q132" s="3477" t="s">
        <v>3731</v>
      </c>
      <c r="R132" s="3477">
        <v>10681</v>
      </c>
      <c r="S132" s="3477">
        <v>2000</v>
      </c>
      <c r="T132" s="3477">
        <v>0</v>
      </c>
    </row>
    <row r="133" spans="1:20" ht="14.25">
      <c r="A133" s="3477" t="s">
        <v>3735</v>
      </c>
      <c r="B133" s="3477" t="s">
        <v>3454</v>
      </c>
      <c r="C133" s="3477" t="s">
        <v>3736</v>
      </c>
      <c r="D133" s="3477" t="s">
        <v>3629</v>
      </c>
      <c r="E133" s="3477">
        <v>11455</v>
      </c>
      <c r="F133" s="3477">
        <v>26346.5</v>
      </c>
      <c r="G133" s="3477" t="s">
        <v>3471</v>
      </c>
      <c r="H133" s="3477" t="s">
        <v>3457</v>
      </c>
      <c r="I133" s="3477" t="s">
        <v>3631</v>
      </c>
      <c r="J133" s="3477" t="s">
        <v>3427</v>
      </c>
      <c r="K133" s="3477" t="s">
        <v>3729</v>
      </c>
      <c r="L133" s="3477" t="s">
        <v>3729</v>
      </c>
      <c r="M133" s="3477" t="s">
        <v>3460</v>
      </c>
      <c r="N133" s="3477" t="s">
        <v>3473</v>
      </c>
      <c r="O133" s="3477">
        <v>24000</v>
      </c>
      <c r="P133" s="3477">
        <v>15600</v>
      </c>
      <c r="Q133" s="3477" t="s">
        <v>3731</v>
      </c>
      <c r="R133" s="3477">
        <v>24000</v>
      </c>
      <c r="S133" s="3477">
        <v>9109</v>
      </c>
      <c r="T133" s="3477">
        <v>0</v>
      </c>
    </row>
    <row r="134" spans="1:20" ht="14.25">
      <c r="A134" s="3477" t="s">
        <v>3737</v>
      </c>
      <c r="B134" s="3477" t="s">
        <v>3454</v>
      </c>
      <c r="C134" s="3477" t="s">
        <v>3738</v>
      </c>
      <c r="D134" s="3477" t="s">
        <v>3464</v>
      </c>
      <c r="E134" s="3477">
        <v>22042</v>
      </c>
      <c r="F134" s="3477">
        <v>44084</v>
      </c>
      <c r="G134" s="3477" t="s">
        <v>3728</v>
      </c>
      <c r="H134" s="3477" t="s">
        <v>3457</v>
      </c>
      <c r="I134" s="3477" t="s">
        <v>3408</v>
      </c>
      <c r="J134" s="3477" t="s">
        <v>3427</v>
      </c>
      <c r="K134" s="3477" t="s">
        <v>3724</v>
      </c>
      <c r="L134" s="3477" t="s">
        <v>3724</v>
      </c>
      <c r="M134" s="3477" t="s">
        <v>3460</v>
      </c>
      <c r="N134" s="3477" t="s">
        <v>3739</v>
      </c>
      <c r="O134" s="3477">
        <v>6944</v>
      </c>
      <c r="P134" s="3477">
        <v>6944</v>
      </c>
      <c r="Q134" s="3477" t="s">
        <v>3706</v>
      </c>
      <c r="R134" s="3477">
        <v>6944</v>
      </c>
      <c r="S134" s="3477">
        <v>1575</v>
      </c>
      <c r="T134" s="3477">
        <v>0</v>
      </c>
    </row>
    <row r="135" spans="1:20" ht="14.25">
      <c r="A135" s="3477" t="s">
        <v>3740</v>
      </c>
      <c r="B135" s="3477" t="s">
        <v>3454</v>
      </c>
      <c r="C135" s="3477" t="s">
        <v>3741</v>
      </c>
      <c r="D135" s="3477" t="s">
        <v>3464</v>
      </c>
      <c r="E135" s="3477">
        <v>46507</v>
      </c>
      <c r="F135" s="3477">
        <v>69760.5</v>
      </c>
      <c r="G135" s="3477" t="s">
        <v>3505</v>
      </c>
      <c r="H135" s="3477" t="s">
        <v>3457</v>
      </c>
      <c r="I135" s="3477" t="s">
        <v>3408</v>
      </c>
      <c r="J135" s="3477" t="s">
        <v>3427</v>
      </c>
      <c r="K135" s="3477" t="s">
        <v>3729</v>
      </c>
      <c r="L135" s="3477" t="s">
        <v>3729</v>
      </c>
      <c r="M135" s="3477" t="s">
        <v>3460</v>
      </c>
      <c r="N135" s="3477" t="s">
        <v>3742</v>
      </c>
      <c r="O135" s="3477">
        <v>10632</v>
      </c>
      <c r="P135" s="3477">
        <v>10632</v>
      </c>
      <c r="Q135" s="3477" t="s">
        <v>3731</v>
      </c>
      <c r="R135" s="3477">
        <v>10632</v>
      </c>
      <c r="S135" s="3477">
        <v>1524</v>
      </c>
      <c r="T135" s="3477">
        <v>0</v>
      </c>
    </row>
    <row r="136" spans="1:20" ht="14.25">
      <c r="A136" s="3477" t="s">
        <v>3743</v>
      </c>
      <c r="B136" s="3477" t="s">
        <v>3454</v>
      </c>
      <c r="C136" s="3477" t="s">
        <v>3744</v>
      </c>
      <c r="D136" s="3477" t="s">
        <v>3464</v>
      </c>
      <c r="E136" s="3477">
        <v>63921</v>
      </c>
      <c r="F136" s="3477">
        <v>147018.29999999999</v>
      </c>
      <c r="G136" s="3477" t="s">
        <v>3471</v>
      </c>
      <c r="H136" s="3477" t="s">
        <v>3457</v>
      </c>
      <c r="I136" s="3477" t="s">
        <v>3408</v>
      </c>
      <c r="J136" s="3477" t="s">
        <v>3427</v>
      </c>
      <c r="K136" s="3477" t="s">
        <v>3745</v>
      </c>
      <c r="L136" s="3477" t="s">
        <v>3745</v>
      </c>
      <c r="M136" s="3477" t="s">
        <v>3460</v>
      </c>
      <c r="N136" s="3477" t="s">
        <v>3746</v>
      </c>
      <c r="O136" s="3477">
        <v>101720</v>
      </c>
      <c r="P136" s="3477">
        <v>54300</v>
      </c>
      <c r="Q136" s="3477" t="s">
        <v>3747</v>
      </c>
      <c r="R136" s="3477">
        <v>148146</v>
      </c>
      <c r="S136" s="3477">
        <v>10077</v>
      </c>
      <c r="T136" s="3477">
        <v>45.64</v>
      </c>
    </row>
    <row r="137" spans="1:20" ht="14.25">
      <c r="A137" s="3477" t="s">
        <v>3748</v>
      </c>
      <c r="B137" s="3477" t="s">
        <v>3454</v>
      </c>
      <c r="C137" s="3477" t="s">
        <v>3749</v>
      </c>
      <c r="D137" s="3477" t="s">
        <v>3629</v>
      </c>
      <c r="E137" s="3477">
        <v>5001</v>
      </c>
      <c r="F137" s="3477">
        <v>7501.5</v>
      </c>
      <c r="G137" s="3477" t="s">
        <v>3750</v>
      </c>
      <c r="H137" s="3477" t="s">
        <v>3457</v>
      </c>
      <c r="I137" s="3477" t="s">
        <v>3751</v>
      </c>
      <c r="J137" s="3477" t="s">
        <v>3427</v>
      </c>
      <c r="K137" s="3477" t="s">
        <v>3745</v>
      </c>
      <c r="L137" s="3477" t="s">
        <v>3745</v>
      </c>
      <c r="M137" s="3477" t="s">
        <v>3460</v>
      </c>
      <c r="N137" s="3477" t="s">
        <v>3746</v>
      </c>
      <c r="O137" s="3477">
        <v>5660</v>
      </c>
      <c r="P137" s="3477">
        <v>2300</v>
      </c>
      <c r="Q137" s="3477" t="s">
        <v>3747</v>
      </c>
      <c r="R137" s="3477">
        <v>5660</v>
      </c>
      <c r="S137" s="3477">
        <v>7545</v>
      </c>
      <c r="T137" s="3477">
        <v>0</v>
      </c>
    </row>
    <row r="138" spans="1:20" ht="14.25">
      <c r="A138" s="3477" t="s">
        <v>3752</v>
      </c>
      <c r="B138" s="3477" t="s">
        <v>3454</v>
      </c>
      <c r="C138" s="3477" t="s">
        <v>3752</v>
      </c>
      <c r="D138" s="3477" t="s">
        <v>3455</v>
      </c>
      <c r="E138" s="3477">
        <v>26164</v>
      </c>
      <c r="F138" s="3477">
        <v>52328</v>
      </c>
      <c r="G138" s="3477" t="s">
        <v>3456</v>
      </c>
      <c r="H138" s="3477" t="s">
        <v>3457</v>
      </c>
      <c r="I138" s="3477" t="s">
        <v>3407</v>
      </c>
      <c r="J138" s="3477" t="s">
        <v>3427</v>
      </c>
      <c r="K138" s="3477" t="s">
        <v>3753</v>
      </c>
      <c r="L138" s="3477" t="s">
        <v>3753</v>
      </c>
      <c r="M138" s="3477" t="s">
        <v>3460</v>
      </c>
      <c r="N138" s="3477" t="s">
        <v>3725</v>
      </c>
      <c r="O138" s="3477">
        <v>5887</v>
      </c>
      <c r="P138" s="3477">
        <v>5887</v>
      </c>
      <c r="Q138" s="3477" t="s">
        <v>3754</v>
      </c>
      <c r="R138" s="3477">
        <v>5887</v>
      </c>
      <c r="S138" s="3477">
        <v>1125</v>
      </c>
      <c r="T138" s="3477">
        <v>0</v>
      </c>
    </row>
    <row r="139" spans="1:20" ht="14.25">
      <c r="A139" s="3477" t="s">
        <v>3755</v>
      </c>
      <c r="B139" s="3477" t="s">
        <v>3454</v>
      </c>
      <c r="C139" s="3477" t="s">
        <v>3755</v>
      </c>
      <c r="D139" s="3477" t="s">
        <v>3455</v>
      </c>
      <c r="E139" s="3477">
        <v>5417</v>
      </c>
      <c r="F139" s="3477">
        <v>8125.5</v>
      </c>
      <c r="G139" s="3477" t="s">
        <v>3505</v>
      </c>
      <c r="H139" s="3477" t="s">
        <v>3457</v>
      </c>
      <c r="I139" s="3477" t="s">
        <v>3458</v>
      </c>
      <c r="J139" s="3477" t="s">
        <v>3427</v>
      </c>
      <c r="K139" s="3477" t="s">
        <v>3753</v>
      </c>
      <c r="L139" s="3477" t="s">
        <v>3753</v>
      </c>
      <c r="M139" s="3477" t="s">
        <v>3460</v>
      </c>
      <c r="N139" s="3477" t="s">
        <v>3725</v>
      </c>
      <c r="O139" s="3477">
        <v>1219</v>
      </c>
      <c r="P139" s="3477">
        <v>1219</v>
      </c>
      <c r="Q139" s="3477" t="s">
        <v>3754</v>
      </c>
      <c r="R139" s="3477">
        <v>1219</v>
      </c>
      <c r="S139" s="3477">
        <v>1500</v>
      </c>
      <c r="T139" s="3477">
        <v>0</v>
      </c>
    </row>
    <row r="140" spans="1:20" ht="14.25">
      <c r="A140" s="3477" t="s">
        <v>3756</v>
      </c>
      <c r="B140" s="3477" t="s">
        <v>3454</v>
      </c>
      <c r="C140" s="3477" t="s">
        <v>3756</v>
      </c>
      <c r="D140" s="3477" t="s">
        <v>3455</v>
      </c>
      <c r="E140" s="3477">
        <v>6369</v>
      </c>
      <c r="F140" s="3477">
        <v>11464.2</v>
      </c>
      <c r="G140" s="3477" t="s">
        <v>3496</v>
      </c>
      <c r="H140" s="3477" t="s">
        <v>3457</v>
      </c>
      <c r="I140" s="3477" t="s">
        <v>3458</v>
      </c>
      <c r="J140" s="3477" t="s">
        <v>3427</v>
      </c>
      <c r="K140" s="3477" t="s">
        <v>3753</v>
      </c>
      <c r="L140" s="3477" t="s">
        <v>3753</v>
      </c>
      <c r="M140" s="3477" t="s">
        <v>3460</v>
      </c>
      <c r="N140" s="3477" t="s">
        <v>3725</v>
      </c>
      <c r="O140" s="3477">
        <v>1434</v>
      </c>
      <c r="P140" s="3477">
        <v>1434</v>
      </c>
      <c r="Q140" s="3477" t="s">
        <v>3754</v>
      </c>
      <c r="R140" s="3477">
        <v>1434</v>
      </c>
      <c r="S140" s="3477">
        <v>1251</v>
      </c>
      <c r="T140" s="3477">
        <v>0</v>
      </c>
    </row>
    <row r="141" spans="1:20" ht="14.25">
      <c r="A141" s="3477" t="s">
        <v>3757</v>
      </c>
      <c r="B141" s="3477" t="s">
        <v>3454</v>
      </c>
      <c r="C141" s="3477" t="s">
        <v>3758</v>
      </c>
      <c r="D141" s="3477" t="s">
        <v>3455</v>
      </c>
      <c r="E141" s="3477">
        <v>20853</v>
      </c>
      <c r="F141" s="3477">
        <v>52132.5</v>
      </c>
      <c r="G141" s="3477" t="s">
        <v>3759</v>
      </c>
      <c r="H141" s="3477" t="s">
        <v>3457</v>
      </c>
      <c r="I141" s="3477" t="s">
        <v>3407</v>
      </c>
      <c r="J141" s="3477" t="s">
        <v>3427</v>
      </c>
      <c r="K141" s="3477" t="s">
        <v>3760</v>
      </c>
      <c r="L141" s="3477" t="s">
        <v>3760</v>
      </c>
      <c r="M141" s="3477" t="s">
        <v>3460</v>
      </c>
      <c r="N141" s="3477" t="s">
        <v>3761</v>
      </c>
      <c r="O141" s="3477">
        <v>9080</v>
      </c>
      <c r="P141" s="3477">
        <v>1820</v>
      </c>
      <c r="Q141" s="3477" t="s">
        <v>3762</v>
      </c>
      <c r="R141" s="3477">
        <v>9080</v>
      </c>
      <c r="S141" s="3477">
        <v>1742</v>
      </c>
      <c r="T141" s="3477">
        <v>0</v>
      </c>
    </row>
    <row r="142" spans="1:20" ht="14.25">
      <c r="A142" s="3477" t="s">
        <v>3763</v>
      </c>
      <c r="B142" s="3477" t="s">
        <v>3454</v>
      </c>
      <c r="C142" s="3477" t="s">
        <v>3764</v>
      </c>
      <c r="D142" s="3477" t="s">
        <v>3455</v>
      </c>
      <c r="E142" s="3477">
        <v>19581</v>
      </c>
      <c r="F142" s="3477">
        <v>78324</v>
      </c>
      <c r="G142" s="3477" t="s">
        <v>3765</v>
      </c>
      <c r="H142" s="3477" t="s">
        <v>3457</v>
      </c>
      <c r="I142" s="3477" t="s">
        <v>3407</v>
      </c>
      <c r="J142" s="3477" t="s">
        <v>3427</v>
      </c>
      <c r="K142" s="3477" t="s">
        <v>3760</v>
      </c>
      <c r="L142" s="3477" t="s">
        <v>3760</v>
      </c>
      <c r="M142" s="3477" t="s">
        <v>3460</v>
      </c>
      <c r="N142" s="3477" t="s">
        <v>3761</v>
      </c>
      <c r="O142" s="3477">
        <v>10870</v>
      </c>
      <c r="P142" s="3477">
        <v>2180</v>
      </c>
      <c r="Q142" s="3477" t="s">
        <v>3762</v>
      </c>
      <c r="R142" s="3477">
        <v>10870</v>
      </c>
      <c r="S142" s="3477">
        <v>1388</v>
      </c>
      <c r="T142" s="3477">
        <v>0</v>
      </c>
    </row>
    <row r="143" spans="1:20" ht="14.25">
      <c r="A143" s="3477" t="s">
        <v>3766</v>
      </c>
      <c r="B143" s="3477" t="s">
        <v>3454</v>
      </c>
      <c r="C143" s="3477" t="s">
        <v>3767</v>
      </c>
      <c r="D143" s="3477" t="s">
        <v>3464</v>
      </c>
      <c r="E143" s="3477">
        <v>20839</v>
      </c>
      <c r="F143" s="3477">
        <v>45845.8</v>
      </c>
      <c r="G143" s="3477" t="s">
        <v>3531</v>
      </c>
      <c r="H143" s="3477" t="s">
        <v>3457</v>
      </c>
      <c r="I143" s="3477" t="s">
        <v>3408</v>
      </c>
      <c r="J143" s="3477" t="s">
        <v>3427</v>
      </c>
      <c r="K143" s="3477" t="s">
        <v>3760</v>
      </c>
      <c r="L143" s="3477" t="s">
        <v>3760</v>
      </c>
      <c r="M143" s="3477" t="s">
        <v>3460</v>
      </c>
      <c r="N143" s="3477" t="s">
        <v>3761</v>
      </c>
      <c r="O143" s="3477">
        <v>13760</v>
      </c>
      <c r="P143" s="3477">
        <v>2760</v>
      </c>
      <c r="Q143" s="3477" t="s">
        <v>3762</v>
      </c>
      <c r="R143" s="3477">
        <v>13760</v>
      </c>
      <c r="S143" s="3477">
        <v>3001</v>
      </c>
      <c r="T143" s="3477">
        <v>0</v>
      </c>
    </row>
    <row r="144" spans="1:20" ht="14.25">
      <c r="A144" s="3477" t="s">
        <v>3768</v>
      </c>
      <c r="B144" s="3477" t="s">
        <v>3454</v>
      </c>
      <c r="C144" s="3477" t="s">
        <v>3769</v>
      </c>
      <c r="D144" s="3477" t="s">
        <v>3464</v>
      </c>
      <c r="E144" s="3477">
        <v>46228</v>
      </c>
      <c r="F144" s="3477">
        <v>115570</v>
      </c>
      <c r="G144" s="3477" t="s">
        <v>3511</v>
      </c>
      <c r="H144" s="3477" t="s">
        <v>3457</v>
      </c>
      <c r="I144" s="3477" t="s">
        <v>3408</v>
      </c>
      <c r="J144" s="3477" t="s">
        <v>3427</v>
      </c>
      <c r="K144" s="3477" t="s">
        <v>3760</v>
      </c>
      <c r="L144" s="3477" t="s">
        <v>3760</v>
      </c>
      <c r="M144" s="3477" t="s">
        <v>3460</v>
      </c>
      <c r="N144" s="3477" t="s">
        <v>3770</v>
      </c>
      <c r="O144" s="3477">
        <v>40539</v>
      </c>
      <c r="P144" s="3477">
        <v>8108</v>
      </c>
      <c r="Q144" s="3477" t="s">
        <v>3762</v>
      </c>
      <c r="R144" s="3477">
        <v>40539</v>
      </c>
      <c r="S144" s="3477">
        <v>3508</v>
      </c>
      <c r="T144" s="3477">
        <v>0</v>
      </c>
    </row>
    <row r="145" spans="1:20" ht="14.25">
      <c r="A145" s="3477" t="s">
        <v>3771</v>
      </c>
      <c r="B145" s="3477" t="s">
        <v>3454</v>
      </c>
      <c r="C145" s="3477" t="s">
        <v>3772</v>
      </c>
      <c r="D145" s="3477" t="s">
        <v>3464</v>
      </c>
      <c r="E145" s="3477">
        <v>39140</v>
      </c>
      <c r="F145" s="3477">
        <v>46968</v>
      </c>
      <c r="G145" s="3477" t="s">
        <v>3773</v>
      </c>
      <c r="H145" s="3477" t="s">
        <v>3457</v>
      </c>
      <c r="I145" s="3477" t="s">
        <v>3408</v>
      </c>
      <c r="J145" s="3477" t="s">
        <v>3427</v>
      </c>
      <c r="K145" s="3477" t="s">
        <v>3760</v>
      </c>
      <c r="L145" s="3477" t="s">
        <v>3760</v>
      </c>
      <c r="M145" s="3477" t="s">
        <v>3460</v>
      </c>
      <c r="N145" s="3477" t="s">
        <v>3774</v>
      </c>
      <c r="O145" s="3477">
        <v>36953</v>
      </c>
      <c r="P145" s="3477">
        <v>13130</v>
      </c>
      <c r="Q145" s="3477" t="s">
        <v>3762</v>
      </c>
      <c r="R145" s="3477">
        <v>36953</v>
      </c>
      <c r="S145" s="3477">
        <v>7868</v>
      </c>
      <c r="T145" s="3477">
        <v>0</v>
      </c>
    </row>
    <row r="146" spans="1:20" ht="14.25">
      <c r="A146" s="3477" t="s">
        <v>3775</v>
      </c>
      <c r="B146" s="3477" t="s">
        <v>3454</v>
      </c>
      <c r="C146" s="3477" t="s">
        <v>3776</v>
      </c>
      <c r="D146" s="3477" t="s">
        <v>3455</v>
      </c>
      <c r="E146" s="3477">
        <v>25009</v>
      </c>
      <c r="F146" s="3477">
        <v>42515.3</v>
      </c>
      <c r="G146" s="3477" t="s">
        <v>3777</v>
      </c>
      <c r="H146" s="3477" t="s">
        <v>3457</v>
      </c>
      <c r="I146" s="3477" t="s">
        <v>3458</v>
      </c>
      <c r="J146" s="3477" t="s">
        <v>3427</v>
      </c>
      <c r="K146" s="3477" t="s">
        <v>3760</v>
      </c>
      <c r="L146" s="3477" t="s">
        <v>3760</v>
      </c>
      <c r="M146" s="3477" t="s">
        <v>3460</v>
      </c>
      <c r="N146" s="3477" t="s">
        <v>3778</v>
      </c>
      <c r="O146" s="3477">
        <v>2168</v>
      </c>
      <c r="P146" s="3477">
        <v>434</v>
      </c>
      <c r="Q146" s="3477" t="s">
        <v>3762</v>
      </c>
      <c r="R146" s="3477">
        <v>2168</v>
      </c>
      <c r="S146" s="3477">
        <v>510</v>
      </c>
      <c r="T146" s="3477">
        <v>0</v>
      </c>
    </row>
    <row r="147" spans="1:20" ht="14.25">
      <c r="A147" s="3477" t="s">
        <v>3779</v>
      </c>
      <c r="B147" s="3477" t="s">
        <v>3454</v>
      </c>
      <c r="C147" s="3477" t="s">
        <v>3780</v>
      </c>
      <c r="D147" s="3477" t="s">
        <v>3464</v>
      </c>
      <c r="E147" s="3477">
        <v>24858</v>
      </c>
      <c r="F147" s="3477">
        <v>49716</v>
      </c>
      <c r="G147" s="3477" t="s">
        <v>3523</v>
      </c>
      <c r="H147" s="3477" t="s">
        <v>3457</v>
      </c>
      <c r="I147" s="3477" t="s">
        <v>3408</v>
      </c>
      <c r="J147" s="3477" t="s">
        <v>3427</v>
      </c>
      <c r="K147" s="3477" t="s">
        <v>3760</v>
      </c>
      <c r="L147" s="3477" t="s">
        <v>3760</v>
      </c>
      <c r="M147" s="3477" t="s">
        <v>3460</v>
      </c>
      <c r="N147" s="3477" t="s">
        <v>3774</v>
      </c>
      <c r="O147" s="3477">
        <v>28692</v>
      </c>
      <c r="P147" s="3477">
        <v>13130</v>
      </c>
      <c r="Q147" s="3477" t="s">
        <v>3762</v>
      </c>
      <c r="R147" s="3477">
        <v>28692</v>
      </c>
      <c r="S147" s="3477">
        <v>5771</v>
      </c>
      <c r="T147" s="3477">
        <v>0</v>
      </c>
    </row>
    <row r="148" spans="1:20" ht="14.25">
      <c r="A148" s="3477" t="s">
        <v>3781</v>
      </c>
      <c r="B148" s="3477" t="s">
        <v>3454</v>
      </c>
      <c r="C148" s="3477" t="s">
        <v>3781</v>
      </c>
      <c r="D148" s="3477" t="s">
        <v>3464</v>
      </c>
      <c r="E148" s="3477">
        <v>38671</v>
      </c>
      <c r="F148" s="3477">
        <v>65740.7</v>
      </c>
      <c r="G148" s="3477" t="s">
        <v>3782</v>
      </c>
      <c r="H148" s="3477" t="s">
        <v>3457</v>
      </c>
      <c r="I148" s="3477" t="s">
        <v>3408</v>
      </c>
      <c r="J148" s="3477" t="s">
        <v>3427</v>
      </c>
      <c r="K148" s="3477" t="s">
        <v>3783</v>
      </c>
      <c r="L148" s="3477" t="s">
        <v>3783</v>
      </c>
      <c r="M148" s="3477" t="s">
        <v>3460</v>
      </c>
      <c r="N148" s="3477" t="s">
        <v>3784</v>
      </c>
      <c r="O148" s="3477">
        <v>15082</v>
      </c>
      <c r="P148" s="3477">
        <v>7541</v>
      </c>
      <c r="Q148" s="3477" t="s">
        <v>3785</v>
      </c>
      <c r="R148" s="3477">
        <v>15082</v>
      </c>
      <c r="S148" s="3477">
        <v>2294</v>
      </c>
      <c r="T148" s="3477">
        <v>0</v>
      </c>
    </row>
    <row r="149" spans="1:20" ht="14.25">
      <c r="A149" s="3477" t="s">
        <v>3786</v>
      </c>
      <c r="B149" s="3477" t="s">
        <v>3454</v>
      </c>
      <c r="C149" s="3477" t="s">
        <v>3787</v>
      </c>
      <c r="D149" s="3477" t="s">
        <v>3464</v>
      </c>
      <c r="E149" s="3477">
        <v>55788</v>
      </c>
      <c r="F149" s="3477">
        <v>61366.8</v>
      </c>
      <c r="G149" s="3477" t="s">
        <v>3682</v>
      </c>
      <c r="H149" s="3477" t="s">
        <v>3457</v>
      </c>
      <c r="I149" s="3477" t="s">
        <v>3408</v>
      </c>
      <c r="J149" s="3477" t="s">
        <v>3427</v>
      </c>
      <c r="K149" s="3477" t="s">
        <v>3788</v>
      </c>
      <c r="L149" s="3477" t="s">
        <v>3788</v>
      </c>
      <c r="M149" s="3477" t="s">
        <v>3460</v>
      </c>
      <c r="N149" s="3477" t="s">
        <v>3789</v>
      </c>
      <c r="O149" s="3477">
        <v>42922</v>
      </c>
      <c r="P149" s="3477">
        <v>8590</v>
      </c>
      <c r="Q149" s="3477" t="s">
        <v>3790</v>
      </c>
      <c r="R149" s="3477">
        <v>42922</v>
      </c>
      <c r="S149" s="3477">
        <v>6994</v>
      </c>
      <c r="T149" s="3477">
        <v>0</v>
      </c>
    </row>
    <row r="150" spans="1:20" ht="14.25">
      <c r="A150" s="3477" t="s">
        <v>3791</v>
      </c>
      <c r="B150" s="3477" t="s">
        <v>3454</v>
      </c>
      <c r="C150" s="3477" t="s">
        <v>3792</v>
      </c>
      <c r="D150" s="3477" t="s">
        <v>3464</v>
      </c>
      <c r="E150" s="3477">
        <v>14930</v>
      </c>
      <c r="F150" s="3477">
        <v>17916</v>
      </c>
      <c r="G150" s="3477" t="s">
        <v>3773</v>
      </c>
      <c r="H150" s="3477" t="s">
        <v>3457</v>
      </c>
      <c r="I150" s="3477" t="s">
        <v>3408</v>
      </c>
      <c r="J150" s="3477" t="s">
        <v>3427</v>
      </c>
      <c r="K150" s="3477" t="s">
        <v>3788</v>
      </c>
      <c r="L150" s="3477" t="s">
        <v>3788</v>
      </c>
      <c r="M150" s="3477" t="s">
        <v>3460</v>
      </c>
      <c r="N150" s="3477" t="s">
        <v>3789</v>
      </c>
      <c r="O150" s="3477">
        <v>11461</v>
      </c>
      <c r="P150" s="3477">
        <v>2300</v>
      </c>
      <c r="Q150" s="3477" t="s">
        <v>3790</v>
      </c>
      <c r="R150" s="3477">
        <v>11461</v>
      </c>
      <c r="S150" s="3477">
        <v>6397</v>
      </c>
      <c r="T150" s="3477">
        <v>0</v>
      </c>
    </row>
    <row r="151" spans="1:20" ht="14.25">
      <c r="A151" s="3477" t="s">
        <v>3793</v>
      </c>
      <c r="B151" s="3477" t="s">
        <v>3454</v>
      </c>
      <c r="C151" s="3477" t="s">
        <v>3794</v>
      </c>
      <c r="D151" s="3477" t="s">
        <v>3464</v>
      </c>
      <c r="E151" s="3477">
        <v>18393</v>
      </c>
      <c r="F151" s="3477">
        <v>20232.3</v>
      </c>
      <c r="G151" s="3477" t="s">
        <v>3682</v>
      </c>
      <c r="H151" s="3477" t="s">
        <v>3457</v>
      </c>
      <c r="I151" s="3477" t="s">
        <v>3408</v>
      </c>
      <c r="J151" s="3477" t="s">
        <v>3427</v>
      </c>
      <c r="K151" s="3477" t="s">
        <v>3788</v>
      </c>
      <c r="L151" s="3477" t="s">
        <v>3788</v>
      </c>
      <c r="M151" s="3477" t="s">
        <v>3460</v>
      </c>
      <c r="N151" s="3477" t="s">
        <v>3789</v>
      </c>
      <c r="O151" s="3477">
        <v>14161</v>
      </c>
      <c r="P151" s="3477">
        <v>2840</v>
      </c>
      <c r="Q151" s="3477" t="s">
        <v>3790</v>
      </c>
      <c r="R151" s="3477">
        <v>14161</v>
      </c>
      <c r="S151" s="3477">
        <v>6999</v>
      </c>
      <c r="T151" s="3477">
        <v>0</v>
      </c>
    </row>
    <row r="152" spans="1:20" ht="14.25">
      <c r="A152" s="3477" t="s">
        <v>3795</v>
      </c>
      <c r="B152" s="3477" t="s">
        <v>3454</v>
      </c>
      <c r="C152" s="3477" t="s">
        <v>3796</v>
      </c>
      <c r="D152" s="3477" t="s">
        <v>3464</v>
      </c>
      <c r="E152" s="3477">
        <v>54622</v>
      </c>
      <c r="F152" s="3477">
        <v>60084.2</v>
      </c>
      <c r="G152" s="3477" t="s">
        <v>3682</v>
      </c>
      <c r="H152" s="3477" t="s">
        <v>3457</v>
      </c>
      <c r="I152" s="3477" t="s">
        <v>3408</v>
      </c>
      <c r="J152" s="3477" t="s">
        <v>3427</v>
      </c>
      <c r="K152" s="3477" t="s">
        <v>3788</v>
      </c>
      <c r="L152" s="3477" t="s">
        <v>3788</v>
      </c>
      <c r="M152" s="3477" t="s">
        <v>3460</v>
      </c>
      <c r="N152" s="3477" t="s">
        <v>3789</v>
      </c>
      <c r="O152" s="3477">
        <v>42008</v>
      </c>
      <c r="P152" s="3477">
        <v>9070</v>
      </c>
      <c r="Q152" s="3477" t="s">
        <v>3790</v>
      </c>
      <c r="R152" s="3477">
        <v>42008</v>
      </c>
      <c r="S152" s="3477">
        <v>6992</v>
      </c>
      <c r="T152" s="3477">
        <v>0</v>
      </c>
    </row>
    <row r="153" spans="1:20" ht="14.25">
      <c r="A153" s="3477" t="s">
        <v>3797</v>
      </c>
      <c r="B153" s="3477" t="s">
        <v>3454</v>
      </c>
      <c r="C153" s="3477" t="s">
        <v>3798</v>
      </c>
      <c r="D153" s="3477" t="s">
        <v>3464</v>
      </c>
      <c r="E153" s="3477">
        <v>14755</v>
      </c>
      <c r="F153" s="3477">
        <v>17706</v>
      </c>
      <c r="G153" s="3477" t="s">
        <v>3773</v>
      </c>
      <c r="H153" s="3477" t="s">
        <v>3457</v>
      </c>
      <c r="I153" s="3477" t="s">
        <v>3408</v>
      </c>
      <c r="J153" s="3477" t="s">
        <v>3427</v>
      </c>
      <c r="K153" s="3477" t="s">
        <v>3788</v>
      </c>
      <c r="L153" s="3477" t="s">
        <v>3788</v>
      </c>
      <c r="M153" s="3477" t="s">
        <v>3460</v>
      </c>
      <c r="N153" s="3477" t="s">
        <v>3789</v>
      </c>
      <c r="O153" s="3477">
        <v>11325</v>
      </c>
      <c r="P153" s="3477">
        <v>2270</v>
      </c>
      <c r="Q153" s="3477" t="s">
        <v>3790</v>
      </c>
      <c r="R153" s="3477">
        <v>11325</v>
      </c>
      <c r="S153" s="3477">
        <v>6396</v>
      </c>
      <c r="T153" s="3477">
        <v>0</v>
      </c>
    </row>
    <row r="154" spans="1:20" ht="14.25">
      <c r="A154" s="3477" t="s">
        <v>3799</v>
      </c>
      <c r="B154" s="3477" t="s">
        <v>3454</v>
      </c>
      <c r="C154" s="3477" t="s">
        <v>3800</v>
      </c>
      <c r="D154" s="3477" t="s">
        <v>3464</v>
      </c>
      <c r="E154" s="3477">
        <v>5978</v>
      </c>
      <c r="F154" s="3477">
        <v>8967</v>
      </c>
      <c r="G154" s="3477" t="s">
        <v>3750</v>
      </c>
      <c r="H154" s="3477" t="s">
        <v>3457</v>
      </c>
      <c r="I154" s="3477" t="s">
        <v>3751</v>
      </c>
      <c r="J154" s="3477" t="s">
        <v>3427</v>
      </c>
      <c r="K154" s="3477" t="s">
        <v>3788</v>
      </c>
      <c r="L154" s="3477" t="s">
        <v>3788</v>
      </c>
      <c r="M154" s="3477" t="s">
        <v>3460</v>
      </c>
      <c r="N154" s="3477" t="s">
        <v>3789</v>
      </c>
      <c r="O154" s="3477">
        <v>2718</v>
      </c>
      <c r="P154" s="3477">
        <v>550</v>
      </c>
      <c r="Q154" s="3477" t="s">
        <v>3790</v>
      </c>
      <c r="R154" s="3477">
        <v>2718</v>
      </c>
      <c r="S154" s="3477">
        <v>3031</v>
      </c>
      <c r="T154" s="3477">
        <v>0</v>
      </c>
    </row>
    <row r="155" spans="1:20" ht="14.25">
      <c r="A155" s="3477" t="s">
        <v>3801</v>
      </c>
      <c r="B155" s="3477" t="s">
        <v>3454</v>
      </c>
      <c r="C155" s="3477" t="s">
        <v>3802</v>
      </c>
      <c r="D155" s="3477" t="s">
        <v>3464</v>
      </c>
      <c r="E155" s="3477">
        <v>62665</v>
      </c>
      <c r="F155" s="3477">
        <v>68931.5</v>
      </c>
      <c r="G155" s="3477" t="s">
        <v>3682</v>
      </c>
      <c r="H155" s="3477" t="s">
        <v>3457</v>
      </c>
      <c r="I155" s="3477" t="s">
        <v>3408</v>
      </c>
      <c r="J155" s="3477" t="s">
        <v>3427</v>
      </c>
      <c r="K155" s="3477" t="s">
        <v>3788</v>
      </c>
      <c r="L155" s="3477" t="s">
        <v>3788</v>
      </c>
      <c r="M155" s="3477" t="s">
        <v>3460</v>
      </c>
      <c r="N155" s="3477" t="s">
        <v>3803</v>
      </c>
      <c r="O155" s="3477">
        <v>47000</v>
      </c>
      <c r="P155" s="3477">
        <v>9400</v>
      </c>
      <c r="Q155" s="3477" t="s">
        <v>3790</v>
      </c>
      <c r="R155" s="3477">
        <v>47000</v>
      </c>
      <c r="S155" s="3477">
        <v>6818</v>
      </c>
      <c r="T155" s="3477">
        <v>0</v>
      </c>
    </row>
    <row r="156" spans="1:20" ht="14.25">
      <c r="A156" s="3477" t="s">
        <v>3804</v>
      </c>
      <c r="B156" s="3477" t="s">
        <v>3454</v>
      </c>
      <c r="C156" s="3477" t="s">
        <v>3805</v>
      </c>
      <c r="D156" s="3477" t="s">
        <v>3464</v>
      </c>
      <c r="E156" s="3477">
        <v>15780</v>
      </c>
      <c r="F156" s="3477">
        <v>17358</v>
      </c>
      <c r="G156" s="3477" t="s">
        <v>3682</v>
      </c>
      <c r="H156" s="3477" t="s">
        <v>3457</v>
      </c>
      <c r="I156" s="3477" t="s">
        <v>3408</v>
      </c>
      <c r="J156" s="3477" t="s">
        <v>3427</v>
      </c>
      <c r="K156" s="3477" t="s">
        <v>3788</v>
      </c>
      <c r="L156" s="3477" t="s">
        <v>3788</v>
      </c>
      <c r="M156" s="3477" t="s">
        <v>3460</v>
      </c>
      <c r="N156" s="3477" t="s">
        <v>3789</v>
      </c>
      <c r="O156" s="3477">
        <v>12146</v>
      </c>
      <c r="P156" s="3477">
        <v>2440</v>
      </c>
      <c r="Q156" s="3477" t="s">
        <v>3790</v>
      </c>
      <c r="R156" s="3477">
        <v>12146</v>
      </c>
      <c r="S156" s="3477">
        <v>6997</v>
      </c>
      <c r="T156" s="3477">
        <v>0</v>
      </c>
    </row>
    <row r="157" spans="1:20" ht="14.25">
      <c r="A157" s="3477" t="s">
        <v>3806</v>
      </c>
      <c r="B157" s="3477" t="s">
        <v>3454</v>
      </c>
      <c r="C157" s="3477" t="s">
        <v>3807</v>
      </c>
      <c r="D157" s="3477" t="s">
        <v>3464</v>
      </c>
      <c r="E157" s="3477">
        <v>51400</v>
      </c>
      <c r="F157" s="3477">
        <v>56540</v>
      </c>
      <c r="G157" s="3477" t="s">
        <v>3682</v>
      </c>
      <c r="H157" s="3477" t="s">
        <v>3457</v>
      </c>
      <c r="I157" s="3477" t="s">
        <v>3408</v>
      </c>
      <c r="J157" s="3477" t="s">
        <v>3427</v>
      </c>
      <c r="K157" s="3477" t="s">
        <v>3788</v>
      </c>
      <c r="L157" s="3477" t="s">
        <v>3788</v>
      </c>
      <c r="M157" s="3477" t="s">
        <v>3460</v>
      </c>
      <c r="N157" s="3477" t="s">
        <v>3789</v>
      </c>
      <c r="O157" s="3477">
        <v>39550</v>
      </c>
      <c r="P157" s="3477">
        <v>8400</v>
      </c>
      <c r="Q157" s="3477" t="s">
        <v>3790</v>
      </c>
      <c r="R157" s="3477">
        <v>39550</v>
      </c>
      <c r="S157" s="3477">
        <v>6995</v>
      </c>
      <c r="T157" s="3477">
        <v>0</v>
      </c>
    </row>
    <row r="158" spans="1:20" ht="14.25">
      <c r="A158" s="3477" t="s">
        <v>3808</v>
      </c>
      <c r="B158" s="3477" t="s">
        <v>3454</v>
      </c>
      <c r="C158" s="3477" t="s">
        <v>3809</v>
      </c>
      <c r="D158" s="3477" t="s">
        <v>3464</v>
      </c>
      <c r="E158" s="3477">
        <v>29618</v>
      </c>
      <c r="F158" s="3477">
        <v>32579.8</v>
      </c>
      <c r="G158" s="3477" t="s">
        <v>3682</v>
      </c>
      <c r="H158" s="3477" t="s">
        <v>3457</v>
      </c>
      <c r="I158" s="3477" t="s">
        <v>3408</v>
      </c>
      <c r="J158" s="3477" t="s">
        <v>3427</v>
      </c>
      <c r="K158" s="3477" t="s">
        <v>3788</v>
      </c>
      <c r="L158" s="3477" t="s">
        <v>3788</v>
      </c>
      <c r="M158" s="3477" t="s">
        <v>3460</v>
      </c>
      <c r="N158" s="3477" t="s">
        <v>3803</v>
      </c>
      <c r="O158" s="3477">
        <v>22220</v>
      </c>
      <c r="P158" s="3477">
        <v>4450</v>
      </c>
      <c r="Q158" s="3477" t="s">
        <v>3790</v>
      </c>
      <c r="R158" s="3477">
        <v>25720</v>
      </c>
      <c r="S158" s="3477">
        <v>7894</v>
      </c>
      <c r="T158" s="3477">
        <v>15.75</v>
      </c>
    </row>
    <row r="159" spans="1:20" ht="14.25">
      <c r="A159" s="3477" t="s">
        <v>3810</v>
      </c>
      <c r="B159" s="3477" t="s">
        <v>3454</v>
      </c>
      <c r="C159" s="3477" t="s">
        <v>3811</v>
      </c>
      <c r="D159" s="3477" t="s">
        <v>3455</v>
      </c>
      <c r="E159" s="3477">
        <v>2035</v>
      </c>
      <c r="F159" s="3477">
        <v>5291</v>
      </c>
      <c r="G159" s="3477" t="s">
        <v>3546</v>
      </c>
      <c r="H159" s="3477" t="s">
        <v>3457</v>
      </c>
      <c r="I159" s="3477" t="s">
        <v>3407</v>
      </c>
      <c r="J159" s="3477" t="s">
        <v>3427</v>
      </c>
      <c r="K159" s="3477" t="s">
        <v>3788</v>
      </c>
      <c r="L159" s="3477" t="s">
        <v>3788</v>
      </c>
      <c r="M159" s="3477" t="s">
        <v>3460</v>
      </c>
      <c r="N159" s="3477" t="s">
        <v>3812</v>
      </c>
      <c r="O159" s="3477">
        <v>1772</v>
      </c>
      <c r="P159" s="3477">
        <v>355</v>
      </c>
      <c r="Q159" s="3477" t="s">
        <v>3790</v>
      </c>
      <c r="R159" s="3477">
        <v>1772</v>
      </c>
      <c r="S159" s="3477">
        <v>3349</v>
      </c>
      <c r="T159" s="3477">
        <v>0</v>
      </c>
    </row>
    <row r="160" spans="1:20" ht="14.25">
      <c r="A160" s="3477" t="s">
        <v>3813</v>
      </c>
      <c r="B160" s="3477" t="s">
        <v>3454</v>
      </c>
      <c r="C160" s="3477" t="s">
        <v>3814</v>
      </c>
      <c r="D160" s="3477" t="s">
        <v>3464</v>
      </c>
      <c r="E160" s="3477">
        <v>37590</v>
      </c>
      <c r="F160" s="3477">
        <v>41349</v>
      </c>
      <c r="G160" s="3477" t="s">
        <v>3682</v>
      </c>
      <c r="H160" s="3477" t="s">
        <v>3457</v>
      </c>
      <c r="I160" s="3477" t="s">
        <v>3408</v>
      </c>
      <c r="J160" s="3477" t="s">
        <v>3427</v>
      </c>
      <c r="K160" s="3477" t="s">
        <v>3788</v>
      </c>
      <c r="L160" s="3477" t="s">
        <v>3788</v>
      </c>
      <c r="M160" s="3477" t="s">
        <v>3460</v>
      </c>
      <c r="N160" s="3477" t="s">
        <v>3803</v>
      </c>
      <c r="O160" s="3477">
        <v>28200</v>
      </c>
      <c r="P160" s="3477">
        <v>5640</v>
      </c>
      <c r="Q160" s="3477" t="s">
        <v>3790</v>
      </c>
      <c r="R160" s="3477">
        <v>30700</v>
      </c>
      <c r="S160" s="3477">
        <v>7425</v>
      </c>
      <c r="T160" s="3477">
        <v>8.8699999999999992</v>
      </c>
    </row>
    <row r="161" spans="1:20" ht="14.25">
      <c r="A161" s="3477" t="s">
        <v>3815</v>
      </c>
      <c r="B161" s="3477" t="s">
        <v>3454</v>
      </c>
      <c r="C161" s="3477" t="s">
        <v>3816</v>
      </c>
      <c r="D161" s="3477" t="s">
        <v>3464</v>
      </c>
      <c r="E161" s="3477">
        <v>43237</v>
      </c>
      <c r="F161" s="3477">
        <v>47560.7</v>
      </c>
      <c r="G161" s="3477" t="s">
        <v>3682</v>
      </c>
      <c r="H161" s="3477" t="s">
        <v>3457</v>
      </c>
      <c r="I161" s="3477" t="s">
        <v>3408</v>
      </c>
      <c r="J161" s="3477" t="s">
        <v>3427</v>
      </c>
      <c r="K161" s="3477" t="s">
        <v>3788</v>
      </c>
      <c r="L161" s="3477" t="s">
        <v>3788</v>
      </c>
      <c r="M161" s="3477" t="s">
        <v>3460</v>
      </c>
      <c r="N161" s="3477" t="s">
        <v>3789</v>
      </c>
      <c r="O161" s="3477">
        <v>33274</v>
      </c>
      <c r="P161" s="3477">
        <v>6660</v>
      </c>
      <c r="Q161" s="3477" t="s">
        <v>3790</v>
      </c>
      <c r="R161" s="3477">
        <v>33274</v>
      </c>
      <c r="S161" s="3477">
        <v>6996</v>
      </c>
      <c r="T161" s="3477">
        <v>0</v>
      </c>
    </row>
    <row r="162" spans="1:20" ht="14.25">
      <c r="A162" s="3477" t="s">
        <v>3817</v>
      </c>
      <c r="B162" s="3477" t="s">
        <v>3454</v>
      </c>
      <c r="C162" s="3477" t="s">
        <v>3818</v>
      </c>
      <c r="D162" s="3477" t="s">
        <v>3464</v>
      </c>
      <c r="E162" s="3477">
        <v>18776</v>
      </c>
      <c r="F162" s="3477">
        <v>20653.599999999999</v>
      </c>
      <c r="G162" s="3477" t="s">
        <v>3682</v>
      </c>
      <c r="H162" s="3477" t="s">
        <v>3457</v>
      </c>
      <c r="I162" s="3477" t="s">
        <v>3408</v>
      </c>
      <c r="J162" s="3477" t="s">
        <v>3427</v>
      </c>
      <c r="K162" s="3477" t="s">
        <v>3788</v>
      </c>
      <c r="L162" s="3477" t="s">
        <v>3788</v>
      </c>
      <c r="M162" s="3477" t="s">
        <v>3460</v>
      </c>
      <c r="N162" s="3477" t="s">
        <v>3789</v>
      </c>
      <c r="O162" s="3477">
        <v>14450</v>
      </c>
      <c r="P162" s="3477">
        <v>2900</v>
      </c>
      <c r="Q162" s="3477" t="s">
        <v>3790</v>
      </c>
      <c r="R162" s="3477">
        <v>14450</v>
      </c>
      <c r="S162" s="3477">
        <v>6996</v>
      </c>
      <c r="T162" s="3477">
        <v>0</v>
      </c>
    </row>
    <row r="163" spans="1:20" ht="14.25">
      <c r="A163" s="3477" t="s">
        <v>3819</v>
      </c>
      <c r="B163" s="3477" t="s">
        <v>3454</v>
      </c>
      <c r="C163" s="3477" t="s">
        <v>3820</v>
      </c>
      <c r="D163" s="3477" t="s">
        <v>3464</v>
      </c>
      <c r="E163" s="3477">
        <v>45864</v>
      </c>
      <c r="F163" s="3477">
        <v>55036.800000000003</v>
      </c>
      <c r="G163" s="3477" t="s">
        <v>3773</v>
      </c>
      <c r="H163" s="3477" t="s">
        <v>3457</v>
      </c>
      <c r="I163" s="3477" t="s">
        <v>3408</v>
      </c>
      <c r="J163" s="3477" t="s">
        <v>3427</v>
      </c>
      <c r="K163" s="3477" t="s">
        <v>3788</v>
      </c>
      <c r="L163" s="3477" t="s">
        <v>3788</v>
      </c>
      <c r="M163" s="3477" t="s">
        <v>3460</v>
      </c>
      <c r="N163" s="3477" t="s">
        <v>3789</v>
      </c>
      <c r="O163" s="3477">
        <v>35209</v>
      </c>
      <c r="P163" s="3477">
        <v>7600</v>
      </c>
      <c r="Q163" s="3477" t="s">
        <v>3790</v>
      </c>
      <c r="R163" s="3477">
        <v>35209</v>
      </c>
      <c r="S163" s="3477">
        <v>6397</v>
      </c>
      <c r="T163" s="3477">
        <v>0</v>
      </c>
    </row>
    <row r="164" spans="1:20" ht="14.25">
      <c r="A164" s="3477" t="s">
        <v>3821</v>
      </c>
      <c r="B164" s="3477" t="s">
        <v>3454</v>
      </c>
      <c r="C164" s="3477" t="s">
        <v>3822</v>
      </c>
      <c r="D164" s="3477" t="s">
        <v>3464</v>
      </c>
      <c r="E164" s="3477">
        <v>52385</v>
      </c>
      <c r="F164" s="3477">
        <v>57623.5</v>
      </c>
      <c r="G164" s="3477" t="s">
        <v>3682</v>
      </c>
      <c r="H164" s="3477" t="s">
        <v>3457</v>
      </c>
      <c r="I164" s="3477" t="s">
        <v>3408</v>
      </c>
      <c r="J164" s="3477" t="s">
        <v>3427</v>
      </c>
      <c r="K164" s="3477" t="s">
        <v>3788</v>
      </c>
      <c r="L164" s="3477" t="s">
        <v>3788</v>
      </c>
      <c r="M164" s="3477" t="s">
        <v>3460</v>
      </c>
      <c r="N164" s="3477" t="s">
        <v>3789</v>
      </c>
      <c r="O164" s="3477">
        <v>40319</v>
      </c>
      <c r="P164" s="3477">
        <v>8070</v>
      </c>
      <c r="Q164" s="3477" t="s">
        <v>3790</v>
      </c>
      <c r="R164" s="3477">
        <v>40319</v>
      </c>
      <c r="S164" s="3477">
        <v>6997</v>
      </c>
      <c r="T164" s="3477">
        <v>0</v>
      </c>
    </row>
    <row r="165" spans="1:20" ht="14.25">
      <c r="A165" s="3477" t="s">
        <v>3823</v>
      </c>
      <c r="B165" s="3477" t="s">
        <v>3454</v>
      </c>
      <c r="C165" s="3477" t="s">
        <v>3824</v>
      </c>
      <c r="D165" s="3477" t="s">
        <v>3464</v>
      </c>
      <c r="E165" s="3477">
        <v>21512</v>
      </c>
      <c r="F165" s="3477">
        <v>25814.400000000001</v>
      </c>
      <c r="G165" s="3477" t="s">
        <v>3773</v>
      </c>
      <c r="H165" s="3477" t="s">
        <v>3457</v>
      </c>
      <c r="I165" s="3477" t="s">
        <v>3408</v>
      </c>
      <c r="J165" s="3477" t="s">
        <v>3427</v>
      </c>
      <c r="K165" s="3477" t="s">
        <v>3788</v>
      </c>
      <c r="L165" s="3477" t="s">
        <v>3788</v>
      </c>
      <c r="M165" s="3477" t="s">
        <v>3460</v>
      </c>
      <c r="N165" s="3477" t="s">
        <v>3789</v>
      </c>
      <c r="O165" s="3477">
        <v>16506</v>
      </c>
      <c r="P165" s="3477">
        <v>3310</v>
      </c>
      <c r="Q165" s="3477" t="s">
        <v>3790</v>
      </c>
      <c r="R165" s="3477">
        <v>16506</v>
      </c>
      <c r="S165" s="3477">
        <v>6394</v>
      </c>
      <c r="T165" s="3477">
        <v>0</v>
      </c>
    </row>
    <row r="166" spans="1:20" ht="14.25">
      <c r="A166" s="3477" t="s">
        <v>3825</v>
      </c>
      <c r="B166" s="3477" t="s">
        <v>3454</v>
      </c>
      <c r="C166" s="3477" t="s">
        <v>3826</v>
      </c>
      <c r="D166" s="3477" t="s">
        <v>3455</v>
      </c>
      <c r="E166" s="3477">
        <v>6923</v>
      </c>
      <c r="F166" s="3477">
        <v>27692</v>
      </c>
      <c r="G166" s="3477" t="s">
        <v>3827</v>
      </c>
      <c r="H166" s="3477" t="s">
        <v>3457</v>
      </c>
      <c r="I166" s="3477" t="s">
        <v>3407</v>
      </c>
      <c r="J166" s="3477" t="s">
        <v>3427</v>
      </c>
      <c r="K166" s="3477" t="s">
        <v>3828</v>
      </c>
      <c r="L166" s="3477" t="s">
        <v>3828</v>
      </c>
      <c r="M166" s="3477" t="s">
        <v>3460</v>
      </c>
      <c r="N166" s="3477" t="s">
        <v>3829</v>
      </c>
      <c r="O166" s="3477">
        <v>11215</v>
      </c>
      <c r="P166" s="3477">
        <v>2300</v>
      </c>
      <c r="Q166" s="3477" t="s">
        <v>3830</v>
      </c>
      <c r="R166" s="3477">
        <v>11215</v>
      </c>
      <c r="S166" s="3477">
        <v>4050</v>
      </c>
      <c r="T166" s="3477">
        <v>0</v>
      </c>
    </row>
    <row r="167" spans="1:20" ht="14.25">
      <c r="A167" s="3477" t="s">
        <v>3831</v>
      </c>
      <c r="B167" s="3477" t="s">
        <v>3454</v>
      </c>
      <c r="C167" s="3477" t="s">
        <v>3832</v>
      </c>
      <c r="D167" s="3477" t="s">
        <v>3455</v>
      </c>
      <c r="E167" s="3477">
        <v>30609</v>
      </c>
      <c r="F167" s="3477">
        <v>30609</v>
      </c>
      <c r="G167" s="3477" t="s">
        <v>3833</v>
      </c>
      <c r="H167" s="3477" t="s">
        <v>3457</v>
      </c>
      <c r="I167" s="3477" t="s">
        <v>3458</v>
      </c>
      <c r="J167" s="3477" t="s">
        <v>3427</v>
      </c>
      <c r="K167" s="3477" t="s">
        <v>3834</v>
      </c>
      <c r="L167" s="3477" t="s">
        <v>3834</v>
      </c>
      <c r="M167" s="3477" t="s">
        <v>3460</v>
      </c>
      <c r="N167" s="3477" t="s">
        <v>3835</v>
      </c>
      <c r="O167" s="3477">
        <v>21733</v>
      </c>
      <c r="P167" s="3477">
        <v>4350</v>
      </c>
      <c r="Q167" s="3477" t="s">
        <v>3836</v>
      </c>
      <c r="R167" s="3477">
        <v>21733</v>
      </c>
      <c r="S167" s="3477">
        <v>7100</v>
      </c>
      <c r="T167" s="3477">
        <v>0</v>
      </c>
    </row>
    <row r="168" spans="1:20" ht="14.25">
      <c r="A168" s="3477" t="s">
        <v>3837</v>
      </c>
      <c r="B168" s="3477" t="s">
        <v>3454</v>
      </c>
      <c r="C168" s="3477" t="s">
        <v>3838</v>
      </c>
      <c r="D168" s="3477" t="s">
        <v>3464</v>
      </c>
      <c r="E168" s="3477">
        <v>42325</v>
      </c>
      <c r="F168" s="3477">
        <v>76185</v>
      </c>
      <c r="G168" s="3477" t="s">
        <v>3496</v>
      </c>
      <c r="H168" s="3477" t="s">
        <v>3457</v>
      </c>
      <c r="I168" s="3477" t="s">
        <v>3408</v>
      </c>
      <c r="J168" s="3477" t="s">
        <v>3427</v>
      </c>
      <c r="K168" s="3477" t="s">
        <v>3839</v>
      </c>
      <c r="L168" s="3477" t="s">
        <v>3839</v>
      </c>
      <c r="M168" s="3477" t="s">
        <v>3460</v>
      </c>
      <c r="N168" s="3477" t="s">
        <v>3840</v>
      </c>
      <c r="O168" s="3477">
        <v>13976</v>
      </c>
      <c r="P168" s="3477">
        <v>13976</v>
      </c>
      <c r="Q168" s="3477" t="s">
        <v>3841</v>
      </c>
      <c r="R168" s="3477">
        <v>13976</v>
      </c>
      <c r="S168" s="3477">
        <v>1834</v>
      </c>
      <c r="T168" s="3477">
        <v>0</v>
      </c>
    </row>
    <row r="169" spans="1:20" ht="14.25">
      <c r="A169" s="3477" t="s">
        <v>3842</v>
      </c>
      <c r="B169" s="3477" t="s">
        <v>3454</v>
      </c>
      <c r="C169" s="3477" t="s">
        <v>3843</v>
      </c>
      <c r="D169" s="3477" t="s">
        <v>3455</v>
      </c>
      <c r="E169" s="3477">
        <v>9772</v>
      </c>
      <c r="F169" s="3477">
        <v>14658</v>
      </c>
      <c r="G169" s="3477" t="s">
        <v>3505</v>
      </c>
      <c r="H169" s="3477" t="s">
        <v>3457</v>
      </c>
      <c r="I169" s="3477" t="s">
        <v>3458</v>
      </c>
      <c r="J169" s="3477" t="s">
        <v>3427</v>
      </c>
      <c r="K169" s="3477" t="s">
        <v>3839</v>
      </c>
      <c r="L169" s="3477" t="s">
        <v>3839</v>
      </c>
      <c r="M169" s="3477" t="s">
        <v>3460</v>
      </c>
      <c r="N169" s="3477" t="s">
        <v>3844</v>
      </c>
      <c r="O169" s="3477">
        <v>1979</v>
      </c>
      <c r="P169" s="3477">
        <v>1979</v>
      </c>
      <c r="Q169" s="3477" t="s">
        <v>3841</v>
      </c>
      <c r="R169" s="3477">
        <v>1999</v>
      </c>
      <c r="S169" s="3477">
        <v>1364</v>
      </c>
      <c r="T169" s="3477">
        <v>1.01</v>
      </c>
    </row>
    <row r="170" spans="1:20" ht="14.25">
      <c r="A170" s="3477" t="s">
        <v>3845</v>
      </c>
      <c r="B170" s="3477" t="s">
        <v>3454</v>
      </c>
      <c r="C170" s="3477" t="s">
        <v>3845</v>
      </c>
      <c r="D170" s="3477" t="s">
        <v>3464</v>
      </c>
      <c r="E170" s="3477">
        <v>103684</v>
      </c>
      <c r="F170" s="3477">
        <v>165894.39999999999</v>
      </c>
      <c r="G170" s="3477" t="s">
        <v>3846</v>
      </c>
      <c r="H170" s="3477" t="s">
        <v>3457</v>
      </c>
      <c r="I170" s="3477" t="s">
        <v>3408</v>
      </c>
      <c r="J170" s="3477" t="s">
        <v>3427</v>
      </c>
      <c r="K170" s="3477" t="s">
        <v>3839</v>
      </c>
      <c r="L170" s="3477" t="s">
        <v>3839</v>
      </c>
      <c r="M170" s="3477" t="s">
        <v>3460</v>
      </c>
      <c r="N170" s="3477" t="s">
        <v>3847</v>
      </c>
      <c r="O170" s="3477">
        <v>23330</v>
      </c>
      <c r="P170" s="3477">
        <v>11665</v>
      </c>
      <c r="Q170" s="3477" t="s">
        <v>3848</v>
      </c>
      <c r="R170" s="3477">
        <v>23330</v>
      </c>
      <c r="S170" s="3477">
        <v>1406</v>
      </c>
      <c r="T170" s="3477">
        <v>0</v>
      </c>
    </row>
    <row r="171" spans="1:20" ht="14.25">
      <c r="A171" s="3477" t="s">
        <v>3849</v>
      </c>
      <c r="B171" s="3477" t="s">
        <v>3454</v>
      </c>
      <c r="C171" s="3477" t="s">
        <v>3849</v>
      </c>
      <c r="D171" s="3477" t="s">
        <v>3455</v>
      </c>
      <c r="E171" s="3477">
        <v>9759</v>
      </c>
      <c r="F171" s="3477">
        <v>19518</v>
      </c>
      <c r="G171" s="3477" t="s">
        <v>3850</v>
      </c>
      <c r="H171" s="3477" t="s">
        <v>3457</v>
      </c>
      <c r="I171" s="3477" t="s">
        <v>3407</v>
      </c>
      <c r="J171" s="3477" t="s">
        <v>3427</v>
      </c>
      <c r="K171" s="3477" t="s">
        <v>3839</v>
      </c>
      <c r="L171" s="3477" t="s">
        <v>3839</v>
      </c>
      <c r="M171" s="3477" t="s">
        <v>3460</v>
      </c>
      <c r="N171" s="3477" t="s">
        <v>3851</v>
      </c>
      <c r="O171" s="3477">
        <v>1947</v>
      </c>
      <c r="P171" s="3477">
        <v>1947</v>
      </c>
      <c r="Q171" s="3477" t="s">
        <v>3848</v>
      </c>
      <c r="R171" s="3477">
        <v>1947</v>
      </c>
      <c r="S171" s="3477">
        <v>998</v>
      </c>
      <c r="T171" s="3477">
        <v>0</v>
      </c>
    </row>
    <row r="172" spans="1:20" ht="14.25">
      <c r="A172" s="3477" t="s">
        <v>3852</v>
      </c>
      <c r="B172" s="3477" t="s">
        <v>3454</v>
      </c>
      <c r="C172" s="3477" t="s">
        <v>3853</v>
      </c>
      <c r="D172" s="3477" t="s">
        <v>3464</v>
      </c>
      <c r="E172" s="3477">
        <v>50083</v>
      </c>
      <c r="F172" s="3477">
        <v>80132.800000000003</v>
      </c>
      <c r="G172" s="3477" t="s">
        <v>3854</v>
      </c>
      <c r="H172" s="3477" t="s">
        <v>3457</v>
      </c>
      <c r="I172" s="3477" t="s">
        <v>3408</v>
      </c>
      <c r="J172" s="3477" t="s">
        <v>3427</v>
      </c>
      <c r="K172" s="3477" t="s">
        <v>3839</v>
      </c>
      <c r="L172" s="3477" t="s">
        <v>3839</v>
      </c>
      <c r="M172" s="3477" t="s">
        <v>3460</v>
      </c>
      <c r="N172" s="3477" t="s">
        <v>3855</v>
      </c>
      <c r="O172" s="3477">
        <v>17054</v>
      </c>
      <c r="P172" s="3477">
        <v>17054</v>
      </c>
      <c r="Q172" s="3477" t="s">
        <v>3841</v>
      </c>
      <c r="R172" s="3477">
        <v>17054</v>
      </c>
      <c r="S172" s="3477">
        <v>2128</v>
      </c>
      <c r="T172" s="3477">
        <v>0</v>
      </c>
    </row>
    <row r="173" spans="1:20" ht="14.25">
      <c r="A173" s="3477" t="s">
        <v>3856</v>
      </c>
      <c r="B173" s="3477" t="s">
        <v>3454</v>
      </c>
      <c r="C173" s="3477" t="s">
        <v>3857</v>
      </c>
      <c r="D173" s="3477" t="s">
        <v>3464</v>
      </c>
      <c r="E173" s="3477">
        <v>40986</v>
      </c>
      <c r="F173" s="3477">
        <v>73774.8</v>
      </c>
      <c r="G173" s="3477" t="s">
        <v>3496</v>
      </c>
      <c r="H173" s="3477" t="s">
        <v>3457</v>
      </c>
      <c r="I173" s="3477" t="s">
        <v>3408</v>
      </c>
      <c r="J173" s="3477" t="s">
        <v>3427</v>
      </c>
      <c r="K173" s="3477" t="s">
        <v>3839</v>
      </c>
      <c r="L173" s="3477" t="s">
        <v>3839</v>
      </c>
      <c r="M173" s="3477" t="s">
        <v>3460</v>
      </c>
      <c r="N173" s="3477" t="s">
        <v>3858</v>
      </c>
      <c r="O173" s="3477">
        <v>13534</v>
      </c>
      <c r="P173" s="3477">
        <v>13534</v>
      </c>
      <c r="Q173" s="3477" t="s">
        <v>3841</v>
      </c>
      <c r="R173" s="3477">
        <v>13534</v>
      </c>
      <c r="S173" s="3477">
        <v>1835</v>
      </c>
      <c r="T173" s="3477">
        <v>0</v>
      </c>
    </row>
    <row r="174" spans="1:20" ht="14.25">
      <c r="A174" s="3477" t="s">
        <v>3859</v>
      </c>
      <c r="B174" s="3477" t="s">
        <v>3454</v>
      </c>
      <c r="C174" s="3477" t="s">
        <v>3860</v>
      </c>
      <c r="D174" s="3477" t="s">
        <v>3455</v>
      </c>
      <c r="E174" s="3477">
        <v>8004</v>
      </c>
      <c r="F174" s="3477">
        <v>16008</v>
      </c>
      <c r="G174" s="3477" t="s">
        <v>3456</v>
      </c>
      <c r="H174" s="3477" t="s">
        <v>3457</v>
      </c>
      <c r="I174" s="3477" t="s">
        <v>3458</v>
      </c>
      <c r="J174" s="3477" t="s">
        <v>3427</v>
      </c>
      <c r="K174" s="3477" t="s">
        <v>3839</v>
      </c>
      <c r="L174" s="3477" t="s">
        <v>3839</v>
      </c>
      <c r="M174" s="3477" t="s">
        <v>3460</v>
      </c>
      <c r="N174" s="3477" t="s">
        <v>3861</v>
      </c>
      <c r="O174" s="3477">
        <v>1363</v>
      </c>
      <c r="P174" s="3477">
        <v>1363</v>
      </c>
      <c r="Q174" s="3477" t="s">
        <v>3841</v>
      </c>
      <c r="R174" s="3477">
        <v>1363</v>
      </c>
      <c r="S174" s="3477">
        <v>851</v>
      </c>
      <c r="T174" s="3477">
        <v>0</v>
      </c>
    </row>
    <row r="175" spans="1:20" ht="14.25">
      <c r="A175" s="3477" t="s">
        <v>3862</v>
      </c>
      <c r="B175" s="3477" t="s">
        <v>3454</v>
      </c>
      <c r="C175" s="3477" t="s">
        <v>3863</v>
      </c>
      <c r="D175" s="3477" t="s">
        <v>3455</v>
      </c>
      <c r="E175" s="3477">
        <v>2605.8000000000002</v>
      </c>
      <c r="F175" s="3477">
        <v>3908.7</v>
      </c>
      <c r="G175" s="3477" t="s">
        <v>3505</v>
      </c>
      <c r="H175" s="3477" t="s">
        <v>3457</v>
      </c>
      <c r="I175" s="3477" t="s">
        <v>3407</v>
      </c>
      <c r="J175" s="3477" t="s">
        <v>3427</v>
      </c>
      <c r="K175" s="3477" t="s">
        <v>3864</v>
      </c>
      <c r="L175" s="3477" t="s">
        <v>3864</v>
      </c>
      <c r="M175" s="3477" t="s">
        <v>3460</v>
      </c>
      <c r="N175" s="3477" t="s">
        <v>3865</v>
      </c>
      <c r="O175" s="3477">
        <v>509</v>
      </c>
      <c r="P175" s="3477">
        <v>509</v>
      </c>
      <c r="Q175" s="3477" t="s">
        <v>3866</v>
      </c>
      <c r="R175" s="3477">
        <v>509</v>
      </c>
      <c r="S175" s="3477">
        <v>1302</v>
      </c>
      <c r="T175" s="3477">
        <v>0</v>
      </c>
    </row>
    <row r="176" spans="1:20" ht="14.25">
      <c r="A176" s="3477" t="s">
        <v>3867</v>
      </c>
      <c r="B176" s="3477" t="s">
        <v>3454</v>
      </c>
      <c r="C176" s="3477" t="s">
        <v>3868</v>
      </c>
      <c r="D176" s="3477" t="s">
        <v>3464</v>
      </c>
      <c r="E176" s="3477">
        <v>3824</v>
      </c>
      <c r="F176" s="3477">
        <v>7648</v>
      </c>
      <c r="G176" s="3477" t="s">
        <v>3728</v>
      </c>
      <c r="H176" s="3477" t="s">
        <v>3457</v>
      </c>
      <c r="I176" s="3477" t="s">
        <v>3408</v>
      </c>
      <c r="J176" s="3477" t="s">
        <v>3427</v>
      </c>
      <c r="K176" s="3477" t="s">
        <v>3864</v>
      </c>
      <c r="L176" s="3477" t="s">
        <v>3864</v>
      </c>
      <c r="M176" s="3477" t="s">
        <v>3460</v>
      </c>
      <c r="N176" s="3477" t="s">
        <v>3869</v>
      </c>
      <c r="O176" s="3477">
        <v>1276</v>
      </c>
      <c r="P176" s="3477">
        <v>1276</v>
      </c>
      <c r="Q176" s="3477" t="s">
        <v>3866</v>
      </c>
      <c r="R176" s="3477">
        <v>1276</v>
      </c>
      <c r="S176" s="3477">
        <v>1668</v>
      </c>
      <c r="T176" s="3477">
        <v>0</v>
      </c>
    </row>
    <row r="177" spans="1:20" ht="14.25">
      <c r="A177" s="3477" t="s">
        <v>3870</v>
      </c>
      <c r="B177" s="3477" t="s">
        <v>3454</v>
      </c>
      <c r="C177" s="3477" t="s">
        <v>3871</v>
      </c>
      <c r="D177" s="3477" t="s">
        <v>3464</v>
      </c>
      <c r="E177" s="3477">
        <v>25867</v>
      </c>
      <c r="F177" s="3477">
        <v>72427.600000000006</v>
      </c>
      <c r="G177" s="3477" t="s">
        <v>3872</v>
      </c>
      <c r="H177" s="3477" t="s">
        <v>3457</v>
      </c>
      <c r="I177" s="3477" t="s">
        <v>3408</v>
      </c>
      <c r="J177" s="3477" t="s">
        <v>3427</v>
      </c>
      <c r="K177" s="3477" t="s">
        <v>3873</v>
      </c>
      <c r="L177" s="3477" t="s">
        <v>3873</v>
      </c>
      <c r="M177" s="3477" t="s">
        <v>3460</v>
      </c>
      <c r="N177" s="3477" t="s">
        <v>3874</v>
      </c>
      <c r="O177" s="3477">
        <v>39738</v>
      </c>
      <c r="P177" s="3477">
        <v>7948</v>
      </c>
      <c r="Q177" s="3477" t="s">
        <v>3875</v>
      </c>
      <c r="R177" s="3477">
        <v>39738</v>
      </c>
      <c r="S177" s="3477">
        <v>5487</v>
      </c>
      <c r="T177" s="3477">
        <v>0</v>
      </c>
    </row>
    <row r="178" spans="1:20" ht="14.25">
      <c r="A178" s="3477" t="s">
        <v>3876</v>
      </c>
      <c r="B178" s="3477" t="s">
        <v>3454</v>
      </c>
      <c r="C178" s="3477" t="s">
        <v>3877</v>
      </c>
      <c r="D178" s="3477" t="s">
        <v>3455</v>
      </c>
      <c r="E178" s="3477">
        <v>14603</v>
      </c>
      <c r="F178" s="3477">
        <v>11682.4</v>
      </c>
      <c r="G178" s="3477" t="s">
        <v>3878</v>
      </c>
      <c r="H178" s="3477" t="s">
        <v>3457</v>
      </c>
      <c r="I178" s="3477" t="s">
        <v>3458</v>
      </c>
      <c r="J178" s="3477" t="s">
        <v>3427</v>
      </c>
      <c r="K178" s="3477" t="s">
        <v>3873</v>
      </c>
      <c r="L178" s="3477" t="s">
        <v>3873</v>
      </c>
      <c r="M178" s="3477" t="s">
        <v>3460</v>
      </c>
      <c r="N178" s="3477" t="s">
        <v>3879</v>
      </c>
      <c r="O178" s="3477">
        <v>3950</v>
      </c>
      <c r="P178" s="3477">
        <v>790</v>
      </c>
      <c r="Q178" s="3477" t="s">
        <v>3875</v>
      </c>
      <c r="R178" s="3477">
        <v>3950</v>
      </c>
      <c r="S178" s="3477">
        <v>3381</v>
      </c>
      <c r="T178" s="3477">
        <v>0</v>
      </c>
    </row>
    <row r="179" spans="1:20" ht="14.25">
      <c r="A179" s="3477" t="s">
        <v>3880</v>
      </c>
      <c r="B179" s="3477" t="s">
        <v>3454</v>
      </c>
      <c r="C179" s="3477" t="s">
        <v>3880</v>
      </c>
      <c r="D179" s="3477" t="s">
        <v>3455</v>
      </c>
      <c r="E179" s="3477">
        <v>35148</v>
      </c>
      <c r="F179" s="3477">
        <v>70296</v>
      </c>
      <c r="G179" s="3477" t="s">
        <v>3456</v>
      </c>
      <c r="H179" s="3477" t="s">
        <v>3457</v>
      </c>
      <c r="I179" s="3477" t="s">
        <v>3458</v>
      </c>
      <c r="J179" s="3477" t="s">
        <v>3427</v>
      </c>
      <c r="K179" s="3477" t="s">
        <v>3873</v>
      </c>
      <c r="L179" s="3477" t="s">
        <v>3873</v>
      </c>
      <c r="M179" s="3477" t="s">
        <v>3460</v>
      </c>
      <c r="N179" s="3477" t="s">
        <v>3591</v>
      </c>
      <c r="O179" s="3477">
        <v>10545</v>
      </c>
      <c r="P179" s="3477">
        <v>3200</v>
      </c>
      <c r="Q179" s="3477" t="s">
        <v>3875</v>
      </c>
      <c r="R179" s="3477">
        <v>10545</v>
      </c>
      <c r="S179" s="3477">
        <v>1500</v>
      </c>
      <c r="T179" s="3477">
        <v>0</v>
      </c>
    </row>
    <row r="180" spans="1:20" ht="14.25">
      <c r="A180" s="3477" t="s">
        <v>3881</v>
      </c>
      <c r="B180" s="3477" t="s">
        <v>3454</v>
      </c>
      <c r="C180" s="3477" t="s">
        <v>3882</v>
      </c>
      <c r="D180" s="3477" t="s">
        <v>3455</v>
      </c>
      <c r="E180" s="3477">
        <v>29047</v>
      </c>
      <c r="F180" s="3477">
        <v>23237.599999999999</v>
      </c>
      <c r="G180" s="3477" t="s">
        <v>3878</v>
      </c>
      <c r="H180" s="3477" t="s">
        <v>3457</v>
      </c>
      <c r="I180" s="3477" t="s">
        <v>3458</v>
      </c>
      <c r="J180" s="3477" t="s">
        <v>3427</v>
      </c>
      <c r="K180" s="3477" t="s">
        <v>3873</v>
      </c>
      <c r="L180" s="3477" t="s">
        <v>3873</v>
      </c>
      <c r="M180" s="3477" t="s">
        <v>3460</v>
      </c>
      <c r="N180" s="3477" t="s">
        <v>3879</v>
      </c>
      <c r="O180" s="3477">
        <v>7850</v>
      </c>
      <c r="P180" s="3477">
        <v>1570</v>
      </c>
      <c r="Q180" s="3477" t="s">
        <v>3875</v>
      </c>
      <c r="R180" s="3477">
        <v>7850</v>
      </c>
      <c r="S180" s="3477">
        <v>3378</v>
      </c>
      <c r="T180" s="3477">
        <v>0</v>
      </c>
    </row>
    <row r="181" spans="1:20" ht="14.25">
      <c r="A181" s="3477" t="s">
        <v>3883</v>
      </c>
      <c r="B181" s="3477" t="s">
        <v>3454</v>
      </c>
      <c r="C181" s="3477" t="s">
        <v>3884</v>
      </c>
      <c r="D181" s="3477" t="s">
        <v>3464</v>
      </c>
      <c r="E181" s="3477">
        <v>26420</v>
      </c>
      <c r="F181" s="3477">
        <v>73976</v>
      </c>
      <c r="G181" s="3477" t="s">
        <v>3872</v>
      </c>
      <c r="H181" s="3477" t="s">
        <v>3457</v>
      </c>
      <c r="I181" s="3477" t="s">
        <v>3408</v>
      </c>
      <c r="J181" s="3477" t="s">
        <v>3427</v>
      </c>
      <c r="K181" s="3477" t="s">
        <v>3873</v>
      </c>
      <c r="L181" s="3477" t="s">
        <v>3873</v>
      </c>
      <c r="M181" s="3477" t="s">
        <v>3460</v>
      </c>
      <c r="N181" s="3477" t="s">
        <v>3885</v>
      </c>
      <c r="O181" s="3477">
        <v>40587</v>
      </c>
      <c r="P181" s="3477">
        <v>8118</v>
      </c>
      <c r="Q181" s="3477" t="s">
        <v>3875</v>
      </c>
      <c r="R181" s="3477">
        <v>40587</v>
      </c>
      <c r="S181" s="3477">
        <v>5487</v>
      </c>
      <c r="T181" s="3477">
        <v>0</v>
      </c>
    </row>
    <row r="182" spans="1:20" ht="14.25">
      <c r="A182" s="3477" t="s">
        <v>3886</v>
      </c>
      <c r="B182" s="3477" t="s">
        <v>3454</v>
      </c>
      <c r="C182" s="3477" t="s">
        <v>3886</v>
      </c>
      <c r="D182" s="3477" t="s">
        <v>3455</v>
      </c>
      <c r="E182" s="3477">
        <v>35148</v>
      </c>
      <c r="F182" s="3477">
        <v>70296</v>
      </c>
      <c r="G182" s="3477" t="s">
        <v>3456</v>
      </c>
      <c r="H182" s="3477" t="s">
        <v>3457</v>
      </c>
      <c r="I182" s="3477" t="s">
        <v>3458</v>
      </c>
      <c r="J182" s="3477" t="s">
        <v>3427</v>
      </c>
      <c r="K182" s="3477" t="s">
        <v>3873</v>
      </c>
      <c r="L182" s="3477" t="s">
        <v>3873</v>
      </c>
      <c r="M182" s="3477" t="s">
        <v>3460</v>
      </c>
      <c r="N182" s="3477" t="s">
        <v>3591</v>
      </c>
      <c r="O182" s="3477">
        <v>10545</v>
      </c>
      <c r="P182" s="3477">
        <v>3200</v>
      </c>
      <c r="Q182" s="3477" t="s">
        <v>3875</v>
      </c>
      <c r="R182" s="3477">
        <v>10545</v>
      </c>
      <c r="S182" s="3477">
        <v>1500</v>
      </c>
      <c r="T182" s="3477">
        <v>0</v>
      </c>
    </row>
    <row r="183" spans="1:20" ht="14.25">
      <c r="A183" s="3477" t="s">
        <v>3887</v>
      </c>
      <c r="B183" s="3477" t="s">
        <v>3454</v>
      </c>
      <c r="C183" s="3477" t="s">
        <v>3888</v>
      </c>
      <c r="D183" s="3477" t="s">
        <v>3455</v>
      </c>
      <c r="E183" s="3477">
        <v>6079</v>
      </c>
      <c r="F183" s="3477">
        <v>3647.4</v>
      </c>
      <c r="G183" s="3477" t="s">
        <v>3889</v>
      </c>
      <c r="H183" s="3477" t="s">
        <v>3457</v>
      </c>
      <c r="I183" s="3477" t="s">
        <v>3458</v>
      </c>
      <c r="J183" s="3477" t="s">
        <v>3427</v>
      </c>
      <c r="K183" s="3477" t="s">
        <v>3873</v>
      </c>
      <c r="L183" s="3477" t="s">
        <v>3873</v>
      </c>
      <c r="M183" s="3477" t="s">
        <v>3460</v>
      </c>
      <c r="N183" s="3477" t="s">
        <v>3879</v>
      </c>
      <c r="O183" s="3477">
        <v>1140</v>
      </c>
      <c r="P183" s="3477">
        <v>230</v>
      </c>
      <c r="Q183" s="3477" t="s">
        <v>3875</v>
      </c>
      <c r="R183" s="3477">
        <v>1140</v>
      </c>
      <c r="S183" s="3477">
        <v>3126</v>
      </c>
      <c r="T183" s="3477">
        <v>0</v>
      </c>
    </row>
    <row r="184" spans="1:20" ht="14.25">
      <c r="A184" s="3477" t="s">
        <v>3890</v>
      </c>
      <c r="B184" s="3477" t="s">
        <v>3454</v>
      </c>
      <c r="C184" s="3477" t="s">
        <v>3891</v>
      </c>
      <c r="D184" s="3477" t="s">
        <v>3455</v>
      </c>
      <c r="E184" s="3477">
        <v>13260</v>
      </c>
      <c r="F184" s="3477">
        <v>10608</v>
      </c>
      <c r="G184" s="3477" t="s">
        <v>3878</v>
      </c>
      <c r="H184" s="3477" t="s">
        <v>3457</v>
      </c>
      <c r="I184" s="3477" t="s">
        <v>3458</v>
      </c>
      <c r="J184" s="3477" t="s">
        <v>3427</v>
      </c>
      <c r="K184" s="3477" t="s">
        <v>3873</v>
      </c>
      <c r="L184" s="3477" t="s">
        <v>3873</v>
      </c>
      <c r="M184" s="3477" t="s">
        <v>3460</v>
      </c>
      <c r="N184" s="3477" t="s">
        <v>3879</v>
      </c>
      <c r="O184" s="3477">
        <v>3590</v>
      </c>
      <c r="P184" s="3477">
        <v>720</v>
      </c>
      <c r="Q184" s="3477" t="s">
        <v>3875</v>
      </c>
      <c r="R184" s="3477">
        <v>3590</v>
      </c>
      <c r="S184" s="3477">
        <v>3384</v>
      </c>
      <c r="T184" s="3477">
        <v>0</v>
      </c>
    </row>
    <row r="185" spans="1:20" ht="14.25">
      <c r="A185" s="3477" t="s">
        <v>3892</v>
      </c>
      <c r="B185" s="3477" t="s">
        <v>3454</v>
      </c>
      <c r="C185" s="3477" t="s">
        <v>3893</v>
      </c>
      <c r="D185" s="3477" t="s">
        <v>3464</v>
      </c>
      <c r="E185" s="3477">
        <v>5247</v>
      </c>
      <c r="F185" s="3477">
        <v>14166.9</v>
      </c>
      <c r="G185" s="3477" t="s">
        <v>3894</v>
      </c>
      <c r="H185" s="3477" t="s">
        <v>3457</v>
      </c>
      <c r="I185" s="3477" t="s">
        <v>3408</v>
      </c>
      <c r="J185" s="3477" t="s">
        <v>3427</v>
      </c>
      <c r="K185" s="3477" t="s">
        <v>3873</v>
      </c>
      <c r="L185" s="3477" t="s">
        <v>3873</v>
      </c>
      <c r="M185" s="3477" t="s">
        <v>3460</v>
      </c>
      <c r="N185" s="3477" t="s">
        <v>3550</v>
      </c>
      <c r="O185" s="3477">
        <v>21251</v>
      </c>
      <c r="P185" s="3477">
        <v>4251</v>
      </c>
      <c r="Q185" s="3477" t="s">
        <v>3875</v>
      </c>
      <c r="R185" s="3477">
        <v>21251</v>
      </c>
      <c r="S185" s="3477">
        <v>15000</v>
      </c>
      <c r="T185" s="3477">
        <v>0</v>
      </c>
    </row>
    <row r="186" spans="1:20" ht="14.25">
      <c r="A186" s="3477" t="s">
        <v>3895</v>
      </c>
      <c r="B186" s="3477" t="s">
        <v>3454</v>
      </c>
      <c r="C186" s="3477" t="s">
        <v>3896</v>
      </c>
      <c r="D186" s="3477" t="s">
        <v>3464</v>
      </c>
      <c r="E186" s="3477">
        <v>29203</v>
      </c>
      <c r="F186" s="3477">
        <v>81768.399999999994</v>
      </c>
      <c r="G186" s="3477" t="s">
        <v>3872</v>
      </c>
      <c r="H186" s="3477" t="s">
        <v>3457</v>
      </c>
      <c r="I186" s="3477" t="s">
        <v>3408</v>
      </c>
      <c r="J186" s="3477" t="s">
        <v>3427</v>
      </c>
      <c r="K186" s="3477" t="s">
        <v>3873</v>
      </c>
      <c r="L186" s="3477" t="s">
        <v>3873</v>
      </c>
      <c r="M186" s="3477" t="s">
        <v>3460</v>
      </c>
      <c r="N186" s="3477" t="s">
        <v>3874</v>
      </c>
      <c r="O186" s="3477">
        <v>44991</v>
      </c>
      <c r="P186" s="3477">
        <v>8999</v>
      </c>
      <c r="Q186" s="3477" t="s">
        <v>3875</v>
      </c>
      <c r="R186" s="3477">
        <v>44991</v>
      </c>
      <c r="S186" s="3477">
        <v>5502</v>
      </c>
      <c r="T186" s="3477">
        <v>0</v>
      </c>
    </row>
    <row r="187" spans="1:20" ht="14.25">
      <c r="A187" s="3477" t="s">
        <v>3897</v>
      </c>
      <c r="B187" s="3477" t="s">
        <v>3454</v>
      </c>
      <c r="C187" s="3477" t="s">
        <v>3898</v>
      </c>
      <c r="D187" s="3477" t="s">
        <v>3455</v>
      </c>
      <c r="E187" s="3477">
        <v>56031</v>
      </c>
      <c r="F187" s="3477">
        <v>212917.8</v>
      </c>
      <c r="G187" s="3477" t="s">
        <v>3899</v>
      </c>
      <c r="H187" s="3477" t="s">
        <v>3457</v>
      </c>
      <c r="I187" s="3477" t="s">
        <v>3458</v>
      </c>
      <c r="J187" s="3477" t="s">
        <v>3427</v>
      </c>
      <c r="K187" s="3477" t="s">
        <v>3900</v>
      </c>
      <c r="L187" s="3477" t="s">
        <v>3900</v>
      </c>
      <c r="M187" s="3477" t="s">
        <v>3460</v>
      </c>
      <c r="N187" s="3477" t="s">
        <v>3901</v>
      </c>
      <c r="O187" s="3477">
        <v>31940</v>
      </c>
      <c r="P187" s="3477">
        <v>6390</v>
      </c>
      <c r="Q187" s="3477" t="s">
        <v>3902</v>
      </c>
      <c r="R187" s="3477">
        <v>31940</v>
      </c>
      <c r="S187" s="3477">
        <v>1500</v>
      </c>
      <c r="T187" s="3477">
        <v>0</v>
      </c>
    </row>
    <row r="188" spans="1:20" ht="14.25">
      <c r="A188" s="3477" t="s">
        <v>3903</v>
      </c>
      <c r="B188" s="3477" t="s">
        <v>3454</v>
      </c>
      <c r="C188" s="3477" t="s">
        <v>3904</v>
      </c>
      <c r="D188" s="3477" t="s">
        <v>3629</v>
      </c>
      <c r="E188" s="3477">
        <v>884</v>
      </c>
      <c r="F188" s="3477">
        <v>839.8</v>
      </c>
      <c r="G188" s="3477" t="s">
        <v>3654</v>
      </c>
      <c r="H188" s="3477" t="s">
        <v>3457</v>
      </c>
      <c r="I188" s="3477" t="s">
        <v>3905</v>
      </c>
      <c r="J188" s="3477" t="s">
        <v>3427</v>
      </c>
      <c r="K188" s="3477" t="s">
        <v>3873</v>
      </c>
      <c r="L188" s="3477" t="s">
        <v>3873</v>
      </c>
      <c r="M188" s="3477" t="s">
        <v>3460</v>
      </c>
      <c r="N188" s="3477" t="s">
        <v>3622</v>
      </c>
      <c r="O188" s="3477">
        <v>951</v>
      </c>
      <c r="P188" s="3477">
        <v>191</v>
      </c>
      <c r="Q188" s="3477" t="s">
        <v>3875</v>
      </c>
      <c r="R188" s="3477">
        <v>951</v>
      </c>
      <c r="S188" s="3477">
        <v>11324</v>
      </c>
      <c r="T188" s="3477">
        <v>0</v>
      </c>
    </row>
    <row r="189" spans="1:20" ht="14.25">
      <c r="A189" s="3477" t="s">
        <v>3906</v>
      </c>
      <c r="B189" s="3477" t="s">
        <v>3454</v>
      </c>
      <c r="C189" s="3477" t="s">
        <v>3907</v>
      </c>
      <c r="D189" s="3477" t="s">
        <v>3464</v>
      </c>
      <c r="E189" s="3477">
        <v>23093</v>
      </c>
      <c r="F189" s="3477">
        <v>64660.4</v>
      </c>
      <c r="G189" s="3477" t="s">
        <v>3872</v>
      </c>
      <c r="H189" s="3477" t="s">
        <v>3457</v>
      </c>
      <c r="I189" s="3477" t="s">
        <v>3408</v>
      </c>
      <c r="J189" s="3477" t="s">
        <v>3427</v>
      </c>
      <c r="K189" s="3477" t="s">
        <v>3873</v>
      </c>
      <c r="L189" s="3477" t="s">
        <v>3873</v>
      </c>
      <c r="M189" s="3477" t="s">
        <v>3460</v>
      </c>
      <c r="N189" s="3477" t="s">
        <v>3874</v>
      </c>
      <c r="O189" s="3477">
        <v>35578</v>
      </c>
      <c r="P189" s="3477">
        <v>7116</v>
      </c>
      <c r="Q189" s="3477" t="s">
        <v>3875</v>
      </c>
      <c r="R189" s="3477">
        <v>35578</v>
      </c>
      <c r="S189" s="3477">
        <v>5502</v>
      </c>
      <c r="T189" s="3477">
        <v>0</v>
      </c>
    </row>
    <row r="190" spans="1:20" ht="14.25">
      <c r="A190" s="3477" t="s">
        <v>3908</v>
      </c>
      <c r="B190" s="3477" t="s">
        <v>3454</v>
      </c>
      <c r="C190" s="3477" t="s">
        <v>3908</v>
      </c>
      <c r="D190" s="3477" t="s">
        <v>3464</v>
      </c>
      <c r="E190" s="3477">
        <v>3605</v>
      </c>
      <c r="F190" s="3477">
        <v>7065.8</v>
      </c>
      <c r="G190" s="3477" t="s">
        <v>3909</v>
      </c>
      <c r="H190" s="3477" t="s">
        <v>3457</v>
      </c>
      <c r="I190" s="3477" t="s">
        <v>3408</v>
      </c>
      <c r="J190" s="3477" t="s">
        <v>3427</v>
      </c>
      <c r="K190" s="3477" t="s">
        <v>3910</v>
      </c>
      <c r="L190" s="3477" t="s">
        <v>3910</v>
      </c>
      <c r="M190" s="3477" t="s">
        <v>3460</v>
      </c>
      <c r="N190" s="3477" t="s">
        <v>3911</v>
      </c>
      <c r="O190" s="3477">
        <v>1060</v>
      </c>
      <c r="P190" s="3477">
        <v>220</v>
      </c>
      <c r="Q190" s="3477" t="s">
        <v>3912</v>
      </c>
      <c r="R190" s="3477">
        <v>1060</v>
      </c>
      <c r="S190" s="3477">
        <v>1500</v>
      </c>
      <c r="T190" s="3477">
        <v>0</v>
      </c>
    </row>
    <row r="191" spans="1:20" ht="14.25">
      <c r="A191" s="3477" t="s">
        <v>3913</v>
      </c>
      <c r="B191" s="3477" t="s">
        <v>3454</v>
      </c>
      <c r="C191" s="3477" t="s">
        <v>3913</v>
      </c>
      <c r="D191" s="3477" t="s">
        <v>3464</v>
      </c>
      <c r="E191" s="3477">
        <v>8006</v>
      </c>
      <c r="F191" s="3477">
        <v>15691.76</v>
      </c>
      <c r="G191" s="3477" t="s">
        <v>3914</v>
      </c>
      <c r="H191" s="3477" t="s">
        <v>3457</v>
      </c>
      <c r="I191" s="3477" t="s">
        <v>3408</v>
      </c>
      <c r="J191" s="3477" t="s">
        <v>3427</v>
      </c>
      <c r="K191" s="3477" t="s">
        <v>3910</v>
      </c>
      <c r="L191" s="3477" t="s">
        <v>3910</v>
      </c>
      <c r="M191" s="3477" t="s">
        <v>3460</v>
      </c>
      <c r="N191" s="3477" t="s">
        <v>3911</v>
      </c>
      <c r="O191" s="3477">
        <v>2350</v>
      </c>
      <c r="P191" s="3477">
        <v>470</v>
      </c>
      <c r="Q191" s="3477" t="s">
        <v>3912</v>
      </c>
      <c r="R191" s="3477">
        <v>2350</v>
      </c>
      <c r="S191" s="3477">
        <v>1498</v>
      </c>
      <c r="T191" s="3477">
        <v>0</v>
      </c>
    </row>
    <row r="192" spans="1:20" ht="14.25">
      <c r="A192" s="3477" t="s">
        <v>3915</v>
      </c>
      <c r="B192" s="3477" t="s">
        <v>3454</v>
      </c>
      <c r="C192" s="3477" t="s">
        <v>3916</v>
      </c>
      <c r="D192" s="3477" t="s">
        <v>3455</v>
      </c>
      <c r="E192" s="3477">
        <v>21476</v>
      </c>
      <c r="F192" s="3477">
        <v>51542.400000000001</v>
      </c>
      <c r="G192" s="3477" t="s">
        <v>3701</v>
      </c>
      <c r="H192" s="3477" t="s">
        <v>3457</v>
      </c>
      <c r="I192" s="3477" t="s">
        <v>3458</v>
      </c>
      <c r="J192" s="3477" t="s">
        <v>3427</v>
      </c>
      <c r="K192" s="3477" t="s">
        <v>3917</v>
      </c>
      <c r="L192" s="3477" t="s">
        <v>3917</v>
      </c>
      <c r="M192" s="3477" t="s">
        <v>3460</v>
      </c>
      <c r="N192" s="3477" t="s">
        <v>3918</v>
      </c>
      <c r="O192" s="3477">
        <v>6622</v>
      </c>
      <c r="P192" s="3477">
        <v>1325</v>
      </c>
      <c r="Q192" s="3477" t="s">
        <v>3919</v>
      </c>
      <c r="R192" s="3477">
        <v>6622</v>
      </c>
      <c r="S192" s="3477">
        <v>1285</v>
      </c>
      <c r="T192" s="3477">
        <v>0</v>
      </c>
    </row>
    <row r="193" spans="1:20" ht="14.25">
      <c r="A193" s="3477" t="s">
        <v>3920</v>
      </c>
      <c r="B193" s="3477" t="s">
        <v>3454</v>
      </c>
      <c r="C193" s="3477" t="s">
        <v>3921</v>
      </c>
      <c r="D193" s="3477" t="s">
        <v>3464</v>
      </c>
      <c r="E193" s="3477">
        <v>83404</v>
      </c>
      <c r="F193" s="3477">
        <v>100084.8</v>
      </c>
      <c r="G193" s="3477" t="s">
        <v>3773</v>
      </c>
      <c r="H193" s="3477" t="s">
        <v>3457</v>
      </c>
      <c r="I193" s="3477" t="s">
        <v>3408</v>
      </c>
      <c r="J193" s="3477" t="s">
        <v>3427</v>
      </c>
      <c r="K193" s="3477" t="s">
        <v>3917</v>
      </c>
      <c r="L193" s="3477" t="s">
        <v>3917</v>
      </c>
      <c r="M193" s="3477" t="s">
        <v>3460</v>
      </c>
      <c r="N193" s="3477" t="s">
        <v>3922</v>
      </c>
      <c r="O193" s="3477">
        <v>62553</v>
      </c>
      <c r="P193" s="3477">
        <v>13132</v>
      </c>
      <c r="Q193" s="3477" t="s">
        <v>3919</v>
      </c>
      <c r="R193" s="3477">
        <v>62553</v>
      </c>
      <c r="S193" s="3477">
        <v>6250</v>
      </c>
      <c r="T193" s="3477">
        <v>0</v>
      </c>
    </row>
    <row r="194" spans="1:20" ht="14.25">
      <c r="A194" s="3477" t="s">
        <v>3923</v>
      </c>
      <c r="B194" s="3477" t="s">
        <v>3454</v>
      </c>
      <c r="C194" s="3477" t="s">
        <v>3924</v>
      </c>
      <c r="D194" s="3477" t="s">
        <v>3455</v>
      </c>
      <c r="E194" s="3477">
        <v>22071</v>
      </c>
      <c r="F194" s="3477">
        <v>77248.5</v>
      </c>
      <c r="G194" s="3477" t="s">
        <v>3925</v>
      </c>
      <c r="H194" s="3477" t="s">
        <v>3457</v>
      </c>
      <c r="I194" s="3477" t="s">
        <v>3458</v>
      </c>
      <c r="J194" s="3477" t="s">
        <v>3427</v>
      </c>
      <c r="K194" s="3477" t="s">
        <v>3926</v>
      </c>
      <c r="L194" s="3477" t="s">
        <v>3926</v>
      </c>
      <c r="M194" s="3477" t="s">
        <v>3460</v>
      </c>
      <c r="N194" s="3477" t="s">
        <v>3927</v>
      </c>
      <c r="O194" s="3477">
        <v>32445</v>
      </c>
      <c r="P194" s="3477">
        <v>6489</v>
      </c>
      <c r="Q194" s="3477" t="s">
        <v>3928</v>
      </c>
      <c r="R194" s="3477">
        <v>32445</v>
      </c>
      <c r="S194" s="3477">
        <v>4200</v>
      </c>
      <c r="T194" s="3477">
        <v>0</v>
      </c>
    </row>
    <row r="195" spans="1:20" ht="14.25">
      <c r="A195" s="3477" t="s">
        <v>3929</v>
      </c>
      <c r="B195" s="3477" t="s">
        <v>3454</v>
      </c>
      <c r="C195" s="3477" t="s">
        <v>3930</v>
      </c>
      <c r="D195" s="3477" t="s">
        <v>3455</v>
      </c>
      <c r="E195" s="3477">
        <v>2477</v>
      </c>
      <c r="F195" s="3477">
        <v>2229.3000000000002</v>
      </c>
      <c r="G195" s="3477" t="s">
        <v>3662</v>
      </c>
      <c r="H195" s="3477" t="s">
        <v>3457</v>
      </c>
      <c r="I195" s="3477" t="s">
        <v>3458</v>
      </c>
      <c r="J195" s="3477" t="s">
        <v>3427</v>
      </c>
      <c r="K195" s="3477" t="s">
        <v>3926</v>
      </c>
      <c r="L195" s="3477" t="s">
        <v>3926</v>
      </c>
      <c r="M195" s="3477" t="s">
        <v>3460</v>
      </c>
      <c r="N195" s="3477" t="s">
        <v>3626</v>
      </c>
      <c r="O195" s="3477">
        <v>1989</v>
      </c>
      <c r="P195" s="3477">
        <v>400</v>
      </c>
      <c r="Q195" s="3477" t="s">
        <v>3928</v>
      </c>
      <c r="R195" s="3477">
        <v>1989</v>
      </c>
      <c r="S195" s="3477">
        <v>8922</v>
      </c>
      <c r="T195" s="3477">
        <v>0</v>
      </c>
    </row>
    <row r="196" spans="1:20" ht="14.25">
      <c r="A196" s="3477" t="s">
        <v>3931</v>
      </c>
      <c r="B196" s="3477" t="s">
        <v>3454</v>
      </c>
      <c r="C196" s="3477" t="s">
        <v>3932</v>
      </c>
      <c r="D196" s="3477" t="s">
        <v>3455</v>
      </c>
      <c r="E196" s="3477">
        <v>37864</v>
      </c>
      <c r="F196" s="3477">
        <v>151456</v>
      </c>
      <c r="G196" s="3477" t="s">
        <v>3933</v>
      </c>
      <c r="H196" s="3477" t="s">
        <v>3457</v>
      </c>
      <c r="I196" s="3477" t="s">
        <v>3458</v>
      </c>
      <c r="J196" s="3477" t="s">
        <v>3427</v>
      </c>
      <c r="K196" s="3477" t="s">
        <v>3926</v>
      </c>
      <c r="L196" s="3477" t="s">
        <v>3926</v>
      </c>
      <c r="M196" s="3477" t="s">
        <v>3460</v>
      </c>
      <c r="N196" s="3477" t="s">
        <v>3934</v>
      </c>
      <c r="O196" s="3477">
        <v>37971</v>
      </c>
      <c r="P196" s="3477">
        <v>7600</v>
      </c>
      <c r="Q196" s="3477" t="s">
        <v>3928</v>
      </c>
      <c r="R196" s="3477">
        <v>37971</v>
      </c>
      <c r="S196" s="3477">
        <v>2507</v>
      </c>
      <c r="T196" s="3477">
        <v>0</v>
      </c>
    </row>
    <row r="197" spans="1:20" ht="14.25">
      <c r="A197" s="3477" t="s">
        <v>3935</v>
      </c>
      <c r="B197" s="3477" t="s">
        <v>3454</v>
      </c>
      <c r="C197" s="3477" t="s">
        <v>3935</v>
      </c>
      <c r="D197" s="3477" t="s">
        <v>3455</v>
      </c>
      <c r="E197" s="3477">
        <v>5986</v>
      </c>
      <c r="F197" s="3477">
        <v>10774.8</v>
      </c>
      <c r="G197" s="3477" t="s">
        <v>3496</v>
      </c>
      <c r="H197" s="3477" t="s">
        <v>3457</v>
      </c>
      <c r="I197" s="3477" t="s">
        <v>3458</v>
      </c>
      <c r="J197" s="3477" t="s">
        <v>3427</v>
      </c>
      <c r="K197" s="3477" t="s">
        <v>3936</v>
      </c>
      <c r="L197" s="3477" t="s">
        <v>3936</v>
      </c>
      <c r="M197" s="3477" t="s">
        <v>3460</v>
      </c>
      <c r="N197" s="3477" t="s">
        <v>3937</v>
      </c>
      <c r="O197" s="3477">
        <v>1211</v>
      </c>
      <c r="P197" s="3477">
        <v>610</v>
      </c>
      <c r="Q197" s="3477" t="s">
        <v>3938</v>
      </c>
      <c r="R197" s="3477">
        <v>1211</v>
      </c>
      <c r="S197" s="3477">
        <v>1124</v>
      </c>
      <c r="T197" s="3477">
        <v>0</v>
      </c>
    </row>
    <row r="198" spans="1:20" ht="14.25">
      <c r="A198" s="3477" t="s">
        <v>3939</v>
      </c>
      <c r="B198" s="3477" t="s">
        <v>3454</v>
      </c>
      <c r="C198" s="3477" t="s">
        <v>3939</v>
      </c>
      <c r="D198" s="3477" t="s">
        <v>3455</v>
      </c>
      <c r="E198" s="3477">
        <v>3790</v>
      </c>
      <c r="F198" s="3477">
        <v>5685</v>
      </c>
      <c r="G198" s="3477" t="s">
        <v>3579</v>
      </c>
      <c r="H198" s="3477" t="s">
        <v>3457</v>
      </c>
      <c r="I198" s="3477" t="s">
        <v>3458</v>
      </c>
      <c r="J198" s="3477" t="s">
        <v>3427</v>
      </c>
      <c r="K198" s="3477" t="s">
        <v>3936</v>
      </c>
      <c r="L198" s="3477" t="s">
        <v>3936</v>
      </c>
      <c r="M198" s="3477" t="s">
        <v>3460</v>
      </c>
      <c r="N198" s="3477" t="s">
        <v>3940</v>
      </c>
      <c r="O198" s="3477">
        <v>413</v>
      </c>
      <c r="P198" s="3477">
        <v>210</v>
      </c>
      <c r="Q198" s="3477" t="s">
        <v>3938</v>
      </c>
      <c r="R198" s="3477">
        <v>413</v>
      </c>
      <c r="S198" s="3477">
        <v>726</v>
      </c>
      <c r="T198" s="3477">
        <v>0</v>
      </c>
    </row>
    <row r="199" spans="1:20" ht="14.25">
      <c r="A199" s="3477" t="s">
        <v>3941</v>
      </c>
      <c r="B199" s="3477" t="s">
        <v>3454</v>
      </c>
      <c r="C199" s="3477" t="s">
        <v>3942</v>
      </c>
      <c r="D199" s="3477" t="s">
        <v>3455</v>
      </c>
      <c r="E199" s="3477">
        <v>16077</v>
      </c>
      <c r="F199" s="3477">
        <v>80385</v>
      </c>
      <c r="G199" s="3477" t="s">
        <v>3527</v>
      </c>
      <c r="H199" s="3477" t="s">
        <v>3457</v>
      </c>
      <c r="I199" s="3477" t="s">
        <v>3458</v>
      </c>
      <c r="J199" s="3477" t="s">
        <v>3427</v>
      </c>
      <c r="K199" s="3477" t="s">
        <v>3943</v>
      </c>
      <c r="L199" s="3477" t="s">
        <v>3943</v>
      </c>
      <c r="M199" s="3477" t="s">
        <v>3460</v>
      </c>
      <c r="N199" s="3477" t="s">
        <v>3528</v>
      </c>
      <c r="O199" s="3477">
        <v>9342</v>
      </c>
      <c r="P199" s="3477">
        <v>1869</v>
      </c>
      <c r="Q199" s="3477" t="s">
        <v>3944</v>
      </c>
      <c r="R199" s="3477">
        <v>9342</v>
      </c>
      <c r="S199" s="3477">
        <v>1162</v>
      </c>
      <c r="T199" s="3477">
        <v>0</v>
      </c>
    </row>
    <row r="200" spans="1:20" ht="14.25">
      <c r="A200" s="3477" t="s">
        <v>3945</v>
      </c>
      <c r="B200" s="3477" t="s">
        <v>3454</v>
      </c>
      <c r="C200" s="3477" t="s">
        <v>3946</v>
      </c>
      <c r="D200" s="3477" t="s">
        <v>3455</v>
      </c>
      <c r="E200" s="3477">
        <v>10941</v>
      </c>
      <c r="F200" s="3477">
        <v>49234.5</v>
      </c>
      <c r="G200" s="3477" t="s">
        <v>3947</v>
      </c>
      <c r="H200" s="3477" t="s">
        <v>3457</v>
      </c>
      <c r="I200" s="3477" t="s">
        <v>3407</v>
      </c>
      <c r="J200" s="3477" t="s">
        <v>3427</v>
      </c>
      <c r="K200" s="3477" t="s">
        <v>3943</v>
      </c>
      <c r="L200" s="3477" t="s">
        <v>3943</v>
      </c>
      <c r="M200" s="3477" t="s">
        <v>3460</v>
      </c>
      <c r="N200" s="3477" t="s">
        <v>3948</v>
      </c>
      <c r="O200" s="3477">
        <v>19836</v>
      </c>
      <c r="P200" s="3477">
        <v>3968</v>
      </c>
      <c r="Q200" s="3477" t="s">
        <v>3944</v>
      </c>
      <c r="R200" s="3477">
        <v>19836</v>
      </c>
      <c r="S200" s="3477">
        <v>4029</v>
      </c>
      <c r="T200" s="3477">
        <v>0</v>
      </c>
    </row>
    <row r="201" spans="1:20" ht="14.25">
      <c r="A201" s="3477" t="s">
        <v>3949</v>
      </c>
      <c r="B201" s="3477" t="s">
        <v>3454</v>
      </c>
      <c r="C201" s="3477" t="s">
        <v>3950</v>
      </c>
      <c r="D201" s="3477" t="s">
        <v>3455</v>
      </c>
      <c r="E201" s="3477">
        <v>5176</v>
      </c>
      <c r="F201" s="3477">
        <v>9316.7999999999993</v>
      </c>
      <c r="G201" s="3477" t="s">
        <v>3496</v>
      </c>
      <c r="H201" s="3477" t="s">
        <v>3457</v>
      </c>
      <c r="I201" s="3477" t="s">
        <v>3407</v>
      </c>
      <c r="J201" s="3477" t="s">
        <v>3427</v>
      </c>
      <c r="K201" s="3477" t="s">
        <v>3943</v>
      </c>
      <c r="L201" s="3477" t="s">
        <v>3943</v>
      </c>
      <c r="M201" s="3477" t="s">
        <v>3460</v>
      </c>
      <c r="N201" s="3477" t="s">
        <v>3951</v>
      </c>
      <c r="O201" s="3477">
        <v>1431</v>
      </c>
      <c r="P201" s="3477">
        <v>290</v>
      </c>
      <c r="Q201" s="3477" t="s">
        <v>3944</v>
      </c>
      <c r="R201" s="3477">
        <v>1431</v>
      </c>
      <c r="S201" s="3477">
        <v>1536</v>
      </c>
      <c r="T201" s="3477">
        <v>0</v>
      </c>
    </row>
    <row r="202" spans="1:20" ht="14.25">
      <c r="A202" s="3477" t="s">
        <v>3952</v>
      </c>
      <c r="B202" s="3477" t="s">
        <v>3454</v>
      </c>
      <c r="C202" s="3477" t="s">
        <v>3953</v>
      </c>
      <c r="D202" s="3477" t="s">
        <v>3455</v>
      </c>
      <c r="E202" s="3477">
        <v>7173</v>
      </c>
      <c r="F202" s="3477">
        <v>32278.5</v>
      </c>
      <c r="G202" s="3477" t="s">
        <v>3954</v>
      </c>
      <c r="H202" s="3477" t="s">
        <v>3457</v>
      </c>
      <c r="I202" s="3477" t="s">
        <v>3458</v>
      </c>
      <c r="J202" s="3477" t="s">
        <v>3427</v>
      </c>
      <c r="K202" s="3477" t="s">
        <v>3943</v>
      </c>
      <c r="L202" s="3477" t="s">
        <v>3943</v>
      </c>
      <c r="M202" s="3477" t="s">
        <v>3460</v>
      </c>
      <c r="N202" s="3477" t="s">
        <v>3528</v>
      </c>
      <c r="O202" s="3477">
        <v>5268</v>
      </c>
      <c r="P202" s="3477">
        <v>1054</v>
      </c>
      <c r="Q202" s="3477" t="s">
        <v>3944</v>
      </c>
      <c r="R202" s="3477">
        <v>5268</v>
      </c>
      <c r="S202" s="3477">
        <v>1632</v>
      </c>
      <c r="T202" s="3477">
        <v>0</v>
      </c>
    </row>
    <row r="203" spans="1:20" ht="14.25">
      <c r="A203" s="3477" t="s">
        <v>3955</v>
      </c>
      <c r="B203" s="3477" t="s">
        <v>3454</v>
      </c>
      <c r="C203" s="3477" t="s">
        <v>3956</v>
      </c>
      <c r="D203" s="3477" t="s">
        <v>3455</v>
      </c>
      <c r="E203" s="3477">
        <v>82771</v>
      </c>
      <c r="F203" s="3477" t="s">
        <v>3427</v>
      </c>
      <c r="G203" s="3477" t="s">
        <v>3594</v>
      </c>
      <c r="H203" s="3477" t="s">
        <v>3457</v>
      </c>
      <c r="I203" s="3477" t="s">
        <v>3458</v>
      </c>
      <c r="J203" s="3477" t="s">
        <v>3427</v>
      </c>
      <c r="K203" s="3477" t="s">
        <v>3943</v>
      </c>
      <c r="L203" s="3477" t="s">
        <v>3943</v>
      </c>
      <c r="M203" s="3477" t="s">
        <v>3460</v>
      </c>
      <c r="N203" s="3477" t="s">
        <v>3957</v>
      </c>
      <c r="O203" s="3477">
        <v>24956</v>
      </c>
      <c r="P203" s="3477">
        <v>5000</v>
      </c>
      <c r="Q203" s="3477" t="s">
        <v>3944</v>
      </c>
      <c r="R203" s="3477">
        <v>24956</v>
      </c>
      <c r="S203" s="3477" t="s">
        <v>3427</v>
      </c>
      <c r="T203" s="3477">
        <v>0</v>
      </c>
    </row>
    <row r="204" spans="1:20" s="3183" customFormat="1" ht="14.25">
      <c r="A204" s="3501" t="s">
        <v>3958</v>
      </c>
      <c r="B204" s="3501" t="s">
        <v>3454</v>
      </c>
      <c r="C204" s="3501" t="s">
        <v>3959</v>
      </c>
      <c r="D204" s="3501" t="s">
        <v>3464</v>
      </c>
      <c r="E204" s="3501">
        <v>15468</v>
      </c>
      <c r="F204" s="3501">
        <v>34029.599999999999</v>
      </c>
      <c r="G204" s="3501" t="s">
        <v>3531</v>
      </c>
      <c r="H204" s="3501" t="s">
        <v>3457</v>
      </c>
      <c r="I204" s="3501" t="s">
        <v>3408</v>
      </c>
      <c r="J204" s="3501" t="s">
        <v>3427</v>
      </c>
      <c r="K204" s="3501" t="s">
        <v>3960</v>
      </c>
      <c r="L204" s="3501" t="s">
        <v>3960</v>
      </c>
      <c r="M204" s="3501" t="s">
        <v>3460</v>
      </c>
      <c r="N204" s="3501" t="s">
        <v>3961</v>
      </c>
      <c r="O204" s="3501">
        <v>11791</v>
      </c>
      <c r="P204" s="3501">
        <v>2359</v>
      </c>
      <c r="Q204" s="3501" t="s">
        <v>3962</v>
      </c>
      <c r="R204" s="3501">
        <v>11791</v>
      </c>
      <c r="S204" s="3501">
        <v>3465</v>
      </c>
      <c r="T204" s="3501">
        <v>0</v>
      </c>
    </row>
    <row r="205" spans="1:20" ht="14.25">
      <c r="A205" s="3477" t="s">
        <v>3963</v>
      </c>
      <c r="B205" s="3477" t="s">
        <v>3454</v>
      </c>
      <c r="C205" s="3477" t="s">
        <v>3964</v>
      </c>
      <c r="D205" s="3477" t="s">
        <v>3455</v>
      </c>
      <c r="E205" s="3477">
        <v>14184</v>
      </c>
      <c r="F205" s="3477">
        <v>28368</v>
      </c>
      <c r="G205" s="3477" t="s">
        <v>3456</v>
      </c>
      <c r="H205" s="3477" t="s">
        <v>3457</v>
      </c>
      <c r="I205" s="3477" t="s">
        <v>3407</v>
      </c>
      <c r="J205" s="3477" t="s">
        <v>3427</v>
      </c>
      <c r="K205" s="3477" t="s">
        <v>3965</v>
      </c>
      <c r="L205" s="3477" t="s">
        <v>3965</v>
      </c>
      <c r="M205" s="3477" t="s">
        <v>3460</v>
      </c>
      <c r="N205" s="3477" t="s">
        <v>3966</v>
      </c>
      <c r="O205" s="3477">
        <v>5982</v>
      </c>
      <c r="P205" s="3477">
        <v>1200</v>
      </c>
      <c r="Q205" s="3477" t="s">
        <v>3967</v>
      </c>
      <c r="R205" s="3477">
        <v>5982</v>
      </c>
      <c r="S205" s="3477">
        <v>2109</v>
      </c>
      <c r="T205" s="3477">
        <v>0</v>
      </c>
    </row>
    <row r="206" spans="1:20" ht="14.25">
      <c r="A206" s="3477" t="s">
        <v>3968</v>
      </c>
      <c r="B206" s="3477" t="s">
        <v>3454</v>
      </c>
      <c r="C206" s="3477" t="s">
        <v>3969</v>
      </c>
      <c r="D206" s="3477" t="s">
        <v>3464</v>
      </c>
      <c r="E206" s="3477">
        <v>24559</v>
      </c>
      <c r="F206" s="3477">
        <v>61397.5</v>
      </c>
      <c r="G206" s="3477" t="s">
        <v>3511</v>
      </c>
      <c r="H206" s="3477" t="s">
        <v>3457</v>
      </c>
      <c r="I206" s="3477" t="s">
        <v>3408</v>
      </c>
      <c r="J206" s="3477" t="s">
        <v>3427</v>
      </c>
      <c r="K206" s="3477" t="s">
        <v>3965</v>
      </c>
      <c r="L206" s="3477" t="s">
        <v>3965</v>
      </c>
      <c r="M206" s="3477" t="s">
        <v>3460</v>
      </c>
      <c r="N206" s="3477" t="s">
        <v>3966</v>
      </c>
      <c r="O206" s="3477">
        <v>33766</v>
      </c>
      <c r="P206" s="3477">
        <v>7330</v>
      </c>
      <c r="Q206" s="3477" t="s">
        <v>3967</v>
      </c>
      <c r="R206" s="3477">
        <v>33766</v>
      </c>
      <c r="S206" s="3477">
        <v>5500</v>
      </c>
      <c r="T206" s="3477">
        <v>0</v>
      </c>
    </row>
    <row r="207" spans="1:20" ht="14.25">
      <c r="A207" s="3477" t="s">
        <v>3970</v>
      </c>
      <c r="B207" s="3477" t="s">
        <v>3454</v>
      </c>
      <c r="C207" s="3477" t="s">
        <v>3971</v>
      </c>
      <c r="D207" s="3477" t="s">
        <v>3455</v>
      </c>
      <c r="E207" s="3477">
        <v>2922.1</v>
      </c>
      <c r="F207" s="3477">
        <v>438.32</v>
      </c>
      <c r="G207" s="3477" t="s">
        <v>3972</v>
      </c>
      <c r="H207" s="3477" t="s">
        <v>3457</v>
      </c>
      <c r="I207" s="3477" t="s">
        <v>3973</v>
      </c>
      <c r="J207" s="3477" t="s">
        <v>3427</v>
      </c>
      <c r="K207" s="3477" t="s">
        <v>3965</v>
      </c>
      <c r="L207" s="3477" t="s">
        <v>3965</v>
      </c>
      <c r="M207" s="3477" t="s">
        <v>3460</v>
      </c>
      <c r="N207" s="3477" t="s">
        <v>3596</v>
      </c>
      <c r="O207" s="3477">
        <v>13588</v>
      </c>
      <c r="P207" s="3477">
        <v>7000</v>
      </c>
      <c r="Q207" s="3477" t="s">
        <v>3967</v>
      </c>
      <c r="R207" s="3477">
        <v>13588</v>
      </c>
      <c r="S207" s="3477">
        <v>310002</v>
      </c>
      <c r="T207" s="3477">
        <v>0</v>
      </c>
    </row>
    <row r="208" spans="1:20" ht="14.25">
      <c r="A208" s="3477" t="s">
        <v>3974</v>
      </c>
      <c r="B208" s="3477" t="s">
        <v>3454</v>
      </c>
      <c r="C208" s="3477" t="s">
        <v>3975</v>
      </c>
      <c r="D208" s="3477" t="s">
        <v>3455</v>
      </c>
      <c r="E208" s="3477">
        <v>12144</v>
      </c>
      <c r="F208" s="3477">
        <v>48576</v>
      </c>
      <c r="G208" s="3477" t="s">
        <v>3976</v>
      </c>
      <c r="H208" s="3477" t="s">
        <v>3457</v>
      </c>
      <c r="I208" s="3477" t="s">
        <v>3407</v>
      </c>
      <c r="J208" s="3477" t="s">
        <v>3427</v>
      </c>
      <c r="K208" s="3477" t="s">
        <v>3965</v>
      </c>
      <c r="L208" s="3477" t="s">
        <v>3965</v>
      </c>
      <c r="M208" s="3477" t="s">
        <v>3460</v>
      </c>
      <c r="N208" s="3477" t="s">
        <v>3948</v>
      </c>
      <c r="O208" s="3477">
        <v>22089</v>
      </c>
      <c r="P208" s="3477">
        <v>9131</v>
      </c>
      <c r="Q208" s="3477" t="s">
        <v>3967</v>
      </c>
      <c r="R208" s="3477">
        <v>22089</v>
      </c>
      <c r="S208" s="3477">
        <v>4547</v>
      </c>
      <c r="T208" s="3477">
        <v>0</v>
      </c>
    </row>
    <row r="209" spans="1:20" ht="14.25">
      <c r="A209" s="3477" t="s">
        <v>3977</v>
      </c>
      <c r="B209" s="3477" t="s">
        <v>3454</v>
      </c>
      <c r="C209" s="3477" t="s">
        <v>3978</v>
      </c>
      <c r="D209" s="3477" t="s">
        <v>3455</v>
      </c>
      <c r="E209" s="3477">
        <v>20254</v>
      </c>
      <c r="F209" s="3477">
        <v>44558.8</v>
      </c>
      <c r="G209" s="3477" t="s">
        <v>3979</v>
      </c>
      <c r="H209" s="3477" t="s">
        <v>3457</v>
      </c>
      <c r="I209" s="3477" t="s">
        <v>3407</v>
      </c>
      <c r="J209" s="3477" t="s">
        <v>3427</v>
      </c>
      <c r="K209" s="3477" t="s">
        <v>3965</v>
      </c>
      <c r="L209" s="3477" t="s">
        <v>3965</v>
      </c>
      <c r="M209" s="3477" t="s">
        <v>3460</v>
      </c>
      <c r="N209" s="3477" t="s">
        <v>3948</v>
      </c>
      <c r="O209" s="3477">
        <v>23561</v>
      </c>
      <c r="P209" s="3477">
        <v>9131</v>
      </c>
      <c r="Q209" s="3477" t="s">
        <v>3967</v>
      </c>
      <c r="R209" s="3477">
        <v>23561</v>
      </c>
      <c r="S209" s="3477">
        <v>5288</v>
      </c>
      <c r="T209" s="3477">
        <v>0</v>
      </c>
    </row>
    <row r="210" spans="1:20" ht="14.25">
      <c r="A210" s="3477" t="s">
        <v>3980</v>
      </c>
      <c r="B210" s="3477" t="s">
        <v>3454</v>
      </c>
      <c r="C210" s="3477" t="s">
        <v>3981</v>
      </c>
      <c r="D210" s="3477" t="s">
        <v>3455</v>
      </c>
      <c r="E210" s="3477">
        <v>23402</v>
      </c>
      <c r="F210" s="3477">
        <v>117010</v>
      </c>
      <c r="G210" s="3477" t="s">
        <v>3982</v>
      </c>
      <c r="H210" s="3477" t="s">
        <v>3457</v>
      </c>
      <c r="I210" s="3477" t="s">
        <v>3407</v>
      </c>
      <c r="J210" s="3477" t="s">
        <v>3427</v>
      </c>
      <c r="K210" s="3477" t="s">
        <v>3965</v>
      </c>
      <c r="L210" s="3477" t="s">
        <v>3965</v>
      </c>
      <c r="M210" s="3477" t="s">
        <v>3460</v>
      </c>
      <c r="N210" s="3477" t="s">
        <v>3966</v>
      </c>
      <c r="O210" s="3477">
        <v>17691</v>
      </c>
      <c r="P210" s="3477">
        <v>3540</v>
      </c>
      <c r="Q210" s="3477" t="s">
        <v>3967</v>
      </c>
      <c r="R210" s="3477">
        <v>17691</v>
      </c>
      <c r="S210" s="3477">
        <v>1512</v>
      </c>
      <c r="T210" s="3477">
        <v>0</v>
      </c>
    </row>
    <row r="211" spans="1:20" ht="14.25">
      <c r="A211" s="3477" t="s">
        <v>3983</v>
      </c>
      <c r="B211" s="3477" t="s">
        <v>3454</v>
      </c>
      <c r="C211" s="3477" t="s">
        <v>3984</v>
      </c>
      <c r="D211" s="3477" t="s">
        <v>3455</v>
      </c>
      <c r="E211" s="3477">
        <v>26050</v>
      </c>
      <c r="F211" s="3477">
        <v>130250</v>
      </c>
      <c r="G211" s="3477" t="s">
        <v>3982</v>
      </c>
      <c r="H211" s="3477" t="s">
        <v>3457</v>
      </c>
      <c r="I211" s="3477" t="s">
        <v>3407</v>
      </c>
      <c r="J211" s="3477" t="s">
        <v>3427</v>
      </c>
      <c r="K211" s="3477" t="s">
        <v>3965</v>
      </c>
      <c r="L211" s="3477" t="s">
        <v>3965</v>
      </c>
      <c r="M211" s="3477" t="s">
        <v>3460</v>
      </c>
      <c r="N211" s="3477" t="s">
        <v>3966</v>
      </c>
      <c r="O211" s="3477">
        <v>19718</v>
      </c>
      <c r="P211" s="3477">
        <v>3950</v>
      </c>
      <c r="Q211" s="3477" t="s">
        <v>3967</v>
      </c>
      <c r="R211" s="3477">
        <v>19718</v>
      </c>
      <c r="S211" s="3477">
        <v>1514</v>
      </c>
      <c r="T211" s="3477">
        <v>0</v>
      </c>
    </row>
    <row r="212" spans="1:20" ht="14.25">
      <c r="A212" s="3477" t="s">
        <v>3985</v>
      </c>
      <c r="B212" s="3477" t="s">
        <v>3454</v>
      </c>
      <c r="C212" s="3477" t="s">
        <v>3986</v>
      </c>
      <c r="D212" s="3477" t="s">
        <v>3464</v>
      </c>
      <c r="E212" s="3477">
        <v>26083</v>
      </c>
      <c r="F212" s="3477">
        <v>70424.100000000006</v>
      </c>
      <c r="G212" s="3477" t="s">
        <v>3894</v>
      </c>
      <c r="H212" s="3477" t="s">
        <v>3457</v>
      </c>
      <c r="I212" s="3477" t="s">
        <v>3408</v>
      </c>
      <c r="J212" s="3477" t="s">
        <v>3427</v>
      </c>
      <c r="K212" s="3477" t="s">
        <v>3965</v>
      </c>
      <c r="L212" s="3477" t="s">
        <v>3965</v>
      </c>
      <c r="M212" s="3477" t="s">
        <v>3460</v>
      </c>
      <c r="N212" s="3477" t="s">
        <v>3966</v>
      </c>
      <c r="O212" s="3477">
        <v>37030</v>
      </c>
      <c r="P212" s="3477">
        <v>7410</v>
      </c>
      <c r="Q212" s="3477" t="s">
        <v>3967</v>
      </c>
      <c r="R212" s="3477">
        <v>37030</v>
      </c>
      <c r="S212" s="3477">
        <v>5258</v>
      </c>
      <c r="T212" s="3477">
        <v>0</v>
      </c>
    </row>
    <row r="213" spans="1:20" ht="14.25">
      <c r="A213" s="3477" t="s">
        <v>3987</v>
      </c>
      <c r="B213" s="3477" t="s">
        <v>3454</v>
      </c>
      <c r="C213" s="3477" t="s">
        <v>3988</v>
      </c>
      <c r="D213" s="3477" t="s">
        <v>3455</v>
      </c>
      <c r="E213" s="3477">
        <v>19384</v>
      </c>
      <c r="F213" s="3477">
        <v>87228</v>
      </c>
      <c r="G213" s="3477" t="s">
        <v>3954</v>
      </c>
      <c r="H213" s="3477" t="s">
        <v>3457</v>
      </c>
      <c r="I213" s="3477" t="s">
        <v>3407</v>
      </c>
      <c r="J213" s="3477" t="s">
        <v>3427</v>
      </c>
      <c r="K213" s="3477" t="s">
        <v>3965</v>
      </c>
      <c r="L213" s="3477" t="s">
        <v>3965</v>
      </c>
      <c r="M213" s="3477" t="s">
        <v>3460</v>
      </c>
      <c r="N213" s="3477" t="s">
        <v>3966</v>
      </c>
      <c r="O213" s="3477">
        <v>12510</v>
      </c>
      <c r="P213" s="3477">
        <v>2510</v>
      </c>
      <c r="Q213" s="3477" t="s">
        <v>3967</v>
      </c>
      <c r="R213" s="3477">
        <v>12510</v>
      </c>
      <c r="S213" s="3477">
        <v>1434</v>
      </c>
      <c r="T213" s="3477">
        <v>0</v>
      </c>
    </row>
    <row r="214" spans="1:20" ht="14.25">
      <c r="A214" s="3477" t="s">
        <v>3989</v>
      </c>
      <c r="B214" s="3477" t="s">
        <v>3454</v>
      </c>
      <c r="C214" s="3477" t="s">
        <v>3990</v>
      </c>
      <c r="D214" s="3477" t="s">
        <v>3464</v>
      </c>
      <c r="E214" s="3477">
        <v>26967</v>
      </c>
      <c r="F214" s="3477">
        <v>56630.7</v>
      </c>
      <c r="G214" s="3477" t="s">
        <v>3991</v>
      </c>
      <c r="H214" s="3477" t="s">
        <v>3457</v>
      </c>
      <c r="I214" s="3477" t="s">
        <v>3408</v>
      </c>
      <c r="J214" s="3477" t="s">
        <v>3427</v>
      </c>
      <c r="K214" s="3477" t="s">
        <v>3965</v>
      </c>
      <c r="L214" s="3477" t="s">
        <v>3965</v>
      </c>
      <c r="M214" s="3477" t="s">
        <v>3460</v>
      </c>
      <c r="N214" s="3477" t="s">
        <v>3966</v>
      </c>
      <c r="O214" s="3477">
        <v>35406</v>
      </c>
      <c r="P214" s="3477">
        <v>7720</v>
      </c>
      <c r="Q214" s="3477" t="s">
        <v>3967</v>
      </c>
      <c r="R214" s="3477">
        <v>35406</v>
      </c>
      <c r="S214" s="3477">
        <v>6252</v>
      </c>
      <c r="T214" s="3477">
        <v>0</v>
      </c>
    </row>
    <row r="215" spans="1:20" ht="14.25">
      <c r="A215" s="3477" t="s">
        <v>3992</v>
      </c>
      <c r="B215" s="3477" t="s">
        <v>3454</v>
      </c>
      <c r="C215" s="3477" t="s">
        <v>3993</v>
      </c>
      <c r="D215" s="3477" t="s">
        <v>3464</v>
      </c>
      <c r="E215" s="3477">
        <v>23584</v>
      </c>
      <c r="F215" s="3477">
        <v>56601.599999999999</v>
      </c>
      <c r="G215" s="3477" t="s">
        <v>3701</v>
      </c>
      <c r="H215" s="3477" t="s">
        <v>3457</v>
      </c>
      <c r="I215" s="3477" t="s">
        <v>3408</v>
      </c>
      <c r="J215" s="3477" t="s">
        <v>3427</v>
      </c>
      <c r="K215" s="3477" t="s">
        <v>3965</v>
      </c>
      <c r="L215" s="3477" t="s">
        <v>3965</v>
      </c>
      <c r="M215" s="3477" t="s">
        <v>3460</v>
      </c>
      <c r="N215" s="3477" t="s">
        <v>3966</v>
      </c>
      <c r="O215" s="3477">
        <v>32335</v>
      </c>
      <c r="P215" s="3477">
        <v>7060</v>
      </c>
      <c r="Q215" s="3477" t="s">
        <v>3967</v>
      </c>
      <c r="R215" s="3477">
        <v>32335</v>
      </c>
      <c r="S215" s="3477">
        <v>5713</v>
      </c>
      <c r="T215" s="3477">
        <v>0</v>
      </c>
    </row>
    <row r="216" spans="1:20" ht="14.25">
      <c r="A216" s="3477" t="s">
        <v>3994</v>
      </c>
      <c r="B216" s="3477" t="s">
        <v>3454</v>
      </c>
      <c r="C216" s="3477" t="s">
        <v>3995</v>
      </c>
      <c r="D216" s="3477" t="s">
        <v>3455</v>
      </c>
      <c r="E216" s="3477">
        <v>28937</v>
      </c>
      <c r="F216" s="3477">
        <v>107066.9</v>
      </c>
      <c r="G216" s="3477" t="s">
        <v>3996</v>
      </c>
      <c r="H216" s="3477" t="s">
        <v>3457</v>
      </c>
      <c r="I216" s="3477" t="s">
        <v>3407</v>
      </c>
      <c r="J216" s="3477" t="s">
        <v>3427</v>
      </c>
      <c r="K216" s="3477" t="s">
        <v>3965</v>
      </c>
      <c r="L216" s="3477" t="s">
        <v>3965</v>
      </c>
      <c r="M216" s="3477" t="s">
        <v>3460</v>
      </c>
      <c r="N216" s="3477" t="s">
        <v>3966</v>
      </c>
      <c r="O216" s="3477">
        <v>18524</v>
      </c>
      <c r="P216" s="3477">
        <v>3710</v>
      </c>
      <c r="Q216" s="3477" t="s">
        <v>3967</v>
      </c>
      <c r="R216" s="3477">
        <v>18524</v>
      </c>
      <c r="S216" s="3477">
        <v>1730</v>
      </c>
      <c r="T216" s="3477">
        <v>0</v>
      </c>
    </row>
    <row r="217" spans="1:20" ht="14.25">
      <c r="A217" s="3477" t="s">
        <v>3997</v>
      </c>
      <c r="B217" s="3477" t="s">
        <v>3454</v>
      </c>
      <c r="C217" s="3477" t="s">
        <v>3997</v>
      </c>
      <c r="D217" s="3477" t="s">
        <v>3455</v>
      </c>
      <c r="E217" s="3477">
        <v>14176</v>
      </c>
      <c r="F217" s="3477">
        <v>4252.8</v>
      </c>
      <c r="G217" s="3477" t="s">
        <v>3998</v>
      </c>
      <c r="H217" s="3477" t="s">
        <v>3457</v>
      </c>
      <c r="I217" s="3477" t="s">
        <v>3973</v>
      </c>
      <c r="J217" s="3477" t="s">
        <v>3427</v>
      </c>
      <c r="K217" s="3477" t="s">
        <v>3999</v>
      </c>
      <c r="L217" s="3477" t="s">
        <v>3999</v>
      </c>
      <c r="M217" s="3477" t="s">
        <v>3460</v>
      </c>
      <c r="N217" s="3477" t="s">
        <v>4000</v>
      </c>
      <c r="O217" s="3477">
        <v>2129</v>
      </c>
      <c r="P217" s="3477">
        <v>426</v>
      </c>
      <c r="Q217" s="3477" t="s">
        <v>4001</v>
      </c>
      <c r="R217" s="3477">
        <v>2129</v>
      </c>
      <c r="S217" s="3477">
        <v>5006</v>
      </c>
      <c r="T217" s="3477">
        <v>0</v>
      </c>
    </row>
    <row r="218" spans="1:20" ht="14.25">
      <c r="A218" s="3477" t="s">
        <v>4002</v>
      </c>
      <c r="B218" s="3477" t="s">
        <v>3454</v>
      </c>
      <c r="C218" s="3477" t="s">
        <v>4002</v>
      </c>
      <c r="D218" s="3477" t="s">
        <v>3464</v>
      </c>
      <c r="E218" s="3477">
        <v>19482</v>
      </c>
      <c r="F218" s="3477">
        <v>19676.82</v>
      </c>
      <c r="G218" s="3477" t="s">
        <v>4003</v>
      </c>
      <c r="H218" s="3477" t="s">
        <v>3457</v>
      </c>
      <c r="I218" s="3477" t="s">
        <v>3408</v>
      </c>
      <c r="J218" s="3477" t="s">
        <v>3427</v>
      </c>
      <c r="K218" s="3477" t="s">
        <v>3999</v>
      </c>
      <c r="L218" s="3477" t="s">
        <v>3999</v>
      </c>
      <c r="M218" s="3477" t="s">
        <v>3460</v>
      </c>
      <c r="N218" s="3477" t="s">
        <v>4000</v>
      </c>
      <c r="O218" s="3477">
        <v>3565</v>
      </c>
      <c r="P218" s="3477">
        <v>720</v>
      </c>
      <c r="Q218" s="3477" t="s">
        <v>4001</v>
      </c>
      <c r="R218" s="3477">
        <v>3565</v>
      </c>
      <c r="S218" s="3477">
        <v>1812</v>
      </c>
      <c r="T218" s="3477">
        <v>0</v>
      </c>
    </row>
    <row r="219" spans="1:20" ht="14.25">
      <c r="A219" s="3477" t="s">
        <v>4004</v>
      </c>
      <c r="B219" s="3477" t="s">
        <v>3454</v>
      </c>
      <c r="C219" s="3477" t="s">
        <v>4004</v>
      </c>
      <c r="D219" s="3477" t="s">
        <v>3464</v>
      </c>
      <c r="E219" s="3477">
        <v>5004</v>
      </c>
      <c r="F219" s="3477">
        <v>5504.4</v>
      </c>
      <c r="G219" s="3477" t="s">
        <v>4005</v>
      </c>
      <c r="H219" s="3477" t="s">
        <v>3457</v>
      </c>
      <c r="I219" s="3477" t="s">
        <v>3408</v>
      </c>
      <c r="J219" s="3477" t="s">
        <v>3427</v>
      </c>
      <c r="K219" s="3477" t="s">
        <v>3910</v>
      </c>
      <c r="L219" s="3477" t="s">
        <v>3910</v>
      </c>
      <c r="M219" s="3477" t="s">
        <v>3460</v>
      </c>
      <c r="N219" s="3477" t="s">
        <v>3911</v>
      </c>
      <c r="O219" s="3477">
        <v>1170</v>
      </c>
      <c r="P219" s="3477">
        <v>240</v>
      </c>
      <c r="Q219" s="3477" t="s">
        <v>3912</v>
      </c>
      <c r="R219" s="3477">
        <v>1170</v>
      </c>
      <c r="S219" s="3477">
        <v>2126</v>
      </c>
      <c r="T219" s="3477">
        <v>0</v>
      </c>
    </row>
    <row r="220" spans="1:20" ht="14.25">
      <c r="A220" s="3477" t="s">
        <v>4006</v>
      </c>
      <c r="B220" s="3477" t="s">
        <v>3454</v>
      </c>
      <c r="C220" s="3477" t="s">
        <v>4006</v>
      </c>
      <c r="D220" s="3477" t="s">
        <v>3464</v>
      </c>
      <c r="E220" s="3477">
        <v>45621</v>
      </c>
      <c r="F220" s="3477">
        <v>82117.8</v>
      </c>
      <c r="G220" s="3477" t="s">
        <v>3465</v>
      </c>
      <c r="H220" s="3477" t="s">
        <v>3457</v>
      </c>
      <c r="I220" s="3477" t="s">
        <v>3408</v>
      </c>
      <c r="J220" s="3477" t="s">
        <v>3427</v>
      </c>
      <c r="K220" s="3477" t="s">
        <v>4007</v>
      </c>
      <c r="L220" s="3477" t="s">
        <v>4007</v>
      </c>
      <c r="M220" s="3477" t="s">
        <v>3460</v>
      </c>
      <c r="N220" s="3477" t="s">
        <v>4008</v>
      </c>
      <c r="O220" s="3477">
        <v>13002</v>
      </c>
      <c r="P220" s="3477">
        <v>4000</v>
      </c>
      <c r="Q220" s="3477" t="s">
        <v>4009</v>
      </c>
      <c r="R220" s="3477">
        <v>13002</v>
      </c>
      <c r="S220" s="3477">
        <v>1583</v>
      </c>
      <c r="T220" s="3477">
        <v>0</v>
      </c>
    </row>
    <row r="221" spans="1:20" ht="14.25">
      <c r="A221" s="3477" t="s">
        <v>4010</v>
      </c>
      <c r="B221" s="3477" t="s">
        <v>3454</v>
      </c>
      <c r="C221" s="3477" t="s">
        <v>4010</v>
      </c>
      <c r="D221" s="3477" t="s">
        <v>3464</v>
      </c>
      <c r="E221" s="3477">
        <v>45620</v>
      </c>
      <c r="F221" s="3477">
        <v>82116</v>
      </c>
      <c r="G221" s="3477" t="s">
        <v>3465</v>
      </c>
      <c r="H221" s="3477" t="s">
        <v>3457</v>
      </c>
      <c r="I221" s="3477" t="s">
        <v>3408</v>
      </c>
      <c r="J221" s="3477" t="s">
        <v>3427</v>
      </c>
      <c r="K221" s="3477" t="s">
        <v>4007</v>
      </c>
      <c r="L221" s="3477" t="s">
        <v>4007</v>
      </c>
      <c r="M221" s="3477" t="s">
        <v>3460</v>
      </c>
      <c r="N221" s="3477" t="s">
        <v>4011</v>
      </c>
      <c r="O221" s="3477">
        <v>13001</v>
      </c>
      <c r="P221" s="3477">
        <v>4000</v>
      </c>
      <c r="Q221" s="3477" t="s">
        <v>4009</v>
      </c>
      <c r="R221" s="3477">
        <v>13001</v>
      </c>
      <c r="S221" s="3477">
        <v>1583</v>
      </c>
      <c r="T221" s="3477">
        <v>0</v>
      </c>
    </row>
    <row r="222" spans="1:20" ht="14.25">
      <c r="A222" s="3477" t="s">
        <v>4012</v>
      </c>
      <c r="B222" s="3477" t="s">
        <v>3454</v>
      </c>
      <c r="C222" s="3477" t="s">
        <v>4013</v>
      </c>
      <c r="D222" s="3477" t="s">
        <v>3455</v>
      </c>
      <c r="E222" s="3477">
        <v>5707</v>
      </c>
      <c r="F222" s="3477">
        <v>2282.8000000000002</v>
      </c>
      <c r="G222" s="3477" t="s">
        <v>4014</v>
      </c>
      <c r="H222" s="3477" t="s">
        <v>3457</v>
      </c>
      <c r="I222" s="3477" t="s">
        <v>3458</v>
      </c>
      <c r="J222" s="3477" t="s">
        <v>3427</v>
      </c>
      <c r="K222" s="3477" t="s">
        <v>4015</v>
      </c>
      <c r="L222" s="3477" t="s">
        <v>4015</v>
      </c>
      <c r="M222" s="3477" t="s">
        <v>3460</v>
      </c>
      <c r="N222" s="3477" t="s">
        <v>4016</v>
      </c>
      <c r="O222" s="3477">
        <v>12850</v>
      </c>
      <c r="P222" s="3477">
        <v>2570</v>
      </c>
      <c r="Q222" s="3477" t="s">
        <v>4017</v>
      </c>
      <c r="R222" s="3477">
        <v>12850</v>
      </c>
      <c r="S222" s="3477">
        <v>56291</v>
      </c>
      <c r="T222" s="3477">
        <v>0</v>
      </c>
    </row>
    <row r="223" spans="1:20" ht="14.25">
      <c r="A223" s="3477" t="s">
        <v>4018</v>
      </c>
      <c r="B223" s="3477" t="s">
        <v>3454</v>
      </c>
      <c r="C223" s="3477" t="s">
        <v>4019</v>
      </c>
      <c r="D223" s="3477" t="s">
        <v>3455</v>
      </c>
      <c r="E223" s="3477">
        <v>19423</v>
      </c>
      <c r="F223" s="3477">
        <v>33019.1</v>
      </c>
      <c r="G223" s="3477" t="s">
        <v>4020</v>
      </c>
      <c r="H223" s="3477" t="s">
        <v>3457</v>
      </c>
      <c r="I223" s="3477" t="s">
        <v>3458</v>
      </c>
      <c r="J223" s="3477" t="s">
        <v>3427</v>
      </c>
      <c r="K223" s="3477" t="s">
        <v>4015</v>
      </c>
      <c r="L223" s="3477" t="s">
        <v>4015</v>
      </c>
      <c r="M223" s="3477" t="s">
        <v>3460</v>
      </c>
      <c r="N223" s="3477" t="s">
        <v>3879</v>
      </c>
      <c r="O223" s="3477">
        <v>7430</v>
      </c>
      <c r="P223" s="3477">
        <v>1490</v>
      </c>
      <c r="Q223" s="3477" t="s">
        <v>4017</v>
      </c>
      <c r="R223" s="3477">
        <v>7430</v>
      </c>
      <c r="S223" s="3477">
        <v>2250</v>
      </c>
      <c r="T223" s="3477">
        <v>0</v>
      </c>
    </row>
    <row r="224" spans="1:20" ht="14.25">
      <c r="A224" s="3477" t="s">
        <v>4021</v>
      </c>
      <c r="B224" s="3477" t="s">
        <v>3454</v>
      </c>
      <c r="C224" s="3477" t="s">
        <v>4022</v>
      </c>
      <c r="D224" s="3477" t="s">
        <v>3464</v>
      </c>
      <c r="E224" s="3477">
        <v>20017</v>
      </c>
      <c r="F224" s="3477">
        <v>40034</v>
      </c>
      <c r="G224" s="3477" t="s">
        <v>3523</v>
      </c>
      <c r="H224" s="3477" t="s">
        <v>3457</v>
      </c>
      <c r="I224" s="3477" t="s">
        <v>3408</v>
      </c>
      <c r="J224" s="3477" t="s">
        <v>3427</v>
      </c>
      <c r="K224" s="3477" t="s">
        <v>4023</v>
      </c>
      <c r="L224" s="3477" t="s">
        <v>4023</v>
      </c>
      <c r="M224" s="3477" t="s">
        <v>3460</v>
      </c>
      <c r="N224" s="3477" t="s">
        <v>3966</v>
      </c>
      <c r="O224" s="3477">
        <v>21303</v>
      </c>
      <c r="P224" s="3477">
        <v>4300</v>
      </c>
      <c r="Q224" s="3477" t="s">
        <v>4017</v>
      </c>
      <c r="R224" s="3477">
        <v>21303</v>
      </c>
      <c r="S224" s="3477">
        <v>5321</v>
      </c>
      <c r="T224" s="3477">
        <v>0</v>
      </c>
    </row>
    <row r="225" spans="1:20" ht="14.25">
      <c r="A225" s="3477" t="s">
        <v>4024</v>
      </c>
      <c r="B225" s="3477" t="s">
        <v>3454</v>
      </c>
      <c r="C225" s="3477" t="s">
        <v>4025</v>
      </c>
      <c r="D225" s="3477" t="s">
        <v>3455</v>
      </c>
      <c r="E225" s="3477">
        <v>22983</v>
      </c>
      <c r="F225" s="3477">
        <v>91932</v>
      </c>
      <c r="G225" s="3477" t="s">
        <v>3933</v>
      </c>
      <c r="H225" s="3477" t="s">
        <v>3457</v>
      </c>
      <c r="I225" s="3477" t="s">
        <v>3407</v>
      </c>
      <c r="J225" s="3477" t="s">
        <v>3427</v>
      </c>
      <c r="K225" s="3477" t="s">
        <v>4023</v>
      </c>
      <c r="L225" s="3477" t="s">
        <v>4023</v>
      </c>
      <c r="M225" s="3477" t="s">
        <v>3460</v>
      </c>
      <c r="N225" s="3477" t="s">
        <v>3966</v>
      </c>
      <c r="O225" s="3477">
        <v>15995</v>
      </c>
      <c r="P225" s="3477">
        <v>3200</v>
      </c>
      <c r="Q225" s="3477" t="s">
        <v>4026</v>
      </c>
      <c r="R225" s="3477">
        <v>15995</v>
      </c>
      <c r="S225" s="3477">
        <v>1740</v>
      </c>
      <c r="T225" s="3477">
        <v>0</v>
      </c>
    </row>
    <row r="226" spans="1:20" ht="14.25">
      <c r="A226" s="3477" t="s">
        <v>4027</v>
      </c>
      <c r="B226" s="3477" t="s">
        <v>3454</v>
      </c>
      <c r="C226" s="3477" t="s">
        <v>4028</v>
      </c>
      <c r="D226" s="3477" t="s">
        <v>3455</v>
      </c>
      <c r="E226" s="3477">
        <v>19542</v>
      </c>
      <c r="F226" s="3477">
        <v>48855</v>
      </c>
      <c r="G226" s="3477" t="s">
        <v>4029</v>
      </c>
      <c r="H226" s="3477" t="s">
        <v>3457</v>
      </c>
      <c r="I226" s="3477" t="s">
        <v>3407</v>
      </c>
      <c r="J226" s="3477" t="s">
        <v>3427</v>
      </c>
      <c r="K226" s="3477" t="s">
        <v>4023</v>
      </c>
      <c r="L226" s="3477" t="s">
        <v>4023</v>
      </c>
      <c r="M226" s="3477" t="s">
        <v>3460</v>
      </c>
      <c r="N226" s="3477" t="s">
        <v>3966</v>
      </c>
      <c r="O226" s="3477">
        <v>10182</v>
      </c>
      <c r="P226" s="3477">
        <v>2040</v>
      </c>
      <c r="Q226" s="3477" t="s">
        <v>4026</v>
      </c>
      <c r="R226" s="3477">
        <v>10182</v>
      </c>
      <c r="S226" s="3477">
        <v>2084</v>
      </c>
      <c r="T226" s="3477">
        <v>0</v>
      </c>
    </row>
    <row r="227" spans="1:20" ht="14.25">
      <c r="A227" s="3477" t="s">
        <v>4030</v>
      </c>
      <c r="B227" s="3477" t="s">
        <v>3454</v>
      </c>
      <c r="C227" s="3477" t="s">
        <v>4031</v>
      </c>
      <c r="D227" s="3477" t="s">
        <v>3455</v>
      </c>
      <c r="E227" s="3477">
        <v>29878</v>
      </c>
      <c r="F227" s="3477">
        <v>89634</v>
      </c>
      <c r="G227" s="3477" t="s">
        <v>4032</v>
      </c>
      <c r="H227" s="3477" t="s">
        <v>3457</v>
      </c>
      <c r="I227" s="3477" t="s">
        <v>3407</v>
      </c>
      <c r="J227" s="3477" t="s">
        <v>3427</v>
      </c>
      <c r="K227" s="3477" t="s">
        <v>4023</v>
      </c>
      <c r="L227" s="3477" t="s">
        <v>4023</v>
      </c>
      <c r="M227" s="3477" t="s">
        <v>3460</v>
      </c>
      <c r="N227" s="3477" t="s">
        <v>3966</v>
      </c>
      <c r="O227" s="3477">
        <v>17124</v>
      </c>
      <c r="P227" s="3477">
        <v>3430</v>
      </c>
      <c r="Q227" s="3477" t="s">
        <v>4026</v>
      </c>
      <c r="R227" s="3477">
        <v>17124</v>
      </c>
      <c r="S227" s="3477">
        <v>1910</v>
      </c>
      <c r="T227" s="3477">
        <v>0</v>
      </c>
    </row>
    <row r="228" spans="1:20" ht="14.25">
      <c r="A228" s="3477" t="s">
        <v>4033</v>
      </c>
      <c r="B228" s="3477" t="s">
        <v>3454</v>
      </c>
      <c r="C228" s="3477" t="s">
        <v>4034</v>
      </c>
      <c r="D228" s="3477" t="s">
        <v>3464</v>
      </c>
      <c r="E228" s="3477">
        <v>21171</v>
      </c>
      <c r="F228" s="3477">
        <v>48693.3</v>
      </c>
      <c r="G228" s="3477" t="s">
        <v>3471</v>
      </c>
      <c r="H228" s="3477" t="s">
        <v>3457</v>
      </c>
      <c r="I228" s="3477" t="s">
        <v>3408</v>
      </c>
      <c r="J228" s="3477" t="s">
        <v>3427</v>
      </c>
      <c r="K228" s="3477" t="s">
        <v>4015</v>
      </c>
      <c r="L228" s="3477" t="s">
        <v>4015</v>
      </c>
      <c r="M228" s="3477" t="s">
        <v>3460</v>
      </c>
      <c r="N228" s="3477" t="s">
        <v>4035</v>
      </c>
      <c r="O228" s="3477">
        <v>30434</v>
      </c>
      <c r="P228" s="3477">
        <v>6100</v>
      </c>
      <c r="Q228" s="3477" t="s">
        <v>4017</v>
      </c>
      <c r="R228" s="3477">
        <v>31234</v>
      </c>
      <c r="S228" s="3477">
        <v>6414</v>
      </c>
      <c r="T228" s="3477">
        <v>2.63</v>
      </c>
    </row>
    <row r="229" spans="1:20" ht="14.25">
      <c r="A229" s="3477" t="s">
        <v>4036</v>
      </c>
      <c r="B229" s="3477" t="s">
        <v>3454</v>
      </c>
      <c r="C229" s="3477" t="s">
        <v>4037</v>
      </c>
      <c r="D229" s="3477" t="s">
        <v>3464</v>
      </c>
      <c r="E229" s="3477">
        <v>20462</v>
      </c>
      <c r="F229" s="3477">
        <v>40924</v>
      </c>
      <c r="G229" s="3477" t="s">
        <v>3523</v>
      </c>
      <c r="H229" s="3477" t="s">
        <v>3457</v>
      </c>
      <c r="I229" s="3477" t="s">
        <v>3408</v>
      </c>
      <c r="J229" s="3477" t="s">
        <v>3427</v>
      </c>
      <c r="K229" s="3477" t="s">
        <v>4015</v>
      </c>
      <c r="L229" s="3477" t="s">
        <v>4015</v>
      </c>
      <c r="M229" s="3477" t="s">
        <v>3460</v>
      </c>
      <c r="N229" s="3477" t="s">
        <v>4038</v>
      </c>
      <c r="O229" s="3477">
        <v>25802</v>
      </c>
      <c r="P229" s="3477">
        <v>5170</v>
      </c>
      <c r="Q229" s="3477" t="s">
        <v>4017</v>
      </c>
      <c r="R229" s="3477">
        <v>25802</v>
      </c>
      <c r="S229" s="3477">
        <v>6305</v>
      </c>
      <c r="T229" s="3477">
        <v>0</v>
      </c>
    </row>
    <row r="230" spans="1:20" ht="14.25">
      <c r="A230" s="3477" t="s">
        <v>4039</v>
      </c>
      <c r="B230" s="3477" t="s">
        <v>3454</v>
      </c>
      <c r="C230" s="3477" t="s">
        <v>4040</v>
      </c>
      <c r="D230" s="3477" t="s">
        <v>3455</v>
      </c>
      <c r="E230" s="3477">
        <v>8591</v>
      </c>
      <c r="F230" s="3477">
        <v>25773</v>
      </c>
      <c r="G230" s="3477" t="s">
        <v>4041</v>
      </c>
      <c r="H230" s="3477" t="s">
        <v>3457</v>
      </c>
      <c r="I230" s="3477" t="s">
        <v>3407</v>
      </c>
      <c r="J230" s="3477" t="s">
        <v>3427</v>
      </c>
      <c r="K230" s="3477" t="s">
        <v>4023</v>
      </c>
      <c r="L230" s="3477" t="s">
        <v>4023</v>
      </c>
      <c r="M230" s="3477" t="s">
        <v>3460</v>
      </c>
      <c r="N230" s="3477" t="s">
        <v>3966</v>
      </c>
      <c r="O230" s="3477">
        <v>5038</v>
      </c>
      <c r="P230" s="3477">
        <v>1010</v>
      </c>
      <c r="Q230" s="3477" t="s">
        <v>4026</v>
      </c>
      <c r="R230" s="3477">
        <v>5038</v>
      </c>
      <c r="S230" s="3477">
        <v>1955</v>
      </c>
      <c r="T230" s="3477">
        <v>0</v>
      </c>
    </row>
    <row r="231" spans="1:20" ht="14.25">
      <c r="A231" s="3477" t="s">
        <v>4042</v>
      </c>
      <c r="B231" s="3477" t="s">
        <v>3454</v>
      </c>
      <c r="C231" s="3477" t="s">
        <v>4043</v>
      </c>
      <c r="D231" s="3477" t="s">
        <v>3464</v>
      </c>
      <c r="E231" s="3477">
        <v>39780</v>
      </c>
      <c r="F231" s="3477">
        <v>83538</v>
      </c>
      <c r="G231" s="3477" t="s">
        <v>3991</v>
      </c>
      <c r="H231" s="3477" t="s">
        <v>3457</v>
      </c>
      <c r="I231" s="3477" t="s">
        <v>3408</v>
      </c>
      <c r="J231" s="3477" t="s">
        <v>3427</v>
      </c>
      <c r="K231" s="3477" t="s">
        <v>4023</v>
      </c>
      <c r="L231" s="3477" t="s">
        <v>4023</v>
      </c>
      <c r="M231" s="3477" t="s">
        <v>3460</v>
      </c>
      <c r="N231" s="3477" t="s">
        <v>3966</v>
      </c>
      <c r="O231" s="3477">
        <v>53044</v>
      </c>
      <c r="P231" s="3477">
        <v>10610</v>
      </c>
      <c r="Q231" s="3477" t="s">
        <v>4017</v>
      </c>
      <c r="R231" s="3477">
        <v>53044</v>
      </c>
      <c r="S231" s="3477">
        <v>6350</v>
      </c>
      <c r="T231" s="3477">
        <v>0</v>
      </c>
    </row>
    <row r="232" spans="1:20" ht="14.25">
      <c r="A232" s="3477" t="s">
        <v>4044</v>
      </c>
      <c r="B232" s="3477" t="s">
        <v>3454</v>
      </c>
      <c r="C232" s="3477" t="s">
        <v>4045</v>
      </c>
      <c r="D232" s="3477" t="s">
        <v>3464</v>
      </c>
      <c r="E232" s="3477">
        <v>25972</v>
      </c>
      <c r="F232" s="3477">
        <v>51944</v>
      </c>
      <c r="G232" s="3477" t="s">
        <v>3523</v>
      </c>
      <c r="H232" s="3477" t="s">
        <v>3457</v>
      </c>
      <c r="I232" s="3477" t="s">
        <v>3408</v>
      </c>
      <c r="J232" s="3477" t="s">
        <v>3427</v>
      </c>
      <c r="K232" s="3477" t="s">
        <v>4015</v>
      </c>
      <c r="L232" s="3477" t="s">
        <v>4015</v>
      </c>
      <c r="M232" s="3477" t="s">
        <v>3460</v>
      </c>
      <c r="N232" s="3477" t="s">
        <v>4046</v>
      </c>
      <c r="O232" s="3477">
        <v>33097</v>
      </c>
      <c r="P232" s="3477">
        <v>6620</v>
      </c>
      <c r="Q232" s="3477" t="s">
        <v>4017</v>
      </c>
      <c r="R232" s="3477">
        <v>33297</v>
      </c>
      <c r="S232" s="3477">
        <v>6410</v>
      </c>
      <c r="T232" s="3477">
        <v>0.6</v>
      </c>
    </row>
    <row r="233" spans="1:20" ht="14.25">
      <c r="A233" s="3477" t="s">
        <v>4047</v>
      </c>
      <c r="B233" s="3477" t="s">
        <v>3454</v>
      </c>
      <c r="C233" s="3477" t="s">
        <v>4048</v>
      </c>
      <c r="D233" s="3477" t="s">
        <v>3464</v>
      </c>
      <c r="E233" s="3477">
        <v>54371</v>
      </c>
      <c r="F233" s="3477">
        <v>119616.2</v>
      </c>
      <c r="G233" s="3477" t="s">
        <v>3531</v>
      </c>
      <c r="H233" s="3477" t="s">
        <v>3457</v>
      </c>
      <c r="I233" s="3477" t="s">
        <v>3408</v>
      </c>
      <c r="J233" s="3477" t="s">
        <v>3427</v>
      </c>
      <c r="K233" s="3477" t="s">
        <v>4049</v>
      </c>
      <c r="L233" s="3477" t="s">
        <v>4049</v>
      </c>
      <c r="M233" s="3477" t="s">
        <v>3460</v>
      </c>
      <c r="N233" s="3477" t="s">
        <v>4050</v>
      </c>
      <c r="O233" s="3477">
        <v>39115</v>
      </c>
      <c r="P233" s="3477">
        <v>10590</v>
      </c>
      <c r="Q233" s="3477" t="s">
        <v>4051</v>
      </c>
      <c r="R233" s="3477">
        <v>39115</v>
      </c>
      <c r="S233" s="3477">
        <v>3270</v>
      </c>
      <c r="T233" s="3477">
        <v>0</v>
      </c>
    </row>
    <row r="234" spans="1:20" ht="14.25">
      <c r="A234" s="3477" t="s">
        <v>4052</v>
      </c>
      <c r="B234" s="3477" t="s">
        <v>3454</v>
      </c>
      <c r="C234" s="3477" t="s">
        <v>4053</v>
      </c>
      <c r="D234" s="3477" t="s">
        <v>3455</v>
      </c>
      <c r="E234" s="3477">
        <v>27998</v>
      </c>
      <c r="F234" s="3477">
        <v>97993</v>
      </c>
      <c r="G234" s="3477" t="s">
        <v>4054</v>
      </c>
      <c r="H234" s="3477" t="s">
        <v>3457</v>
      </c>
      <c r="I234" s="3477" t="s">
        <v>3407</v>
      </c>
      <c r="J234" s="3477" t="s">
        <v>3427</v>
      </c>
      <c r="K234" s="3477" t="s">
        <v>4049</v>
      </c>
      <c r="L234" s="3477" t="s">
        <v>4049</v>
      </c>
      <c r="M234" s="3477" t="s">
        <v>3460</v>
      </c>
      <c r="N234" s="3477" t="s">
        <v>4050</v>
      </c>
      <c r="O234" s="3477">
        <v>13798</v>
      </c>
      <c r="P234" s="3477">
        <v>10590</v>
      </c>
      <c r="Q234" s="3477" t="s">
        <v>4051</v>
      </c>
      <c r="R234" s="3477">
        <v>13798</v>
      </c>
      <c r="S234" s="3477">
        <v>1408</v>
      </c>
      <c r="T234" s="3477">
        <v>0</v>
      </c>
    </row>
    <row r="235" spans="1:20" ht="14.25">
      <c r="A235" s="3477" t="s">
        <v>4055</v>
      </c>
      <c r="B235" s="3477" t="s">
        <v>3454</v>
      </c>
      <c r="C235" s="3477" t="s">
        <v>4056</v>
      </c>
      <c r="D235" s="3477" t="s">
        <v>3455</v>
      </c>
      <c r="E235" s="3477">
        <v>2279</v>
      </c>
      <c r="F235" s="3477">
        <v>2051.1</v>
      </c>
      <c r="G235" s="3477" t="s">
        <v>3662</v>
      </c>
      <c r="H235" s="3477" t="s">
        <v>3457</v>
      </c>
      <c r="I235" s="3477" t="s">
        <v>3407</v>
      </c>
      <c r="J235" s="3477" t="s">
        <v>3427</v>
      </c>
      <c r="K235" s="3477" t="s">
        <v>4057</v>
      </c>
      <c r="L235" s="3477" t="s">
        <v>4057</v>
      </c>
      <c r="M235" s="3477" t="s">
        <v>3460</v>
      </c>
      <c r="N235" s="3477" t="s">
        <v>3626</v>
      </c>
      <c r="O235" s="3477">
        <v>1837</v>
      </c>
      <c r="P235" s="3477">
        <v>370</v>
      </c>
      <c r="Q235" s="3477" t="s">
        <v>4058</v>
      </c>
      <c r="R235" s="3477">
        <v>1837</v>
      </c>
      <c r="S235" s="3477">
        <v>8956</v>
      </c>
      <c r="T235" s="3477">
        <v>0</v>
      </c>
    </row>
    <row r="236" spans="1:20" ht="14.25">
      <c r="A236" s="3477" t="s">
        <v>4059</v>
      </c>
      <c r="B236" s="3477" t="s">
        <v>3454</v>
      </c>
      <c r="C236" s="3477" t="s">
        <v>4059</v>
      </c>
      <c r="D236" s="3477" t="s">
        <v>3455</v>
      </c>
      <c r="E236" s="3477">
        <v>13984</v>
      </c>
      <c r="F236" s="3477">
        <v>27968</v>
      </c>
      <c r="G236" s="3477" t="s">
        <v>3456</v>
      </c>
      <c r="H236" s="3477" t="s">
        <v>3457</v>
      </c>
      <c r="I236" s="3477" t="s">
        <v>3458</v>
      </c>
      <c r="J236" s="3477" t="s">
        <v>3427</v>
      </c>
      <c r="K236" s="3477" t="s">
        <v>4060</v>
      </c>
      <c r="L236" s="3477" t="s">
        <v>4060</v>
      </c>
      <c r="M236" s="3477" t="s">
        <v>3460</v>
      </c>
      <c r="N236" s="3477" t="s">
        <v>4061</v>
      </c>
      <c r="O236" s="3477">
        <v>4200</v>
      </c>
      <c r="P236" s="3477">
        <v>1300</v>
      </c>
      <c r="Q236" s="3477" t="s">
        <v>4062</v>
      </c>
      <c r="R236" s="3477">
        <v>4200</v>
      </c>
      <c r="S236" s="3477">
        <v>1502</v>
      </c>
      <c r="T236" s="3477">
        <v>0</v>
      </c>
    </row>
    <row r="237" spans="1:20" ht="14.25">
      <c r="A237" s="3477" t="s">
        <v>4063</v>
      </c>
      <c r="B237" s="3477" t="s">
        <v>3454</v>
      </c>
      <c r="C237" s="3477" t="s">
        <v>4063</v>
      </c>
      <c r="D237" s="3477" t="s">
        <v>3464</v>
      </c>
      <c r="E237" s="3477">
        <v>8797</v>
      </c>
      <c r="F237" s="3477">
        <v>15834.6</v>
      </c>
      <c r="G237" s="3477" t="s">
        <v>3465</v>
      </c>
      <c r="H237" s="3477" t="s">
        <v>3457</v>
      </c>
      <c r="I237" s="3477" t="s">
        <v>3408</v>
      </c>
      <c r="J237" s="3477" t="s">
        <v>3427</v>
      </c>
      <c r="K237" s="3477" t="s">
        <v>4060</v>
      </c>
      <c r="L237" s="3477" t="s">
        <v>4060</v>
      </c>
      <c r="M237" s="3477" t="s">
        <v>3460</v>
      </c>
      <c r="N237" s="3477" t="s">
        <v>4011</v>
      </c>
      <c r="O237" s="3477">
        <v>2650</v>
      </c>
      <c r="P237" s="3477">
        <v>800</v>
      </c>
      <c r="Q237" s="3477" t="s">
        <v>4062</v>
      </c>
      <c r="R237" s="3477">
        <v>2650</v>
      </c>
      <c r="S237" s="3477">
        <v>1674</v>
      </c>
      <c r="T237" s="3477">
        <v>0</v>
      </c>
    </row>
    <row r="238" spans="1:20" ht="14.25">
      <c r="A238" s="3477" t="s">
        <v>4064</v>
      </c>
      <c r="B238" s="3477" t="s">
        <v>3454</v>
      </c>
      <c r="C238" s="3477" t="s">
        <v>4064</v>
      </c>
      <c r="D238" s="3477" t="s">
        <v>3464</v>
      </c>
      <c r="E238" s="3477">
        <v>11114</v>
      </c>
      <c r="F238" s="3477">
        <v>16671</v>
      </c>
      <c r="G238" s="3477" t="s">
        <v>3750</v>
      </c>
      <c r="H238" s="3477" t="s">
        <v>3457</v>
      </c>
      <c r="I238" s="3477" t="s">
        <v>3408</v>
      </c>
      <c r="J238" s="3477" t="s">
        <v>3427</v>
      </c>
      <c r="K238" s="3477" t="s">
        <v>4060</v>
      </c>
      <c r="L238" s="3477" t="s">
        <v>4060</v>
      </c>
      <c r="M238" s="3477" t="s">
        <v>3460</v>
      </c>
      <c r="N238" s="3477" t="s">
        <v>4065</v>
      </c>
      <c r="O238" s="3477">
        <v>2746</v>
      </c>
      <c r="P238" s="3477">
        <v>1400</v>
      </c>
      <c r="Q238" s="3477" t="s">
        <v>4062</v>
      </c>
      <c r="R238" s="3477">
        <v>2746</v>
      </c>
      <c r="S238" s="3477">
        <v>1647</v>
      </c>
      <c r="T238" s="3477">
        <v>0</v>
      </c>
    </row>
    <row r="239" spans="1:20" ht="14.25">
      <c r="A239" s="3477" t="s">
        <v>4066</v>
      </c>
      <c r="B239" s="3477" t="s">
        <v>3454</v>
      </c>
      <c r="C239" s="3477" t="s">
        <v>4066</v>
      </c>
      <c r="D239" s="3477" t="s">
        <v>3464</v>
      </c>
      <c r="E239" s="3477">
        <v>46750</v>
      </c>
      <c r="F239" s="3477">
        <v>84150</v>
      </c>
      <c r="G239" s="3477" t="s">
        <v>3465</v>
      </c>
      <c r="H239" s="3477" t="s">
        <v>3457</v>
      </c>
      <c r="I239" s="3477" t="s">
        <v>3408</v>
      </c>
      <c r="J239" s="3477" t="s">
        <v>3427</v>
      </c>
      <c r="K239" s="3477" t="s">
        <v>4060</v>
      </c>
      <c r="L239" s="3477" t="s">
        <v>4060</v>
      </c>
      <c r="M239" s="3477" t="s">
        <v>3460</v>
      </c>
      <c r="N239" s="3477" t="s">
        <v>4061</v>
      </c>
      <c r="O239" s="3477">
        <v>14000</v>
      </c>
      <c r="P239" s="3477">
        <v>4200</v>
      </c>
      <c r="Q239" s="3477" t="s">
        <v>4062</v>
      </c>
      <c r="R239" s="3477">
        <v>14000</v>
      </c>
      <c r="S239" s="3477">
        <v>1664</v>
      </c>
      <c r="T239" s="3477">
        <v>0</v>
      </c>
    </row>
    <row r="240" spans="1:20" ht="14.25">
      <c r="A240" s="3477" t="s">
        <v>4067</v>
      </c>
      <c r="B240" s="3477" t="s">
        <v>3454</v>
      </c>
      <c r="C240" s="3477" t="s">
        <v>4067</v>
      </c>
      <c r="D240" s="3477" t="s">
        <v>3455</v>
      </c>
      <c r="E240" s="3477">
        <v>2168.8000000000002</v>
      </c>
      <c r="F240" s="3477">
        <v>1084.4000000000001</v>
      </c>
      <c r="G240" s="3477" t="s">
        <v>4068</v>
      </c>
      <c r="H240" s="3477" t="s">
        <v>3457</v>
      </c>
      <c r="I240" s="3477" t="s">
        <v>3458</v>
      </c>
      <c r="J240" s="3477" t="s">
        <v>3427</v>
      </c>
      <c r="K240" s="3477" t="s">
        <v>4069</v>
      </c>
      <c r="L240" s="3477" t="s">
        <v>4069</v>
      </c>
      <c r="M240" s="3477" t="s">
        <v>3460</v>
      </c>
      <c r="N240" s="3477" t="s">
        <v>4070</v>
      </c>
      <c r="O240" s="3477">
        <v>143</v>
      </c>
      <c r="P240" s="3477">
        <v>143</v>
      </c>
      <c r="Q240" s="3477" t="s">
        <v>4071</v>
      </c>
      <c r="R240" s="3477">
        <v>143</v>
      </c>
      <c r="S240" s="3477">
        <v>1319</v>
      </c>
      <c r="T240" s="3477">
        <v>0</v>
      </c>
    </row>
    <row r="241" spans="1:20" ht="14.25">
      <c r="A241" s="3477" t="s">
        <v>4072</v>
      </c>
      <c r="B241" s="3477" t="s">
        <v>3454</v>
      </c>
      <c r="C241" s="3477" t="s">
        <v>4073</v>
      </c>
      <c r="D241" s="3477" t="s">
        <v>3629</v>
      </c>
      <c r="E241" s="3477">
        <v>47127</v>
      </c>
      <c r="F241" s="3477">
        <v>136668.29999999999</v>
      </c>
      <c r="G241" s="3477" t="s">
        <v>4074</v>
      </c>
      <c r="H241" s="3477" t="s">
        <v>3457</v>
      </c>
      <c r="I241" s="3477" t="s">
        <v>3408</v>
      </c>
      <c r="J241" s="3477" t="s">
        <v>3427</v>
      </c>
      <c r="K241" s="3477" t="s">
        <v>4075</v>
      </c>
      <c r="L241" s="3477" t="s">
        <v>4075</v>
      </c>
      <c r="M241" s="3477" t="s">
        <v>3460</v>
      </c>
      <c r="N241" s="3477" t="s">
        <v>4076</v>
      </c>
      <c r="O241" s="3477">
        <v>159902</v>
      </c>
      <c r="P241" s="3477">
        <v>31981</v>
      </c>
      <c r="Q241" s="3477" t="s">
        <v>4077</v>
      </c>
      <c r="R241" s="3477">
        <v>160302</v>
      </c>
      <c r="S241" s="3477">
        <v>11729</v>
      </c>
      <c r="T241" s="3477">
        <v>0.25</v>
      </c>
    </row>
    <row r="242" spans="1:20" ht="14.25">
      <c r="A242" s="3477" t="s">
        <v>4078</v>
      </c>
      <c r="B242" s="3477" t="s">
        <v>3454</v>
      </c>
      <c r="C242" s="3477" t="s">
        <v>4078</v>
      </c>
      <c r="D242" s="3477" t="s">
        <v>3464</v>
      </c>
      <c r="E242" s="3477">
        <v>60663</v>
      </c>
      <c r="F242" s="3477">
        <v>90994.5</v>
      </c>
      <c r="G242" s="3477" t="s">
        <v>3750</v>
      </c>
      <c r="H242" s="3477" t="s">
        <v>3457</v>
      </c>
      <c r="I242" s="3477" t="s">
        <v>3408</v>
      </c>
      <c r="J242" s="3477" t="s">
        <v>3427</v>
      </c>
      <c r="K242" s="3477" t="s">
        <v>4079</v>
      </c>
      <c r="L242" s="3477" t="s">
        <v>4079</v>
      </c>
      <c r="M242" s="3477" t="s">
        <v>3460</v>
      </c>
      <c r="N242" s="3477" t="s">
        <v>4080</v>
      </c>
      <c r="O242" s="3477">
        <v>15138</v>
      </c>
      <c r="P242" s="3477">
        <v>7600</v>
      </c>
      <c r="Q242" s="3477" t="s">
        <v>4081</v>
      </c>
      <c r="R242" s="3477">
        <v>15138</v>
      </c>
      <c r="S242" s="3477">
        <v>1664</v>
      </c>
      <c r="T242" s="3477">
        <v>0</v>
      </c>
    </row>
    <row r="243" spans="1:20" ht="14.25">
      <c r="A243" s="3477" t="s">
        <v>4082</v>
      </c>
      <c r="B243" s="3477" t="s">
        <v>3454</v>
      </c>
      <c r="C243" s="3477" t="s">
        <v>4082</v>
      </c>
      <c r="D243" s="3477" t="s">
        <v>3455</v>
      </c>
      <c r="E243" s="3477">
        <v>5177</v>
      </c>
      <c r="F243" s="3477">
        <v>6730.1</v>
      </c>
      <c r="G243" s="3477" t="s">
        <v>4083</v>
      </c>
      <c r="H243" s="3477" t="s">
        <v>3457</v>
      </c>
      <c r="I243" s="3477" t="s">
        <v>3973</v>
      </c>
      <c r="J243" s="3477" t="s">
        <v>3427</v>
      </c>
      <c r="K243" s="3477" t="s">
        <v>4079</v>
      </c>
      <c r="L243" s="3477" t="s">
        <v>4079</v>
      </c>
      <c r="M243" s="3477" t="s">
        <v>3460</v>
      </c>
      <c r="N243" s="3477" t="s">
        <v>4084</v>
      </c>
      <c r="O243" s="3477">
        <v>637</v>
      </c>
      <c r="P243" s="3477">
        <v>637</v>
      </c>
      <c r="Q243" s="3477" t="s">
        <v>4081</v>
      </c>
      <c r="R243" s="3477">
        <v>637</v>
      </c>
      <c r="S243" s="3477">
        <v>946</v>
      </c>
      <c r="T243" s="3477">
        <v>0</v>
      </c>
    </row>
    <row r="244" spans="1:20" ht="14.25">
      <c r="A244" s="3477" t="s">
        <v>4085</v>
      </c>
      <c r="B244" s="3477" t="s">
        <v>3454</v>
      </c>
      <c r="C244" s="3477" t="s">
        <v>4086</v>
      </c>
      <c r="D244" s="3477" t="s">
        <v>3464</v>
      </c>
      <c r="E244" s="3477">
        <v>2643</v>
      </c>
      <c r="F244" s="3477">
        <v>2643</v>
      </c>
      <c r="G244" s="3477" t="s">
        <v>3636</v>
      </c>
      <c r="H244" s="3477" t="s">
        <v>3457</v>
      </c>
      <c r="I244" s="3477" t="s">
        <v>3408</v>
      </c>
      <c r="J244" s="3477" t="s">
        <v>3427</v>
      </c>
      <c r="K244" s="3477" t="s">
        <v>4087</v>
      </c>
      <c r="L244" s="3477" t="s">
        <v>4087</v>
      </c>
      <c r="M244" s="3477" t="s">
        <v>3460</v>
      </c>
      <c r="N244" s="3477" t="s">
        <v>3622</v>
      </c>
      <c r="O244" s="3477">
        <v>3186</v>
      </c>
      <c r="P244" s="3477">
        <v>638</v>
      </c>
      <c r="Q244" s="3477" t="s">
        <v>4088</v>
      </c>
      <c r="R244" s="3477">
        <v>3186</v>
      </c>
      <c r="S244" s="3477">
        <v>12054</v>
      </c>
      <c r="T244" s="3477">
        <v>0</v>
      </c>
    </row>
    <row r="245" spans="1:20" ht="14.25">
      <c r="A245" s="3477" t="s">
        <v>4089</v>
      </c>
      <c r="B245" s="3477" t="s">
        <v>3454</v>
      </c>
      <c r="C245" s="3477" t="s">
        <v>4090</v>
      </c>
      <c r="D245" s="3477" t="s">
        <v>3455</v>
      </c>
      <c r="E245" s="3477">
        <v>20008</v>
      </c>
      <c r="F245" s="3477">
        <v>60024</v>
      </c>
      <c r="G245" s="3477" t="s">
        <v>4091</v>
      </c>
      <c r="H245" s="3477" t="s">
        <v>3457</v>
      </c>
      <c r="I245" s="3477" t="s">
        <v>3407</v>
      </c>
      <c r="J245" s="3477" t="s">
        <v>3427</v>
      </c>
      <c r="K245" s="3477" t="s">
        <v>4087</v>
      </c>
      <c r="L245" s="3477" t="s">
        <v>4087</v>
      </c>
      <c r="M245" s="3477" t="s">
        <v>3460</v>
      </c>
      <c r="N245" s="3477" t="s">
        <v>4092</v>
      </c>
      <c r="O245" s="3477">
        <v>10027</v>
      </c>
      <c r="P245" s="3477">
        <v>2100</v>
      </c>
      <c r="Q245" s="3477" t="s">
        <v>4088</v>
      </c>
      <c r="R245" s="3477">
        <v>10027</v>
      </c>
      <c r="S245" s="3477">
        <v>1671</v>
      </c>
      <c r="T245" s="3477">
        <v>0</v>
      </c>
    </row>
    <row r="246" spans="1:20" ht="14.25">
      <c r="A246" s="3477" t="s">
        <v>4093</v>
      </c>
      <c r="B246" s="3477" t="s">
        <v>3454</v>
      </c>
      <c r="C246" s="3477" t="s">
        <v>4094</v>
      </c>
      <c r="D246" s="3477" t="s">
        <v>3455</v>
      </c>
      <c r="E246" s="3477">
        <v>133998</v>
      </c>
      <c r="F246" s="3477">
        <v>200997</v>
      </c>
      <c r="G246" s="3477" t="s">
        <v>3505</v>
      </c>
      <c r="H246" s="3477" t="s">
        <v>3457</v>
      </c>
      <c r="I246" s="3477" t="s">
        <v>3407</v>
      </c>
      <c r="J246" s="3477" t="s">
        <v>3427</v>
      </c>
      <c r="K246" s="3477" t="s">
        <v>4095</v>
      </c>
      <c r="L246" s="3477" t="s">
        <v>4095</v>
      </c>
      <c r="M246" s="3477" t="s">
        <v>3460</v>
      </c>
      <c r="N246" s="3477" t="s">
        <v>4096</v>
      </c>
      <c r="O246" s="3477">
        <v>35202</v>
      </c>
      <c r="P246" s="3477">
        <v>7041</v>
      </c>
      <c r="Q246" s="3477" t="s">
        <v>4097</v>
      </c>
      <c r="R246" s="3477">
        <v>35202</v>
      </c>
      <c r="S246" s="3477">
        <v>1751</v>
      </c>
      <c r="T246" s="3477">
        <v>0</v>
      </c>
    </row>
    <row r="247" spans="1:20" ht="14.25">
      <c r="A247" s="3477" t="s">
        <v>4098</v>
      </c>
      <c r="B247" s="3477" t="s">
        <v>3454</v>
      </c>
      <c r="C247" s="3477" t="s">
        <v>4099</v>
      </c>
      <c r="D247" s="3477" t="s">
        <v>3455</v>
      </c>
      <c r="E247" s="3477">
        <v>30217</v>
      </c>
      <c r="F247" s="3477">
        <v>90651</v>
      </c>
      <c r="G247" s="3477" t="s">
        <v>4032</v>
      </c>
      <c r="H247" s="3477" t="s">
        <v>3457</v>
      </c>
      <c r="I247" s="3477" t="s">
        <v>3407</v>
      </c>
      <c r="J247" s="3477" t="s">
        <v>3427</v>
      </c>
      <c r="K247" s="3477" t="s">
        <v>4095</v>
      </c>
      <c r="L247" s="3477" t="s">
        <v>4095</v>
      </c>
      <c r="M247" s="3477" t="s">
        <v>3460</v>
      </c>
      <c r="N247" s="3477" t="s">
        <v>4100</v>
      </c>
      <c r="O247" s="3477">
        <v>6799</v>
      </c>
      <c r="P247" s="3477">
        <v>1360</v>
      </c>
      <c r="Q247" s="3477" t="s">
        <v>4097</v>
      </c>
      <c r="R247" s="3477">
        <v>6799</v>
      </c>
      <c r="S247" s="3477">
        <v>750</v>
      </c>
      <c r="T247" s="3477">
        <v>0</v>
      </c>
    </row>
    <row r="248" spans="1:20" ht="14.25">
      <c r="A248" s="3477" t="s">
        <v>4101</v>
      </c>
      <c r="B248" s="3477" t="s">
        <v>3454</v>
      </c>
      <c r="C248" s="3477" t="s">
        <v>4102</v>
      </c>
      <c r="D248" s="3477" t="s">
        <v>3464</v>
      </c>
      <c r="E248" s="3477">
        <v>11639</v>
      </c>
      <c r="F248" s="3477">
        <v>33753.1</v>
      </c>
      <c r="G248" s="3477" t="s">
        <v>3569</v>
      </c>
      <c r="H248" s="3477" t="s">
        <v>3457</v>
      </c>
      <c r="I248" s="3477" t="s">
        <v>3408</v>
      </c>
      <c r="J248" s="3477" t="s">
        <v>3427</v>
      </c>
      <c r="K248" s="3477" t="s">
        <v>4103</v>
      </c>
      <c r="L248" s="3477" t="s">
        <v>4103</v>
      </c>
      <c r="M248" s="3477" t="s">
        <v>3460</v>
      </c>
      <c r="N248" s="3477" t="s">
        <v>4104</v>
      </c>
      <c r="O248" s="3477">
        <v>47255</v>
      </c>
      <c r="P248" s="3477">
        <v>9451</v>
      </c>
      <c r="Q248" s="3477" t="s">
        <v>4105</v>
      </c>
      <c r="R248" s="3477">
        <v>47455</v>
      </c>
      <c r="S248" s="3477">
        <v>14059</v>
      </c>
      <c r="T248" s="3477">
        <v>0.42</v>
      </c>
    </row>
    <row r="249" spans="1:20" ht="14.25">
      <c r="A249" s="3477" t="s">
        <v>4106</v>
      </c>
      <c r="B249" s="3477" t="s">
        <v>3454</v>
      </c>
      <c r="C249" s="3477" t="s">
        <v>4107</v>
      </c>
      <c r="D249" s="3477" t="s">
        <v>3629</v>
      </c>
      <c r="E249" s="3477">
        <v>108260</v>
      </c>
      <c r="F249" s="3477">
        <v>248998</v>
      </c>
      <c r="G249" s="3477" t="s">
        <v>3471</v>
      </c>
      <c r="H249" s="3477" t="s">
        <v>3457</v>
      </c>
      <c r="I249" s="3477" t="s">
        <v>4108</v>
      </c>
      <c r="J249" s="3477" t="s">
        <v>3427</v>
      </c>
      <c r="K249" s="3477" t="s">
        <v>4103</v>
      </c>
      <c r="L249" s="3477" t="s">
        <v>4103</v>
      </c>
      <c r="M249" s="3477" t="s">
        <v>3460</v>
      </c>
      <c r="N249" s="3477" t="s">
        <v>3473</v>
      </c>
      <c r="O249" s="3477">
        <v>187702</v>
      </c>
      <c r="P249" s="3477">
        <v>37541</v>
      </c>
      <c r="Q249" s="3477" t="s">
        <v>4105</v>
      </c>
      <c r="R249" s="3477">
        <v>188502</v>
      </c>
      <c r="S249" s="3477">
        <v>7570</v>
      </c>
      <c r="T249" s="3477">
        <v>0.43</v>
      </c>
    </row>
    <row r="250" spans="1:20" ht="14.25">
      <c r="A250" s="3477" t="s">
        <v>4109</v>
      </c>
      <c r="B250" s="3477" t="s">
        <v>3454</v>
      </c>
      <c r="C250" s="3477" t="s">
        <v>4110</v>
      </c>
      <c r="D250" s="3477" t="s">
        <v>3455</v>
      </c>
      <c r="E250" s="3477">
        <v>14528</v>
      </c>
      <c r="F250" s="3477">
        <v>29056</v>
      </c>
      <c r="G250" s="3477" t="s">
        <v>3456</v>
      </c>
      <c r="H250" s="3477" t="s">
        <v>3457</v>
      </c>
      <c r="I250" s="3477" t="s">
        <v>3407</v>
      </c>
      <c r="J250" s="3477" t="s">
        <v>3427</v>
      </c>
      <c r="K250" s="3477" t="s">
        <v>4111</v>
      </c>
      <c r="L250" s="3477" t="s">
        <v>4111</v>
      </c>
      <c r="M250" s="3477" t="s">
        <v>3460</v>
      </c>
      <c r="N250" s="3477" t="s">
        <v>4112</v>
      </c>
      <c r="O250" s="3477">
        <v>6047</v>
      </c>
      <c r="P250" s="3477">
        <v>1210</v>
      </c>
      <c r="Q250" s="3477" t="s">
        <v>4113</v>
      </c>
      <c r="R250" s="3477">
        <v>6047</v>
      </c>
      <c r="S250" s="3477">
        <v>2081</v>
      </c>
      <c r="T250" s="3477">
        <v>0</v>
      </c>
    </row>
    <row r="251" spans="1:20" ht="14.25">
      <c r="A251" s="3477" t="s">
        <v>4114</v>
      </c>
      <c r="B251" s="3477" t="s">
        <v>3454</v>
      </c>
      <c r="C251" s="3477" t="s">
        <v>4115</v>
      </c>
      <c r="D251" s="3477" t="s">
        <v>3455</v>
      </c>
      <c r="E251" s="3477">
        <v>492</v>
      </c>
      <c r="F251" s="3477">
        <v>418.2</v>
      </c>
      <c r="G251" s="3477" t="s">
        <v>3621</v>
      </c>
      <c r="H251" s="3477" t="s">
        <v>3457</v>
      </c>
      <c r="I251" s="3477" t="s">
        <v>3458</v>
      </c>
      <c r="J251" s="3477" t="s">
        <v>3427</v>
      </c>
      <c r="K251" s="3477" t="s">
        <v>4111</v>
      </c>
      <c r="L251" s="3477" t="s">
        <v>4111</v>
      </c>
      <c r="M251" s="3477" t="s">
        <v>3460</v>
      </c>
      <c r="N251" s="3477" t="s">
        <v>3622</v>
      </c>
      <c r="O251" s="3477">
        <v>453</v>
      </c>
      <c r="P251" s="3477">
        <v>91</v>
      </c>
      <c r="Q251" s="3477" t="s">
        <v>4113</v>
      </c>
      <c r="R251" s="3477">
        <v>453</v>
      </c>
      <c r="S251" s="3477">
        <v>10832</v>
      </c>
      <c r="T251" s="3477">
        <v>0</v>
      </c>
    </row>
    <row r="252" spans="1:20" ht="14.25">
      <c r="A252" s="3477" t="s">
        <v>4116</v>
      </c>
      <c r="B252" s="3477" t="s">
        <v>3454</v>
      </c>
      <c r="C252" s="3477" t="s">
        <v>4117</v>
      </c>
      <c r="D252" s="3477" t="s">
        <v>3455</v>
      </c>
      <c r="E252" s="3477">
        <v>674</v>
      </c>
      <c r="F252" s="3477">
        <v>505.5</v>
      </c>
      <c r="G252" s="3477" t="s">
        <v>3677</v>
      </c>
      <c r="H252" s="3477" t="s">
        <v>3457</v>
      </c>
      <c r="I252" s="3477" t="s">
        <v>3458</v>
      </c>
      <c r="J252" s="3477" t="s">
        <v>3427</v>
      </c>
      <c r="K252" s="3477" t="s">
        <v>4111</v>
      </c>
      <c r="L252" s="3477" t="s">
        <v>4111</v>
      </c>
      <c r="M252" s="3477" t="s">
        <v>3460</v>
      </c>
      <c r="N252" s="3477" t="s">
        <v>3622</v>
      </c>
      <c r="O252" s="3477">
        <v>609</v>
      </c>
      <c r="P252" s="3477">
        <v>122</v>
      </c>
      <c r="Q252" s="3477" t="s">
        <v>4113</v>
      </c>
      <c r="R252" s="3477">
        <v>609</v>
      </c>
      <c r="S252" s="3477">
        <v>12047</v>
      </c>
      <c r="T252" s="3477">
        <v>0</v>
      </c>
    </row>
    <row r="253" spans="1:20" ht="14.25">
      <c r="A253" s="3477" t="s">
        <v>4118</v>
      </c>
      <c r="B253" s="3477" t="s">
        <v>3454</v>
      </c>
      <c r="C253" s="3477" t="s">
        <v>4119</v>
      </c>
      <c r="D253" s="3477" t="s">
        <v>3455</v>
      </c>
      <c r="E253" s="3477">
        <v>50</v>
      </c>
      <c r="F253" s="3477">
        <v>45</v>
      </c>
      <c r="G253" s="3477" t="s">
        <v>4120</v>
      </c>
      <c r="H253" s="3477" t="s">
        <v>3457</v>
      </c>
      <c r="I253" s="3477" t="s">
        <v>3458</v>
      </c>
      <c r="J253" s="3477" t="s">
        <v>3427</v>
      </c>
      <c r="K253" s="3477" t="s">
        <v>4111</v>
      </c>
      <c r="L253" s="3477" t="s">
        <v>4111</v>
      </c>
      <c r="M253" s="3477" t="s">
        <v>3460</v>
      </c>
      <c r="N253" s="3477" t="s">
        <v>3622</v>
      </c>
      <c r="O253" s="3477">
        <v>47</v>
      </c>
      <c r="P253" s="3477">
        <v>10</v>
      </c>
      <c r="Q253" s="3477" t="s">
        <v>4113</v>
      </c>
      <c r="R253" s="3477">
        <v>47</v>
      </c>
      <c r="S253" s="3477">
        <v>10444</v>
      </c>
      <c r="T253" s="3477">
        <v>0</v>
      </c>
    </row>
    <row r="254" spans="1:20" ht="14.25">
      <c r="A254" s="3477" t="s">
        <v>4121</v>
      </c>
      <c r="B254" s="3477" t="s">
        <v>3454</v>
      </c>
      <c r="C254" s="3477" t="s">
        <v>4122</v>
      </c>
      <c r="D254" s="3477" t="s">
        <v>3455</v>
      </c>
      <c r="E254" s="3477">
        <v>320</v>
      </c>
      <c r="F254" s="3477">
        <v>240</v>
      </c>
      <c r="G254" s="3477" t="s">
        <v>3677</v>
      </c>
      <c r="H254" s="3477" t="s">
        <v>3457</v>
      </c>
      <c r="I254" s="3477" t="s">
        <v>3458</v>
      </c>
      <c r="J254" s="3477" t="s">
        <v>3427</v>
      </c>
      <c r="K254" s="3477" t="s">
        <v>4111</v>
      </c>
      <c r="L254" s="3477" t="s">
        <v>4111</v>
      </c>
      <c r="M254" s="3477" t="s">
        <v>3460</v>
      </c>
      <c r="N254" s="3477" t="s">
        <v>3622</v>
      </c>
      <c r="O254" s="3477">
        <v>290</v>
      </c>
      <c r="P254" s="3477">
        <v>59</v>
      </c>
      <c r="Q254" s="3477" t="s">
        <v>4113</v>
      </c>
      <c r="R254" s="3477">
        <v>290</v>
      </c>
      <c r="S254" s="3477">
        <v>12083</v>
      </c>
      <c r="T254" s="3477">
        <v>0</v>
      </c>
    </row>
    <row r="255" spans="1:20" ht="14.25">
      <c r="A255" s="3477" t="s">
        <v>4123</v>
      </c>
      <c r="B255" s="3477" t="s">
        <v>3454</v>
      </c>
      <c r="C255" s="3477" t="s">
        <v>4124</v>
      </c>
      <c r="D255" s="3477" t="s">
        <v>3455</v>
      </c>
      <c r="E255" s="3477">
        <v>29</v>
      </c>
      <c r="F255" s="3477">
        <v>27.55</v>
      </c>
      <c r="G255" s="3477" t="s">
        <v>3654</v>
      </c>
      <c r="H255" s="3477" t="s">
        <v>3457</v>
      </c>
      <c r="I255" s="3477" t="s">
        <v>3458</v>
      </c>
      <c r="J255" s="3477" t="s">
        <v>3427</v>
      </c>
      <c r="K255" s="3477" t="s">
        <v>4111</v>
      </c>
      <c r="L255" s="3477" t="s">
        <v>4111</v>
      </c>
      <c r="M255" s="3477" t="s">
        <v>3460</v>
      </c>
      <c r="N255" s="3477" t="s">
        <v>3622</v>
      </c>
      <c r="O255" s="3477">
        <v>28</v>
      </c>
      <c r="P255" s="3477">
        <v>6</v>
      </c>
      <c r="Q255" s="3477" t="s">
        <v>4113</v>
      </c>
      <c r="R255" s="3477">
        <v>28</v>
      </c>
      <c r="S255" s="3477">
        <v>10163</v>
      </c>
      <c r="T255" s="3477">
        <v>0</v>
      </c>
    </row>
    <row r="256" spans="1:20" ht="14.25">
      <c r="A256" s="3477" t="s">
        <v>4125</v>
      </c>
      <c r="B256" s="3477" t="s">
        <v>3454</v>
      </c>
      <c r="C256" s="3477" t="s">
        <v>4126</v>
      </c>
      <c r="D256" s="3477" t="s">
        <v>3455</v>
      </c>
      <c r="E256" s="3477">
        <v>526</v>
      </c>
      <c r="F256" s="3477">
        <v>447.1</v>
      </c>
      <c r="G256" s="3477" t="s">
        <v>3621</v>
      </c>
      <c r="H256" s="3477" t="s">
        <v>3457</v>
      </c>
      <c r="I256" s="3477" t="s">
        <v>3458</v>
      </c>
      <c r="J256" s="3477" t="s">
        <v>3427</v>
      </c>
      <c r="K256" s="3477" t="s">
        <v>4111</v>
      </c>
      <c r="L256" s="3477" t="s">
        <v>4111</v>
      </c>
      <c r="M256" s="3477" t="s">
        <v>3460</v>
      </c>
      <c r="N256" s="3477" t="s">
        <v>3622</v>
      </c>
      <c r="O256" s="3477">
        <v>485</v>
      </c>
      <c r="P256" s="3477">
        <v>98</v>
      </c>
      <c r="Q256" s="3477" t="s">
        <v>4113</v>
      </c>
      <c r="R256" s="3477">
        <v>485</v>
      </c>
      <c r="S256" s="3477">
        <v>10848</v>
      </c>
      <c r="T256" s="3477">
        <v>0</v>
      </c>
    </row>
    <row r="257" spans="1:20" ht="14.25">
      <c r="A257" s="3477" t="s">
        <v>4127</v>
      </c>
      <c r="B257" s="3477" t="s">
        <v>3454</v>
      </c>
      <c r="C257" s="3477" t="s">
        <v>4128</v>
      </c>
      <c r="D257" s="3477" t="s">
        <v>3455</v>
      </c>
      <c r="E257" s="3477">
        <v>838</v>
      </c>
      <c r="F257" s="3477">
        <v>670.4</v>
      </c>
      <c r="G257" s="3477" t="s">
        <v>4129</v>
      </c>
      <c r="H257" s="3477" t="s">
        <v>3457</v>
      </c>
      <c r="I257" s="3477" t="s">
        <v>3458</v>
      </c>
      <c r="J257" s="3477" t="s">
        <v>3427</v>
      </c>
      <c r="K257" s="3477" t="s">
        <v>4111</v>
      </c>
      <c r="L257" s="3477" t="s">
        <v>4111</v>
      </c>
      <c r="M257" s="3477" t="s">
        <v>3460</v>
      </c>
      <c r="N257" s="3477" t="s">
        <v>3622</v>
      </c>
      <c r="O257" s="3477">
        <v>766</v>
      </c>
      <c r="P257" s="3477">
        <v>154</v>
      </c>
      <c r="Q257" s="3477" t="s">
        <v>4113</v>
      </c>
      <c r="R257" s="3477">
        <v>766</v>
      </c>
      <c r="S257" s="3477">
        <v>11426</v>
      </c>
      <c r="T257" s="3477">
        <v>0</v>
      </c>
    </row>
    <row r="258" spans="1:20" ht="14.25">
      <c r="A258" s="3477" t="s">
        <v>4130</v>
      </c>
      <c r="B258" s="3477" t="s">
        <v>3454</v>
      </c>
      <c r="C258" s="3477" t="s">
        <v>4131</v>
      </c>
      <c r="D258" s="3477" t="s">
        <v>3455</v>
      </c>
      <c r="E258" s="3477">
        <v>82</v>
      </c>
      <c r="F258" s="3477">
        <v>69.7</v>
      </c>
      <c r="G258" s="3477" t="s">
        <v>3621</v>
      </c>
      <c r="H258" s="3477" t="s">
        <v>3457</v>
      </c>
      <c r="I258" s="3477" t="s">
        <v>3458</v>
      </c>
      <c r="J258" s="3477" t="s">
        <v>3427</v>
      </c>
      <c r="K258" s="3477" t="s">
        <v>4111</v>
      </c>
      <c r="L258" s="3477" t="s">
        <v>4111</v>
      </c>
      <c r="M258" s="3477" t="s">
        <v>3460</v>
      </c>
      <c r="N258" s="3477" t="s">
        <v>3622</v>
      </c>
      <c r="O258" s="3477">
        <v>76</v>
      </c>
      <c r="P258" s="3477">
        <v>16</v>
      </c>
      <c r="Q258" s="3477" t="s">
        <v>4113</v>
      </c>
      <c r="R258" s="3477">
        <v>76</v>
      </c>
      <c r="S258" s="3477">
        <v>10904</v>
      </c>
      <c r="T258" s="3477">
        <v>0</v>
      </c>
    </row>
    <row r="259" spans="1:20" ht="14.25">
      <c r="A259" s="3477" t="s">
        <v>4132</v>
      </c>
      <c r="B259" s="3477" t="s">
        <v>3454</v>
      </c>
      <c r="C259" s="3477" t="s">
        <v>4133</v>
      </c>
      <c r="D259" s="3477" t="s">
        <v>3629</v>
      </c>
      <c r="E259" s="3477">
        <v>323</v>
      </c>
      <c r="F259" s="3477">
        <v>290.7</v>
      </c>
      <c r="G259" s="3477" t="s">
        <v>3662</v>
      </c>
      <c r="H259" s="3477" t="s">
        <v>3457</v>
      </c>
      <c r="I259" s="3477" t="s">
        <v>3631</v>
      </c>
      <c r="J259" s="3477" t="s">
        <v>3427</v>
      </c>
      <c r="K259" s="3477" t="s">
        <v>4111</v>
      </c>
      <c r="L259" s="3477" t="s">
        <v>4111</v>
      </c>
      <c r="M259" s="3477" t="s">
        <v>3460</v>
      </c>
      <c r="N259" s="3477" t="s">
        <v>3622</v>
      </c>
      <c r="O259" s="3477">
        <v>350</v>
      </c>
      <c r="P259" s="3477">
        <v>71</v>
      </c>
      <c r="Q259" s="3477" t="s">
        <v>4113</v>
      </c>
      <c r="R259" s="3477">
        <v>350</v>
      </c>
      <c r="S259" s="3477">
        <v>12040</v>
      </c>
      <c r="T259" s="3477">
        <v>0</v>
      </c>
    </row>
    <row r="260" spans="1:20" ht="14.25">
      <c r="A260" s="3477" t="s">
        <v>4134</v>
      </c>
      <c r="B260" s="3477" t="s">
        <v>3454</v>
      </c>
      <c r="C260" s="3477" t="s">
        <v>4135</v>
      </c>
      <c r="D260" s="3477" t="s">
        <v>3455</v>
      </c>
      <c r="E260" s="3477">
        <v>220</v>
      </c>
      <c r="F260" s="3477">
        <v>154</v>
      </c>
      <c r="G260" s="3477" t="s">
        <v>3641</v>
      </c>
      <c r="H260" s="3477" t="s">
        <v>3457</v>
      </c>
      <c r="I260" s="3477" t="s">
        <v>3458</v>
      </c>
      <c r="J260" s="3477" t="s">
        <v>3427</v>
      </c>
      <c r="K260" s="3477" t="s">
        <v>4111</v>
      </c>
      <c r="L260" s="3477" t="s">
        <v>4111</v>
      </c>
      <c r="M260" s="3477" t="s">
        <v>3460</v>
      </c>
      <c r="N260" s="3477" t="s">
        <v>3622</v>
      </c>
      <c r="O260" s="3477">
        <v>196</v>
      </c>
      <c r="P260" s="3477">
        <v>40</v>
      </c>
      <c r="Q260" s="3477" t="s">
        <v>4113</v>
      </c>
      <c r="R260" s="3477">
        <v>196</v>
      </c>
      <c r="S260" s="3477">
        <v>12727</v>
      </c>
      <c r="T260" s="3477">
        <v>0</v>
      </c>
    </row>
    <row r="261" spans="1:20" ht="14.25">
      <c r="A261" s="3477" t="s">
        <v>4136</v>
      </c>
      <c r="B261" s="3477" t="s">
        <v>3454</v>
      </c>
      <c r="C261" s="3477" t="s">
        <v>4137</v>
      </c>
      <c r="D261" s="3477" t="s">
        <v>3455</v>
      </c>
      <c r="E261" s="3477">
        <v>40</v>
      </c>
      <c r="F261" s="3477">
        <v>40</v>
      </c>
      <c r="G261" s="3477" t="s">
        <v>4138</v>
      </c>
      <c r="H261" s="3477" t="s">
        <v>3457</v>
      </c>
      <c r="I261" s="3477" t="s">
        <v>3458</v>
      </c>
      <c r="J261" s="3477" t="s">
        <v>3427</v>
      </c>
      <c r="K261" s="3477" t="s">
        <v>4111</v>
      </c>
      <c r="L261" s="3477" t="s">
        <v>4111</v>
      </c>
      <c r="M261" s="3477" t="s">
        <v>3460</v>
      </c>
      <c r="N261" s="3477" t="s">
        <v>3622</v>
      </c>
      <c r="O261" s="3477">
        <v>38</v>
      </c>
      <c r="P261" s="3477">
        <v>8</v>
      </c>
      <c r="Q261" s="3477" t="s">
        <v>4113</v>
      </c>
      <c r="R261" s="3477">
        <v>38</v>
      </c>
      <c r="S261" s="3477">
        <v>9500</v>
      </c>
      <c r="T261" s="3477">
        <v>0</v>
      </c>
    </row>
    <row r="262" spans="1:20" ht="14.25">
      <c r="A262" s="3477" t="s">
        <v>4139</v>
      </c>
      <c r="B262" s="3477" t="s">
        <v>3454</v>
      </c>
      <c r="C262" s="3477" t="s">
        <v>4140</v>
      </c>
      <c r="D262" s="3477" t="s">
        <v>3629</v>
      </c>
      <c r="E262" s="3477">
        <v>305</v>
      </c>
      <c r="F262" s="3477">
        <v>265.35000000000002</v>
      </c>
      <c r="G262" s="3477" t="s">
        <v>4141</v>
      </c>
      <c r="H262" s="3477" t="s">
        <v>3457</v>
      </c>
      <c r="I262" s="3477" t="s">
        <v>3631</v>
      </c>
      <c r="J262" s="3477" t="s">
        <v>3427</v>
      </c>
      <c r="K262" s="3477" t="s">
        <v>4111</v>
      </c>
      <c r="L262" s="3477" t="s">
        <v>4111</v>
      </c>
      <c r="M262" s="3477" t="s">
        <v>3460</v>
      </c>
      <c r="N262" s="3477" t="s">
        <v>3622</v>
      </c>
      <c r="O262" s="3477">
        <v>330</v>
      </c>
      <c r="P262" s="3477">
        <v>67</v>
      </c>
      <c r="Q262" s="3477" t="s">
        <v>4113</v>
      </c>
      <c r="R262" s="3477">
        <v>330</v>
      </c>
      <c r="S262" s="3477">
        <v>12436</v>
      </c>
      <c r="T262" s="3477">
        <v>0</v>
      </c>
    </row>
    <row r="263" spans="1:20" ht="14.25">
      <c r="A263" s="3477" t="s">
        <v>4142</v>
      </c>
      <c r="B263" s="3477" t="s">
        <v>3454</v>
      </c>
      <c r="C263" s="3477" t="s">
        <v>4143</v>
      </c>
      <c r="D263" s="3477" t="s">
        <v>3455</v>
      </c>
      <c r="E263" s="3477">
        <v>565</v>
      </c>
      <c r="F263" s="3477">
        <v>367.25</v>
      </c>
      <c r="G263" s="3477" t="s">
        <v>4144</v>
      </c>
      <c r="H263" s="3477" t="s">
        <v>3457</v>
      </c>
      <c r="I263" s="3477" t="s">
        <v>3458</v>
      </c>
      <c r="J263" s="3477" t="s">
        <v>3427</v>
      </c>
      <c r="K263" s="3477" t="s">
        <v>4111</v>
      </c>
      <c r="L263" s="3477" t="s">
        <v>4111</v>
      </c>
      <c r="M263" s="3477" t="s">
        <v>3460</v>
      </c>
      <c r="N263" s="3477" t="s">
        <v>3622</v>
      </c>
      <c r="O263" s="3477">
        <v>498</v>
      </c>
      <c r="P263" s="3477">
        <v>100</v>
      </c>
      <c r="Q263" s="3477" t="s">
        <v>4113</v>
      </c>
      <c r="R263" s="3477">
        <v>498</v>
      </c>
      <c r="S263" s="3477">
        <v>13560</v>
      </c>
      <c r="T263" s="3477">
        <v>0</v>
      </c>
    </row>
    <row r="264" spans="1:20" ht="14.25">
      <c r="A264" s="3477" t="s">
        <v>4145</v>
      </c>
      <c r="B264" s="3477" t="s">
        <v>3454</v>
      </c>
      <c r="C264" s="3477" t="s">
        <v>4146</v>
      </c>
      <c r="D264" s="3477" t="s">
        <v>3455</v>
      </c>
      <c r="E264" s="3477">
        <v>309</v>
      </c>
      <c r="F264" s="3477">
        <v>200.85</v>
      </c>
      <c r="G264" s="3477" t="s">
        <v>4144</v>
      </c>
      <c r="H264" s="3477" t="s">
        <v>3457</v>
      </c>
      <c r="I264" s="3477" t="s">
        <v>3458</v>
      </c>
      <c r="J264" s="3477" t="s">
        <v>3427</v>
      </c>
      <c r="K264" s="3477" t="s">
        <v>4111</v>
      </c>
      <c r="L264" s="3477" t="s">
        <v>4111</v>
      </c>
      <c r="M264" s="3477" t="s">
        <v>3460</v>
      </c>
      <c r="N264" s="3477" t="s">
        <v>3622</v>
      </c>
      <c r="O264" s="3477">
        <v>273</v>
      </c>
      <c r="P264" s="3477">
        <v>55</v>
      </c>
      <c r="Q264" s="3477" t="s">
        <v>4113</v>
      </c>
      <c r="R264" s="3477">
        <v>273</v>
      </c>
      <c r="S264" s="3477">
        <v>13592</v>
      </c>
      <c r="T264" s="3477">
        <v>0</v>
      </c>
    </row>
    <row r="265" spans="1:20" ht="14.25">
      <c r="A265" s="3477" t="s">
        <v>4147</v>
      </c>
      <c r="B265" s="3477" t="s">
        <v>3454</v>
      </c>
      <c r="C265" s="3477" t="s">
        <v>4148</v>
      </c>
      <c r="D265" s="3477" t="s">
        <v>3629</v>
      </c>
      <c r="E265" s="3477">
        <v>626</v>
      </c>
      <c r="F265" s="3477">
        <v>438.2</v>
      </c>
      <c r="G265" s="3477" t="s">
        <v>4149</v>
      </c>
      <c r="H265" s="3477" t="s">
        <v>3457</v>
      </c>
      <c r="I265" s="3477" t="s">
        <v>3631</v>
      </c>
      <c r="J265" s="3477" t="s">
        <v>3427</v>
      </c>
      <c r="K265" s="3477" t="s">
        <v>4111</v>
      </c>
      <c r="L265" s="3477" t="s">
        <v>4111</v>
      </c>
      <c r="M265" s="3477" t="s">
        <v>3460</v>
      </c>
      <c r="N265" s="3477" t="s">
        <v>3622</v>
      </c>
      <c r="O265" s="3477">
        <v>662</v>
      </c>
      <c r="P265" s="3477">
        <v>133</v>
      </c>
      <c r="Q265" s="3477" t="s">
        <v>4113</v>
      </c>
      <c r="R265" s="3477">
        <v>662</v>
      </c>
      <c r="S265" s="3477">
        <v>15107</v>
      </c>
      <c r="T265" s="3477">
        <v>0</v>
      </c>
    </row>
    <row r="266" spans="1:20" ht="14.25">
      <c r="A266" s="3477" t="s">
        <v>4150</v>
      </c>
      <c r="B266" s="3477" t="s">
        <v>3454</v>
      </c>
      <c r="C266" s="3477" t="s">
        <v>4151</v>
      </c>
      <c r="D266" s="3477" t="s">
        <v>3455</v>
      </c>
      <c r="E266" s="3477">
        <v>797</v>
      </c>
      <c r="F266" s="3477">
        <v>518.04999999999995</v>
      </c>
      <c r="G266" s="3477" t="s">
        <v>4144</v>
      </c>
      <c r="H266" s="3477" t="s">
        <v>3457</v>
      </c>
      <c r="I266" s="3477" t="s">
        <v>3458</v>
      </c>
      <c r="J266" s="3477" t="s">
        <v>3427</v>
      </c>
      <c r="K266" s="3477" t="s">
        <v>4111</v>
      </c>
      <c r="L266" s="3477" t="s">
        <v>4111</v>
      </c>
      <c r="M266" s="3477" t="s">
        <v>3460</v>
      </c>
      <c r="N266" s="3477" t="s">
        <v>3622</v>
      </c>
      <c r="O266" s="3477">
        <v>703</v>
      </c>
      <c r="P266" s="3477">
        <v>141</v>
      </c>
      <c r="Q266" s="3477" t="s">
        <v>4113</v>
      </c>
      <c r="R266" s="3477">
        <v>703</v>
      </c>
      <c r="S266" s="3477">
        <v>13570</v>
      </c>
      <c r="T266" s="3477">
        <v>0</v>
      </c>
    </row>
    <row r="267" spans="1:20" ht="14.25">
      <c r="A267" s="3477" t="s">
        <v>4152</v>
      </c>
      <c r="B267" s="3477" t="s">
        <v>3454</v>
      </c>
      <c r="C267" s="3477" t="s">
        <v>4153</v>
      </c>
      <c r="D267" s="3477" t="s">
        <v>3455</v>
      </c>
      <c r="E267" s="3477">
        <v>735</v>
      </c>
      <c r="F267" s="3477">
        <v>588</v>
      </c>
      <c r="G267" s="3477" t="s">
        <v>4129</v>
      </c>
      <c r="H267" s="3477" t="s">
        <v>3457</v>
      </c>
      <c r="I267" s="3477" t="s">
        <v>3458</v>
      </c>
      <c r="J267" s="3477" t="s">
        <v>3427</v>
      </c>
      <c r="K267" s="3477" t="s">
        <v>4111</v>
      </c>
      <c r="L267" s="3477" t="s">
        <v>4111</v>
      </c>
      <c r="M267" s="3477" t="s">
        <v>3460</v>
      </c>
      <c r="N267" s="3477" t="s">
        <v>3622</v>
      </c>
      <c r="O267" s="3477">
        <v>671</v>
      </c>
      <c r="P267" s="3477">
        <v>135</v>
      </c>
      <c r="Q267" s="3477" t="s">
        <v>4113</v>
      </c>
      <c r="R267" s="3477">
        <v>671</v>
      </c>
      <c r="S267" s="3477">
        <v>11412</v>
      </c>
      <c r="T267" s="3477">
        <v>0</v>
      </c>
    </row>
    <row r="268" spans="1:20" ht="14.25">
      <c r="A268" s="3477" t="s">
        <v>4154</v>
      </c>
      <c r="B268" s="3477" t="s">
        <v>3454</v>
      </c>
      <c r="C268" s="3477" t="s">
        <v>4155</v>
      </c>
      <c r="D268" s="3477" t="s">
        <v>3455</v>
      </c>
      <c r="E268" s="3477">
        <v>49</v>
      </c>
      <c r="F268" s="3477">
        <v>49</v>
      </c>
      <c r="G268" s="3477" t="s">
        <v>4138</v>
      </c>
      <c r="H268" s="3477" t="s">
        <v>3457</v>
      </c>
      <c r="I268" s="3477" t="s">
        <v>3458</v>
      </c>
      <c r="J268" s="3477" t="s">
        <v>3427</v>
      </c>
      <c r="K268" s="3477" t="s">
        <v>4111</v>
      </c>
      <c r="L268" s="3477" t="s">
        <v>4111</v>
      </c>
      <c r="M268" s="3477" t="s">
        <v>3460</v>
      </c>
      <c r="N268" s="3477" t="s">
        <v>3622</v>
      </c>
      <c r="O268" s="3477">
        <v>47</v>
      </c>
      <c r="P268" s="3477">
        <v>10</v>
      </c>
      <c r="Q268" s="3477" t="s">
        <v>4113</v>
      </c>
      <c r="R268" s="3477">
        <v>47</v>
      </c>
      <c r="S268" s="3477">
        <v>9592</v>
      </c>
      <c r="T268" s="3477">
        <v>0</v>
      </c>
    </row>
    <row r="269" spans="1:20" ht="14.25">
      <c r="A269" s="3477" t="s">
        <v>4156</v>
      </c>
      <c r="B269" s="3477" t="s">
        <v>3454</v>
      </c>
      <c r="C269" s="3477" t="s">
        <v>4157</v>
      </c>
      <c r="D269" s="3477" t="s">
        <v>3455</v>
      </c>
      <c r="E269" s="3477">
        <v>762</v>
      </c>
      <c r="F269" s="3477">
        <v>533.4</v>
      </c>
      <c r="G269" s="3477" t="s">
        <v>4149</v>
      </c>
      <c r="H269" s="3477" t="s">
        <v>3457</v>
      </c>
      <c r="I269" s="3477" t="s">
        <v>3458</v>
      </c>
      <c r="J269" s="3477" t="s">
        <v>3427</v>
      </c>
      <c r="K269" s="3477" t="s">
        <v>4111</v>
      </c>
      <c r="L269" s="3477" t="s">
        <v>4111</v>
      </c>
      <c r="M269" s="3477" t="s">
        <v>3460</v>
      </c>
      <c r="N269" s="3477" t="s">
        <v>3622</v>
      </c>
      <c r="O269" s="3477">
        <v>675</v>
      </c>
      <c r="P269" s="3477">
        <v>136</v>
      </c>
      <c r="Q269" s="3477" t="s">
        <v>4113</v>
      </c>
      <c r="R269" s="3477">
        <v>675</v>
      </c>
      <c r="S269" s="3477">
        <v>12655</v>
      </c>
      <c r="T269" s="3477">
        <v>0</v>
      </c>
    </row>
    <row r="270" spans="1:20" ht="14.25">
      <c r="A270" s="3477" t="s">
        <v>4158</v>
      </c>
      <c r="B270" s="3477" t="s">
        <v>3454</v>
      </c>
      <c r="C270" s="3477" t="s">
        <v>4158</v>
      </c>
      <c r="D270" s="3477" t="s">
        <v>3455</v>
      </c>
      <c r="E270" s="3477">
        <v>31957</v>
      </c>
      <c r="F270" s="3477">
        <v>63914</v>
      </c>
      <c r="G270" s="3477" t="s">
        <v>3456</v>
      </c>
      <c r="H270" s="3477" t="s">
        <v>3457</v>
      </c>
      <c r="I270" s="3477" t="s">
        <v>3458</v>
      </c>
      <c r="J270" s="3477" t="s">
        <v>3427</v>
      </c>
      <c r="K270" s="3477" t="s">
        <v>4111</v>
      </c>
      <c r="L270" s="3477" t="s">
        <v>4111</v>
      </c>
      <c r="M270" s="3477" t="s">
        <v>3460</v>
      </c>
      <c r="N270" s="3477" t="s">
        <v>3725</v>
      </c>
      <c r="O270" s="3477">
        <v>7191</v>
      </c>
      <c r="P270" s="3477">
        <v>7191</v>
      </c>
      <c r="Q270" s="3477" t="s">
        <v>4113</v>
      </c>
      <c r="R270" s="3477">
        <v>7191</v>
      </c>
      <c r="S270" s="3477">
        <v>1125</v>
      </c>
      <c r="T270" s="3477">
        <v>0</v>
      </c>
    </row>
    <row r="271" spans="1:20" ht="14.25">
      <c r="A271" s="3477" t="s">
        <v>4159</v>
      </c>
      <c r="B271" s="3477" t="s">
        <v>3454</v>
      </c>
      <c r="C271" s="3477" t="s">
        <v>4159</v>
      </c>
      <c r="D271" s="3477" t="s">
        <v>3455</v>
      </c>
      <c r="E271" s="3477">
        <v>15570</v>
      </c>
      <c r="F271" s="3477">
        <v>23355</v>
      </c>
      <c r="G271" s="3477" t="s">
        <v>3579</v>
      </c>
      <c r="H271" s="3477" t="s">
        <v>3457</v>
      </c>
      <c r="I271" s="3477" t="s">
        <v>3458</v>
      </c>
      <c r="J271" s="3477" t="s">
        <v>3427</v>
      </c>
      <c r="K271" s="3477" t="s">
        <v>4160</v>
      </c>
      <c r="L271" s="3477" t="s">
        <v>4160</v>
      </c>
      <c r="M271" s="3477" t="s">
        <v>3460</v>
      </c>
      <c r="N271" s="3477" t="s">
        <v>3580</v>
      </c>
      <c r="O271" s="3477">
        <v>4671</v>
      </c>
      <c r="P271" s="3477">
        <v>2400</v>
      </c>
      <c r="Q271" s="3477" t="s">
        <v>4161</v>
      </c>
      <c r="R271" s="3477">
        <v>4671</v>
      </c>
      <c r="S271" s="3477">
        <v>2000</v>
      </c>
      <c r="T271" s="3477">
        <v>0</v>
      </c>
    </row>
    <row r="272" spans="1:20" ht="14.25">
      <c r="A272" s="3477" t="s">
        <v>4162</v>
      </c>
      <c r="B272" s="3477" t="s">
        <v>3454</v>
      </c>
      <c r="C272" s="3477" t="s">
        <v>4162</v>
      </c>
      <c r="D272" s="3477" t="s">
        <v>3455</v>
      </c>
      <c r="E272" s="3477">
        <v>4317</v>
      </c>
      <c r="F272" s="3477">
        <v>6475.5</v>
      </c>
      <c r="G272" s="3477" t="s">
        <v>3579</v>
      </c>
      <c r="H272" s="3477" t="s">
        <v>3457</v>
      </c>
      <c r="I272" s="3477" t="s">
        <v>3458</v>
      </c>
      <c r="J272" s="3477" t="s">
        <v>3427</v>
      </c>
      <c r="K272" s="3477" t="s">
        <v>4160</v>
      </c>
      <c r="L272" s="3477" t="s">
        <v>4160</v>
      </c>
      <c r="M272" s="3477" t="s">
        <v>3460</v>
      </c>
      <c r="N272" s="3477" t="s">
        <v>3580</v>
      </c>
      <c r="O272" s="3477">
        <v>1296</v>
      </c>
      <c r="P272" s="3477">
        <v>650</v>
      </c>
      <c r="Q272" s="3477" t="s">
        <v>4161</v>
      </c>
      <c r="R272" s="3477">
        <v>1296</v>
      </c>
      <c r="S272" s="3477">
        <v>2001</v>
      </c>
      <c r="T272" s="3477">
        <v>0</v>
      </c>
    </row>
    <row r="273" spans="1:20" ht="14.25">
      <c r="A273" s="3477" t="s">
        <v>4163</v>
      </c>
      <c r="B273" s="3477" t="s">
        <v>3454</v>
      </c>
      <c r="C273" s="3477" t="s">
        <v>4164</v>
      </c>
      <c r="D273" s="3477" t="s">
        <v>3629</v>
      </c>
      <c r="E273" s="3477">
        <v>15869</v>
      </c>
      <c r="F273" s="3477">
        <v>36498.699999999997</v>
      </c>
      <c r="G273" s="3477" t="s">
        <v>4165</v>
      </c>
      <c r="H273" s="3477" t="s">
        <v>3457</v>
      </c>
      <c r="I273" s="3477" t="s">
        <v>3408</v>
      </c>
      <c r="J273" s="3477" t="s">
        <v>3427</v>
      </c>
      <c r="K273" s="3477" t="s">
        <v>4166</v>
      </c>
      <c r="L273" s="3477" t="s">
        <v>4166</v>
      </c>
      <c r="M273" s="3477" t="s">
        <v>3460</v>
      </c>
      <c r="N273" s="3477" t="s">
        <v>4167</v>
      </c>
      <c r="O273" s="3477">
        <v>34612</v>
      </c>
      <c r="P273" s="3477">
        <v>6930</v>
      </c>
      <c r="Q273" s="3477" t="s">
        <v>4168</v>
      </c>
      <c r="R273" s="3477">
        <v>34612</v>
      </c>
      <c r="S273" s="3477">
        <v>9483</v>
      </c>
      <c r="T273" s="3477">
        <v>0</v>
      </c>
    </row>
    <row r="274" spans="1:20" s="3183" customFormat="1" ht="14.25">
      <c r="A274" s="3501" t="s">
        <v>4169</v>
      </c>
      <c r="B274" s="3501" t="s">
        <v>3454</v>
      </c>
      <c r="C274" s="3501" t="s">
        <v>4170</v>
      </c>
      <c r="D274" s="3501" t="s">
        <v>3464</v>
      </c>
      <c r="E274" s="3501">
        <v>81009</v>
      </c>
      <c r="F274" s="3501">
        <v>162018</v>
      </c>
      <c r="G274" s="3501" t="s">
        <v>3523</v>
      </c>
      <c r="H274" s="3501" t="s">
        <v>3457</v>
      </c>
      <c r="I274" s="3501" t="s">
        <v>3408</v>
      </c>
      <c r="J274" s="3501" t="s">
        <v>3427</v>
      </c>
      <c r="K274" s="3501" t="s">
        <v>4171</v>
      </c>
      <c r="L274" s="3501" t="s">
        <v>4171</v>
      </c>
      <c r="M274" s="3501" t="s">
        <v>3460</v>
      </c>
      <c r="N274" s="3501" t="s">
        <v>4172</v>
      </c>
      <c r="O274" s="3501">
        <v>31619</v>
      </c>
      <c r="P274" s="3501">
        <v>6324</v>
      </c>
      <c r="Q274" s="3501" t="s">
        <v>4173</v>
      </c>
      <c r="R274" s="3501">
        <v>31619</v>
      </c>
      <c r="S274" s="3501">
        <v>1952</v>
      </c>
      <c r="T274" s="3501">
        <v>0</v>
      </c>
    </row>
    <row r="275" spans="1:20" ht="14.25">
      <c r="A275" s="3477" t="s">
        <v>4174</v>
      </c>
      <c r="B275" s="3477" t="s">
        <v>3454</v>
      </c>
      <c r="C275" s="3477" t="s">
        <v>4175</v>
      </c>
      <c r="D275" s="3477" t="s">
        <v>3629</v>
      </c>
      <c r="E275" s="3477">
        <v>24158</v>
      </c>
      <c r="F275" s="3477">
        <v>55563.4</v>
      </c>
      <c r="G275" s="3477" t="s">
        <v>4165</v>
      </c>
      <c r="H275" s="3477" t="s">
        <v>3457</v>
      </c>
      <c r="I275" s="3477" t="s">
        <v>3408</v>
      </c>
      <c r="J275" s="3477" t="s">
        <v>3427</v>
      </c>
      <c r="K275" s="3477" t="s">
        <v>4166</v>
      </c>
      <c r="L275" s="3477" t="s">
        <v>4166</v>
      </c>
      <c r="M275" s="3477" t="s">
        <v>3460</v>
      </c>
      <c r="N275" s="3477" t="s">
        <v>4167</v>
      </c>
      <c r="O275" s="3477">
        <v>52636</v>
      </c>
      <c r="P275" s="3477">
        <v>10530</v>
      </c>
      <c r="Q275" s="3477" t="s">
        <v>4168</v>
      </c>
      <c r="R275" s="3477">
        <v>52636</v>
      </c>
      <c r="S275" s="3477">
        <v>9473</v>
      </c>
      <c r="T275" s="3477">
        <v>0</v>
      </c>
    </row>
    <row r="276" spans="1:20" s="3183" customFormat="1" ht="14.25">
      <c r="A276" s="3501" t="s">
        <v>4176</v>
      </c>
      <c r="B276" s="3501" t="s">
        <v>3454</v>
      </c>
      <c r="C276" s="3501" t="s">
        <v>4177</v>
      </c>
      <c r="D276" s="3501" t="s">
        <v>3464</v>
      </c>
      <c r="E276" s="3501">
        <v>9876</v>
      </c>
      <c r="F276" s="3501">
        <v>17776.8</v>
      </c>
      <c r="G276" s="3501" t="s">
        <v>4178</v>
      </c>
      <c r="H276" s="3501" t="s">
        <v>3457</v>
      </c>
      <c r="I276" s="3501" t="s">
        <v>3408</v>
      </c>
      <c r="J276" s="3501" t="s">
        <v>3427</v>
      </c>
      <c r="K276" s="3501" t="s">
        <v>4179</v>
      </c>
      <c r="L276" s="3501" t="s">
        <v>4179</v>
      </c>
      <c r="M276" s="3501" t="s">
        <v>3460</v>
      </c>
      <c r="N276" s="3501" t="s">
        <v>3484</v>
      </c>
      <c r="O276" s="3501">
        <v>6080</v>
      </c>
      <c r="P276" s="3501">
        <v>1980</v>
      </c>
      <c r="Q276" s="3501" t="s">
        <v>4180</v>
      </c>
      <c r="R276" s="3501">
        <v>6080</v>
      </c>
      <c r="S276" s="3501">
        <v>3420</v>
      </c>
      <c r="T276" s="3501">
        <v>0</v>
      </c>
    </row>
    <row r="277" spans="1:20" ht="14.25">
      <c r="A277" s="3477" t="s">
        <v>4181</v>
      </c>
      <c r="B277" s="3477" t="s">
        <v>3454</v>
      </c>
      <c r="C277" s="3477" t="s">
        <v>4182</v>
      </c>
      <c r="D277" s="3477" t="s">
        <v>3464</v>
      </c>
      <c r="E277" s="3477">
        <v>42162</v>
      </c>
      <c r="F277" s="3477">
        <v>84324</v>
      </c>
      <c r="G277" s="3477" t="s">
        <v>3728</v>
      </c>
      <c r="H277" s="3477" t="s">
        <v>3457</v>
      </c>
      <c r="I277" s="3477" t="s">
        <v>3408</v>
      </c>
      <c r="J277" s="3477" t="s">
        <v>3427</v>
      </c>
      <c r="K277" s="3477" t="s">
        <v>4179</v>
      </c>
      <c r="L277" s="3477" t="s">
        <v>4179</v>
      </c>
      <c r="M277" s="3477" t="s">
        <v>3460</v>
      </c>
      <c r="N277" s="3477" t="s">
        <v>4183</v>
      </c>
      <c r="O277" s="3477">
        <v>26570</v>
      </c>
      <c r="P277" s="3477">
        <v>5320</v>
      </c>
      <c r="Q277" s="3477" t="s">
        <v>4180</v>
      </c>
      <c r="R277" s="3477">
        <v>26570</v>
      </c>
      <c r="S277" s="3477">
        <v>3151</v>
      </c>
      <c r="T277" s="3477">
        <v>0</v>
      </c>
    </row>
    <row r="278" spans="1:20" ht="14.25">
      <c r="A278" s="3477" t="s">
        <v>4184</v>
      </c>
      <c r="B278" s="3477" t="s">
        <v>3454</v>
      </c>
      <c r="C278" s="3477" t="s">
        <v>4185</v>
      </c>
      <c r="D278" s="3477" t="s">
        <v>3455</v>
      </c>
      <c r="E278" s="3477">
        <v>96992</v>
      </c>
      <c r="F278" s="3477">
        <v>126089.60000000001</v>
      </c>
      <c r="G278" s="3477" t="s">
        <v>4083</v>
      </c>
      <c r="H278" s="3477" t="s">
        <v>3457</v>
      </c>
      <c r="I278" s="3477" t="s">
        <v>3973</v>
      </c>
      <c r="J278" s="3477" t="s">
        <v>3427</v>
      </c>
      <c r="K278" s="3477" t="s">
        <v>4179</v>
      </c>
      <c r="L278" s="3477" t="s">
        <v>4179</v>
      </c>
      <c r="M278" s="3477" t="s">
        <v>3460</v>
      </c>
      <c r="N278" s="3477" t="s">
        <v>4186</v>
      </c>
      <c r="O278" s="3477">
        <v>18920</v>
      </c>
      <c r="P278" s="3477">
        <v>3790</v>
      </c>
      <c r="Q278" s="3477" t="s">
        <v>4180</v>
      </c>
      <c r="R278" s="3477">
        <v>18920</v>
      </c>
      <c r="S278" s="3477">
        <v>1501</v>
      </c>
      <c r="T278" s="3477">
        <v>0</v>
      </c>
    </row>
    <row r="279" spans="1:20" ht="14.25">
      <c r="A279" s="3477" t="s">
        <v>4187</v>
      </c>
      <c r="B279" s="3477" t="s">
        <v>3454</v>
      </c>
      <c r="C279" s="3477" t="s">
        <v>4188</v>
      </c>
      <c r="D279" s="3477" t="s">
        <v>3455</v>
      </c>
      <c r="E279" s="3477">
        <v>9014</v>
      </c>
      <c r="F279" s="3477">
        <v>22535</v>
      </c>
      <c r="G279" s="3477" t="s">
        <v>3511</v>
      </c>
      <c r="H279" s="3477" t="s">
        <v>3457</v>
      </c>
      <c r="I279" s="3477" t="s">
        <v>3407</v>
      </c>
      <c r="J279" s="3477" t="s">
        <v>3427</v>
      </c>
      <c r="K279" s="3477" t="s">
        <v>4179</v>
      </c>
      <c r="L279" s="3477" t="s">
        <v>4179</v>
      </c>
      <c r="M279" s="3477" t="s">
        <v>3460</v>
      </c>
      <c r="N279" s="3477" t="s">
        <v>3484</v>
      </c>
      <c r="O279" s="3477">
        <v>3790</v>
      </c>
      <c r="P279" s="3477">
        <v>1980</v>
      </c>
      <c r="Q279" s="3477" t="s">
        <v>4180</v>
      </c>
      <c r="R279" s="3477">
        <v>3790</v>
      </c>
      <c r="S279" s="3477">
        <v>1682</v>
      </c>
      <c r="T279" s="3477">
        <v>0</v>
      </c>
    </row>
    <row r="280" spans="1:20" ht="14.25">
      <c r="A280" s="3477" t="s">
        <v>4189</v>
      </c>
      <c r="B280" s="3477" t="s">
        <v>3454</v>
      </c>
      <c r="C280" s="3477" t="s">
        <v>4190</v>
      </c>
      <c r="D280" s="3477" t="s">
        <v>3455</v>
      </c>
      <c r="E280" s="3477">
        <v>3300</v>
      </c>
      <c r="F280" s="3477">
        <v>1980</v>
      </c>
      <c r="G280" s="3477" t="s">
        <v>3582</v>
      </c>
      <c r="H280" s="3477" t="s">
        <v>3457</v>
      </c>
      <c r="I280" s="3477" t="s">
        <v>3458</v>
      </c>
      <c r="J280" s="3477" t="s">
        <v>3427</v>
      </c>
      <c r="K280" s="3477" t="s">
        <v>4179</v>
      </c>
      <c r="L280" s="3477" t="s">
        <v>4179</v>
      </c>
      <c r="M280" s="3477" t="s">
        <v>3460</v>
      </c>
      <c r="N280" s="3477" t="s">
        <v>3879</v>
      </c>
      <c r="O280" s="3477">
        <v>620</v>
      </c>
      <c r="P280" s="3477">
        <v>130</v>
      </c>
      <c r="Q280" s="3477" t="s">
        <v>4180</v>
      </c>
      <c r="R280" s="3477">
        <v>620</v>
      </c>
      <c r="S280" s="3477">
        <v>3131</v>
      </c>
      <c r="T280" s="3477">
        <v>0</v>
      </c>
    </row>
    <row r="281" spans="1:20" ht="14.25">
      <c r="A281" s="3477" t="s">
        <v>4191</v>
      </c>
      <c r="B281" s="3477" t="s">
        <v>3454</v>
      </c>
      <c r="C281" s="3477" t="s">
        <v>4191</v>
      </c>
      <c r="D281" s="3477" t="s">
        <v>3464</v>
      </c>
      <c r="E281" s="3477">
        <v>17998</v>
      </c>
      <c r="F281" s="3477">
        <v>43195.199999999997</v>
      </c>
      <c r="G281" s="3477" t="s">
        <v>3701</v>
      </c>
      <c r="H281" s="3477" t="s">
        <v>3457</v>
      </c>
      <c r="I281" s="3477" t="s">
        <v>3408</v>
      </c>
      <c r="J281" s="3477" t="s">
        <v>3427</v>
      </c>
      <c r="K281" s="3477" t="s">
        <v>4192</v>
      </c>
      <c r="L281" s="3477" t="s">
        <v>4192</v>
      </c>
      <c r="M281" s="3477" t="s">
        <v>3460</v>
      </c>
      <c r="N281" s="3477" t="s">
        <v>4193</v>
      </c>
      <c r="O281" s="3477">
        <v>4050</v>
      </c>
      <c r="P281" s="3477">
        <v>4050</v>
      </c>
      <c r="Q281" s="3477" t="s">
        <v>4194</v>
      </c>
      <c r="R281" s="3477">
        <v>4050</v>
      </c>
      <c r="S281" s="3477">
        <v>938</v>
      </c>
      <c r="T281" s="3477">
        <v>0</v>
      </c>
    </row>
    <row r="282" spans="1:20" ht="14.25">
      <c r="A282" s="3477" t="s">
        <v>4195</v>
      </c>
      <c r="B282" s="3477" t="s">
        <v>3454</v>
      </c>
      <c r="C282" s="3477" t="s">
        <v>4195</v>
      </c>
      <c r="D282" s="3477" t="s">
        <v>3455</v>
      </c>
      <c r="E282" s="3477">
        <v>1333</v>
      </c>
      <c r="F282" s="3477">
        <v>799.8</v>
      </c>
      <c r="G282" s="3477" t="s">
        <v>3582</v>
      </c>
      <c r="H282" s="3477" t="s">
        <v>3457</v>
      </c>
      <c r="I282" s="3477" t="s">
        <v>4196</v>
      </c>
      <c r="J282" s="3477" t="s">
        <v>3427</v>
      </c>
      <c r="K282" s="3477" t="s">
        <v>4197</v>
      </c>
      <c r="L282" s="3477" t="s">
        <v>4197</v>
      </c>
      <c r="M282" s="3477" t="s">
        <v>3460</v>
      </c>
      <c r="N282" s="3477" t="s">
        <v>4198</v>
      </c>
      <c r="O282" s="3477">
        <v>63</v>
      </c>
      <c r="P282" s="3477">
        <v>40</v>
      </c>
      <c r="Q282" s="3477" t="s">
        <v>4199</v>
      </c>
      <c r="R282" s="3477">
        <v>63</v>
      </c>
      <c r="S282" s="3477">
        <v>788</v>
      </c>
      <c r="T282" s="3477">
        <v>0</v>
      </c>
    </row>
    <row r="283" spans="1:20" ht="14.25">
      <c r="A283" s="3477" t="s">
        <v>4200</v>
      </c>
      <c r="B283" s="3477" t="s">
        <v>3454</v>
      </c>
      <c r="C283" s="3477" t="s">
        <v>4200</v>
      </c>
      <c r="D283" s="3477" t="s">
        <v>3455</v>
      </c>
      <c r="E283" s="3477">
        <v>8294</v>
      </c>
      <c r="F283" s="3477">
        <v>12441</v>
      </c>
      <c r="G283" s="3477" t="s">
        <v>3579</v>
      </c>
      <c r="H283" s="3477" t="s">
        <v>3457</v>
      </c>
      <c r="I283" s="3477" t="s">
        <v>2447</v>
      </c>
      <c r="J283" s="3477" t="s">
        <v>3427</v>
      </c>
      <c r="K283" s="3477" t="s">
        <v>4197</v>
      </c>
      <c r="L283" s="3477" t="s">
        <v>4197</v>
      </c>
      <c r="M283" s="3477" t="s">
        <v>3460</v>
      </c>
      <c r="N283" s="3477" t="s">
        <v>3580</v>
      </c>
      <c r="O283" s="3477">
        <v>2489</v>
      </c>
      <c r="P283" s="3477">
        <v>1300</v>
      </c>
      <c r="Q283" s="3477" t="s">
        <v>4199</v>
      </c>
      <c r="R283" s="3477">
        <v>2489</v>
      </c>
      <c r="S283" s="3477">
        <v>2001</v>
      </c>
      <c r="T283" s="3477">
        <v>0</v>
      </c>
    </row>
    <row r="284" spans="1:20" ht="14.25">
      <c r="A284" s="3477" t="s">
        <v>4201</v>
      </c>
      <c r="B284" s="3477" t="s">
        <v>3454</v>
      </c>
      <c r="C284" s="3477" t="s">
        <v>4201</v>
      </c>
      <c r="D284" s="3477" t="s">
        <v>3464</v>
      </c>
      <c r="E284" s="3477">
        <v>20001</v>
      </c>
      <c r="F284" s="3477">
        <v>40002</v>
      </c>
      <c r="G284" s="3477" t="s">
        <v>3523</v>
      </c>
      <c r="H284" s="3477" t="s">
        <v>3457</v>
      </c>
      <c r="I284" s="3477" t="s">
        <v>3408</v>
      </c>
      <c r="J284" s="3477" t="s">
        <v>3427</v>
      </c>
      <c r="K284" s="3477" t="s">
        <v>4197</v>
      </c>
      <c r="L284" s="3477" t="s">
        <v>4197</v>
      </c>
      <c r="M284" s="3477" t="s">
        <v>3460</v>
      </c>
      <c r="N284" s="3477" t="s">
        <v>4202</v>
      </c>
      <c r="O284" s="3477">
        <v>6001</v>
      </c>
      <c r="P284" s="3477">
        <v>3100</v>
      </c>
      <c r="Q284" s="3477" t="s">
        <v>4199</v>
      </c>
      <c r="R284" s="3477">
        <v>6001</v>
      </c>
      <c r="S284" s="3477">
        <v>1500</v>
      </c>
      <c r="T284" s="3477">
        <v>0</v>
      </c>
    </row>
    <row r="285" spans="1:20" ht="14.25">
      <c r="A285" s="3477" t="s">
        <v>4203</v>
      </c>
      <c r="B285" s="3477" t="s">
        <v>3454</v>
      </c>
      <c r="C285" s="3477" t="s">
        <v>4203</v>
      </c>
      <c r="D285" s="3477" t="s">
        <v>3455</v>
      </c>
      <c r="E285" s="3477">
        <v>2856</v>
      </c>
      <c r="F285" s="3477">
        <v>4284</v>
      </c>
      <c r="G285" s="3477" t="s">
        <v>3579</v>
      </c>
      <c r="H285" s="3477" t="s">
        <v>3457</v>
      </c>
      <c r="I285" s="3477" t="s">
        <v>2447</v>
      </c>
      <c r="J285" s="3477" t="s">
        <v>3427</v>
      </c>
      <c r="K285" s="3477" t="s">
        <v>4197</v>
      </c>
      <c r="L285" s="3477" t="s">
        <v>4197</v>
      </c>
      <c r="M285" s="3477" t="s">
        <v>3460</v>
      </c>
      <c r="N285" s="3477" t="s">
        <v>3580</v>
      </c>
      <c r="O285" s="3477">
        <v>857</v>
      </c>
      <c r="P285" s="3477">
        <v>430</v>
      </c>
      <c r="Q285" s="3477" t="s">
        <v>4199</v>
      </c>
      <c r="R285" s="3477">
        <v>857</v>
      </c>
      <c r="S285" s="3477">
        <v>2000</v>
      </c>
      <c r="T285" s="3477">
        <v>0</v>
      </c>
    </row>
    <row r="286" spans="1:20" ht="14.25">
      <c r="A286" s="3477" t="s">
        <v>4204</v>
      </c>
      <c r="B286" s="3477" t="s">
        <v>3454</v>
      </c>
      <c r="C286" s="3477" t="s">
        <v>4204</v>
      </c>
      <c r="D286" s="3477" t="s">
        <v>3455</v>
      </c>
      <c r="E286" s="3477">
        <v>3575</v>
      </c>
      <c r="F286" s="3477">
        <v>5362.5</v>
      </c>
      <c r="G286" s="3477" t="s">
        <v>3579</v>
      </c>
      <c r="H286" s="3477" t="s">
        <v>3457</v>
      </c>
      <c r="I286" s="3477" t="s">
        <v>2447</v>
      </c>
      <c r="J286" s="3477" t="s">
        <v>3427</v>
      </c>
      <c r="K286" s="3477" t="s">
        <v>4197</v>
      </c>
      <c r="L286" s="3477" t="s">
        <v>4197</v>
      </c>
      <c r="M286" s="3477" t="s">
        <v>3460</v>
      </c>
      <c r="N286" s="3477" t="s">
        <v>3580</v>
      </c>
      <c r="O286" s="3477">
        <v>1073</v>
      </c>
      <c r="P286" s="3477">
        <v>540</v>
      </c>
      <c r="Q286" s="3477" t="s">
        <v>4199</v>
      </c>
      <c r="R286" s="3477">
        <v>1073</v>
      </c>
      <c r="S286" s="3477">
        <v>2001</v>
      </c>
      <c r="T286" s="3477">
        <v>0</v>
      </c>
    </row>
    <row r="287" spans="1:20" ht="14.25">
      <c r="A287" s="3477" t="s">
        <v>4205</v>
      </c>
      <c r="B287" s="3477" t="s">
        <v>3454</v>
      </c>
      <c r="C287" s="3477" t="s">
        <v>4206</v>
      </c>
      <c r="D287" s="3477" t="s">
        <v>3455</v>
      </c>
      <c r="E287" s="3477">
        <v>14814</v>
      </c>
      <c r="F287" s="3477">
        <v>81477</v>
      </c>
      <c r="G287" s="3477" t="s">
        <v>4207</v>
      </c>
      <c r="H287" s="3477" t="s">
        <v>3457</v>
      </c>
      <c r="I287" s="3477" t="s">
        <v>3407</v>
      </c>
      <c r="J287" s="3477" t="s">
        <v>3427</v>
      </c>
      <c r="K287" s="3477" t="s">
        <v>4208</v>
      </c>
      <c r="L287" s="3477" t="s">
        <v>4208</v>
      </c>
      <c r="M287" s="3477" t="s">
        <v>3460</v>
      </c>
      <c r="N287" s="3477" t="s">
        <v>3550</v>
      </c>
      <c r="O287" s="3477">
        <v>34241</v>
      </c>
      <c r="P287" s="3477">
        <v>6849</v>
      </c>
      <c r="Q287" s="3477" t="s">
        <v>4209</v>
      </c>
      <c r="R287" s="3477">
        <v>34241</v>
      </c>
      <c r="S287" s="3477">
        <v>4203</v>
      </c>
      <c r="T287" s="3477">
        <v>0</v>
      </c>
    </row>
    <row r="288" spans="1:20" ht="14.25">
      <c r="A288" s="3477" t="s">
        <v>4210</v>
      </c>
      <c r="B288" s="3477" t="s">
        <v>3454</v>
      </c>
      <c r="C288" s="3477" t="s">
        <v>4211</v>
      </c>
      <c r="D288" s="3477" t="s">
        <v>3455</v>
      </c>
      <c r="E288" s="3477">
        <v>24657</v>
      </c>
      <c r="F288" s="3477">
        <v>41916.9</v>
      </c>
      <c r="G288" s="3477" t="s">
        <v>4212</v>
      </c>
      <c r="H288" s="3477" t="s">
        <v>3457</v>
      </c>
      <c r="I288" s="3477" t="s">
        <v>3407</v>
      </c>
      <c r="J288" s="3477" t="s">
        <v>3427</v>
      </c>
      <c r="K288" s="3477" t="s">
        <v>4208</v>
      </c>
      <c r="L288" s="3477" t="s">
        <v>4208</v>
      </c>
      <c r="M288" s="3477" t="s">
        <v>3460</v>
      </c>
      <c r="N288" s="3477" t="s">
        <v>4213</v>
      </c>
      <c r="O288" s="3477">
        <v>16984</v>
      </c>
      <c r="P288" s="3477">
        <v>3500</v>
      </c>
      <c r="Q288" s="3477" t="s">
        <v>4209</v>
      </c>
      <c r="R288" s="3477">
        <v>16984</v>
      </c>
      <c r="S288" s="3477">
        <v>4052</v>
      </c>
      <c r="T288" s="3477">
        <v>0</v>
      </c>
    </row>
    <row r="289" spans="1:20" ht="14.25">
      <c r="A289" s="3477" t="s">
        <v>4214</v>
      </c>
      <c r="B289" s="3477" t="s">
        <v>3454</v>
      </c>
      <c r="C289" s="3477" t="s">
        <v>4215</v>
      </c>
      <c r="D289" s="3477" t="s">
        <v>3455</v>
      </c>
      <c r="E289" s="3477">
        <v>10102</v>
      </c>
      <c r="F289" s="3477">
        <v>13132.6</v>
      </c>
      <c r="G289" s="3477" t="s">
        <v>3719</v>
      </c>
      <c r="H289" s="3477" t="s">
        <v>3457</v>
      </c>
      <c r="I289" s="3477" t="s">
        <v>3407</v>
      </c>
      <c r="J289" s="3477" t="s">
        <v>3427</v>
      </c>
      <c r="K289" s="3477" t="s">
        <v>4208</v>
      </c>
      <c r="L289" s="3477" t="s">
        <v>4208</v>
      </c>
      <c r="M289" s="3477" t="s">
        <v>3460</v>
      </c>
      <c r="N289" s="3477" t="s">
        <v>4216</v>
      </c>
      <c r="O289" s="3477">
        <v>1137</v>
      </c>
      <c r="P289" s="3477">
        <v>300</v>
      </c>
      <c r="Q289" s="3477" t="s">
        <v>4209</v>
      </c>
      <c r="R289" s="3477">
        <v>1137</v>
      </c>
      <c r="S289" s="3477">
        <v>866</v>
      </c>
      <c r="T289" s="3477">
        <v>0</v>
      </c>
    </row>
    <row r="290" spans="1:20" ht="14.25">
      <c r="A290" s="3477" t="s">
        <v>4217</v>
      </c>
      <c r="B290" s="3477" t="s">
        <v>3454</v>
      </c>
      <c r="C290" s="3477" t="s">
        <v>4217</v>
      </c>
      <c r="D290" s="3477" t="s">
        <v>3464</v>
      </c>
      <c r="E290" s="3477">
        <v>19282</v>
      </c>
      <c r="F290" s="3477">
        <v>23138.400000000001</v>
      </c>
      <c r="G290" s="3477" t="s">
        <v>3773</v>
      </c>
      <c r="H290" s="3477" t="s">
        <v>3457</v>
      </c>
      <c r="I290" s="3477" t="s">
        <v>3408</v>
      </c>
      <c r="J290" s="3477" t="s">
        <v>3427</v>
      </c>
      <c r="K290" s="3477" t="s">
        <v>4218</v>
      </c>
      <c r="L290" s="3477" t="s">
        <v>4218</v>
      </c>
      <c r="M290" s="3477" t="s">
        <v>3460</v>
      </c>
      <c r="N290" s="3477" t="s">
        <v>4219</v>
      </c>
      <c r="O290" s="3477">
        <v>8350</v>
      </c>
      <c r="P290" s="3477">
        <v>7635</v>
      </c>
      <c r="Q290" s="3477" t="s">
        <v>4220</v>
      </c>
      <c r="R290" s="3477">
        <v>8350</v>
      </c>
      <c r="S290" s="3477">
        <v>3609</v>
      </c>
      <c r="T290" s="3477">
        <v>0</v>
      </c>
    </row>
    <row r="291" spans="1:20" ht="14.25">
      <c r="A291" s="3477" t="s">
        <v>4221</v>
      </c>
      <c r="B291" s="3477" t="s">
        <v>3454</v>
      </c>
      <c r="C291" s="3477" t="s">
        <v>4221</v>
      </c>
      <c r="D291" s="3477" t="s">
        <v>3464</v>
      </c>
      <c r="E291" s="3477">
        <v>19978</v>
      </c>
      <c r="F291" s="3477">
        <v>23973.599999999999</v>
      </c>
      <c r="G291" s="3477" t="s">
        <v>4222</v>
      </c>
      <c r="H291" s="3477" t="s">
        <v>3457</v>
      </c>
      <c r="I291" s="3477" t="s">
        <v>3408</v>
      </c>
      <c r="J291" s="3477" t="s">
        <v>3427</v>
      </c>
      <c r="K291" s="3477" t="s">
        <v>4218</v>
      </c>
      <c r="L291" s="3477" t="s">
        <v>4218</v>
      </c>
      <c r="M291" s="3477" t="s">
        <v>3460</v>
      </c>
      <c r="N291" s="3477" t="s">
        <v>4219</v>
      </c>
      <c r="O291" s="3477">
        <v>8650</v>
      </c>
      <c r="P291" s="3477">
        <v>7635</v>
      </c>
      <c r="Q291" s="3477" t="s">
        <v>4220</v>
      </c>
      <c r="R291" s="3477">
        <v>8650</v>
      </c>
      <c r="S291" s="3477">
        <v>3608</v>
      </c>
      <c r="T291" s="3477">
        <v>0</v>
      </c>
    </row>
    <row r="292" spans="1:20" ht="14.25">
      <c r="A292" s="3477" t="s">
        <v>4223</v>
      </c>
      <c r="B292" s="3477" t="s">
        <v>3454</v>
      </c>
      <c r="C292" s="3477" t="s">
        <v>4223</v>
      </c>
      <c r="D292" s="3477" t="s">
        <v>3464</v>
      </c>
      <c r="E292" s="3477">
        <v>19493</v>
      </c>
      <c r="F292" s="3477">
        <v>23391.599999999999</v>
      </c>
      <c r="G292" s="3477" t="s">
        <v>3773</v>
      </c>
      <c r="H292" s="3477" t="s">
        <v>3457</v>
      </c>
      <c r="I292" s="3477" t="s">
        <v>3408</v>
      </c>
      <c r="J292" s="3477" t="s">
        <v>3427</v>
      </c>
      <c r="K292" s="3477" t="s">
        <v>4218</v>
      </c>
      <c r="L292" s="3477" t="s">
        <v>4218</v>
      </c>
      <c r="M292" s="3477" t="s">
        <v>3460</v>
      </c>
      <c r="N292" s="3477" t="s">
        <v>4219</v>
      </c>
      <c r="O292" s="3477">
        <v>8450</v>
      </c>
      <c r="P292" s="3477">
        <v>7635</v>
      </c>
      <c r="Q292" s="3477" t="s">
        <v>4220</v>
      </c>
      <c r="R292" s="3477">
        <v>8450</v>
      </c>
      <c r="S292" s="3477">
        <v>3612</v>
      </c>
      <c r="T292" s="3477">
        <v>0</v>
      </c>
    </row>
    <row r="293" spans="1:20" ht="14.25">
      <c r="A293" s="3477" t="s">
        <v>4224</v>
      </c>
      <c r="B293" s="3477" t="s">
        <v>3454</v>
      </c>
      <c r="C293" s="3477" t="s">
        <v>4224</v>
      </c>
      <c r="D293" s="3477" t="s">
        <v>3455</v>
      </c>
      <c r="E293" s="3477">
        <v>942</v>
      </c>
      <c r="F293" s="3477">
        <v>499.26</v>
      </c>
      <c r="G293" s="3477" t="s">
        <v>4225</v>
      </c>
      <c r="H293" s="3477" t="s">
        <v>3457</v>
      </c>
      <c r="I293" s="3477" t="s">
        <v>2447</v>
      </c>
      <c r="J293" s="3477" t="s">
        <v>3427</v>
      </c>
      <c r="K293" s="3477" t="s">
        <v>4226</v>
      </c>
      <c r="L293" s="3477" t="s">
        <v>4226</v>
      </c>
      <c r="M293" s="3477" t="s">
        <v>3460</v>
      </c>
      <c r="N293" s="3477" t="s">
        <v>4227</v>
      </c>
      <c r="O293" s="3477">
        <v>71</v>
      </c>
      <c r="P293" s="3477">
        <v>71</v>
      </c>
      <c r="Q293" s="3477" t="s">
        <v>4228</v>
      </c>
      <c r="R293" s="3477">
        <v>71</v>
      </c>
      <c r="S293" s="3477">
        <v>1422</v>
      </c>
      <c r="T293" s="3477">
        <v>0</v>
      </c>
    </row>
    <row r="294" spans="1:20" s="3183" customFormat="1" ht="14.25">
      <c r="A294" s="3501" t="s">
        <v>4229</v>
      </c>
      <c r="B294" s="3501" t="s">
        <v>3454</v>
      </c>
      <c r="C294" s="3501" t="s">
        <v>4230</v>
      </c>
      <c r="D294" s="3501" t="s">
        <v>3464</v>
      </c>
      <c r="E294" s="3501">
        <v>17149</v>
      </c>
      <c r="F294" s="3501">
        <v>20578.8</v>
      </c>
      <c r="G294" s="3501" t="s">
        <v>3773</v>
      </c>
      <c r="H294" s="3501" t="s">
        <v>3457</v>
      </c>
      <c r="I294" s="3501" t="s">
        <v>3408</v>
      </c>
      <c r="J294" s="3501" t="s">
        <v>3427</v>
      </c>
      <c r="K294" s="3501" t="s">
        <v>4231</v>
      </c>
      <c r="L294" s="3501" t="s">
        <v>4231</v>
      </c>
      <c r="M294" s="3501" t="s">
        <v>3460</v>
      </c>
      <c r="N294" s="3501" t="s">
        <v>4183</v>
      </c>
      <c r="O294" s="3501">
        <v>9270</v>
      </c>
      <c r="P294" s="3501">
        <v>4740</v>
      </c>
      <c r="Q294" s="3501" t="s">
        <v>4232</v>
      </c>
      <c r="R294" s="3501">
        <v>9270</v>
      </c>
      <c r="S294" s="3501">
        <v>4505</v>
      </c>
      <c r="T294" s="3501">
        <v>0</v>
      </c>
    </row>
    <row r="295" spans="1:20" ht="14.25">
      <c r="A295" s="3477" t="s">
        <v>4233</v>
      </c>
      <c r="B295" s="3477" t="s">
        <v>3454</v>
      </c>
      <c r="C295" s="3477" t="s">
        <v>4234</v>
      </c>
      <c r="D295" s="3477" t="s">
        <v>3464</v>
      </c>
      <c r="E295" s="3477">
        <v>19070</v>
      </c>
      <c r="F295" s="3477">
        <v>26698</v>
      </c>
      <c r="G295" s="3477" t="s">
        <v>4235</v>
      </c>
      <c r="H295" s="3477" t="s">
        <v>3457</v>
      </c>
      <c r="I295" s="3477" t="s">
        <v>3408</v>
      </c>
      <c r="J295" s="3477" t="s">
        <v>3427</v>
      </c>
      <c r="K295" s="3477" t="s">
        <v>4231</v>
      </c>
      <c r="L295" s="3477" t="s">
        <v>4231</v>
      </c>
      <c r="M295" s="3477" t="s">
        <v>3460</v>
      </c>
      <c r="N295" s="3477" t="s">
        <v>4183</v>
      </c>
      <c r="O295" s="3477">
        <v>10880</v>
      </c>
      <c r="P295" s="3477">
        <v>4740</v>
      </c>
      <c r="Q295" s="3477" t="s">
        <v>4232</v>
      </c>
      <c r="R295" s="3477">
        <v>10880</v>
      </c>
      <c r="S295" s="3477">
        <v>4075</v>
      </c>
      <c r="T295" s="3477">
        <v>0</v>
      </c>
    </row>
    <row r="296" spans="1:20" ht="14.25">
      <c r="A296" s="3477" t="s">
        <v>4236</v>
      </c>
      <c r="B296" s="3477" t="s">
        <v>3454</v>
      </c>
      <c r="C296" s="3477" t="s">
        <v>4237</v>
      </c>
      <c r="D296" s="3477" t="s">
        <v>3464</v>
      </c>
      <c r="E296" s="3477">
        <v>76028</v>
      </c>
      <c r="F296" s="3477">
        <v>159658.79999999999</v>
      </c>
      <c r="G296" s="3477" t="s">
        <v>3991</v>
      </c>
      <c r="H296" s="3477" t="s">
        <v>3457</v>
      </c>
      <c r="I296" s="3477" t="s">
        <v>3408</v>
      </c>
      <c r="J296" s="3477" t="s">
        <v>3427</v>
      </c>
      <c r="K296" s="3477" t="s">
        <v>4238</v>
      </c>
      <c r="L296" s="3477" t="s">
        <v>4238</v>
      </c>
      <c r="M296" s="3477" t="s">
        <v>3460</v>
      </c>
      <c r="N296" s="3477" t="s">
        <v>4239</v>
      </c>
      <c r="O296" s="3477">
        <v>16605</v>
      </c>
      <c r="P296" s="3477">
        <v>4982</v>
      </c>
      <c r="Q296" s="3477" t="s">
        <v>4240</v>
      </c>
      <c r="R296" s="3477">
        <v>16605</v>
      </c>
      <c r="S296" s="3477">
        <v>1040</v>
      </c>
      <c r="T296" s="3477">
        <v>0</v>
      </c>
    </row>
    <row r="297" spans="1:20" ht="14.25">
      <c r="A297" s="3477" t="s">
        <v>4241</v>
      </c>
      <c r="B297" s="3477" t="s">
        <v>3454</v>
      </c>
      <c r="C297" s="3477" t="s">
        <v>4242</v>
      </c>
      <c r="D297" s="3477" t="s">
        <v>3455</v>
      </c>
      <c r="E297" s="3477">
        <v>11575</v>
      </c>
      <c r="F297" s="3477">
        <v>23150</v>
      </c>
      <c r="G297" s="3477" t="s">
        <v>3728</v>
      </c>
      <c r="H297" s="3477" t="s">
        <v>3457</v>
      </c>
      <c r="I297" s="3477" t="s">
        <v>3407</v>
      </c>
      <c r="J297" s="3477" t="s">
        <v>3427</v>
      </c>
      <c r="K297" s="3477" t="s">
        <v>4231</v>
      </c>
      <c r="L297" s="3477" t="s">
        <v>4231</v>
      </c>
      <c r="M297" s="3477" t="s">
        <v>3460</v>
      </c>
      <c r="N297" s="3477" t="s">
        <v>4183</v>
      </c>
      <c r="O297" s="3477">
        <v>3480</v>
      </c>
      <c r="P297" s="3477">
        <v>700</v>
      </c>
      <c r="Q297" s="3477" t="s">
        <v>4232</v>
      </c>
      <c r="R297" s="3477">
        <v>3480</v>
      </c>
      <c r="S297" s="3477">
        <v>1503</v>
      </c>
      <c r="T297" s="3477">
        <v>0</v>
      </c>
    </row>
    <row r="298" spans="1:20" ht="14.25">
      <c r="A298" s="3477" t="s">
        <v>4243</v>
      </c>
      <c r="B298" s="3477" t="s">
        <v>3454</v>
      </c>
      <c r="C298" s="3477" t="s">
        <v>4243</v>
      </c>
      <c r="D298" s="3477" t="s">
        <v>3455</v>
      </c>
      <c r="E298" s="3477">
        <v>13961</v>
      </c>
      <c r="F298" s="3477">
        <v>32110.3</v>
      </c>
      <c r="G298" s="3477" t="s">
        <v>4244</v>
      </c>
      <c r="H298" s="3477" t="s">
        <v>3457</v>
      </c>
      <c r="I298" s="3477" t="s">
        <v>2447</v>
      </c>
      <c r="J298" s="3477" t="s">
        <v>3427</v>
      </c>
      <c r="K298" s="3477" t="s">
        <v>4245</v>
      </c>
      <c r="L298" s="3477" t="s">
        <v>4245</v>
      </c>
      <c r="M298" s="3477" t="s">
        <v>3460</v>
      </c>
      <c r="N298" s="3477" t="s">
        <v>3725</v>
      </c>
      <c r="O298" s="3477">
        <v>3142</v>
      </c>
      <c r="P298" s="3477">
        <v>3142</v>
      </c>
      <c r="Q298" s="3477" t="s">
        <v>4246</v>
      </c>
      <c r="R298" s="3477">
        <v>3142</v>
      </c>
      <c r="S298" s="3477">
        <v>979</v>
      </c>
      <c r="T298" s="3477">
        <v>0</v>
      </c>
    </row>
    <row r="299" spans="1:20" ht="14.25">
      <c r="A299" s="3477" t="s">
        <v>4247</v>
      </c>
      <c r="B299" s="3477" t="s">
        <v>3454</v>
      </c>
      <c r="C299" s="3477" t="s">
        <v>4248</v>
      </c>
      <c r="D299" s="3477" t="s">
        <v>3455</v>
      </c>
      <c r="E299" s="3477">
        <v>19574</v>
      </c>
      <c r="F299" s="3477">
        <v>48935</v>
      </c>
      <c r="G299" s="3477" t="s">
        <v>4029</v>
      </c>
      <c r="H299" s="3477" t="s">
        <v>3457</v>
      </c>
      <c r="I299" s="3477" t="s">
        <v>4196</v>
      </c>
      <c r="J299" s="3477" t="s">
        <v>3427</v>
      </c>
      <c r="K299" s="3477" t="s">
        <v>4249</v>
      </c>
      <c r="L299" s="3477" t="s">
        <v>4249</v>
      </c>
      <c r="M299" s="3477" t="s">
        <v>3460</v>
      </c>
      <c r="N299" s="3477" t="s">
        <v>4250</v>
      </c>
      <c r="O299" s="3477">
        <v>3606</v>
      </c>
      <c r="P299" s="3477">
        <v>3606</v>
      </c>
      <c r="Q299" s="3477" t="s">
        <v>4251</v>
      </c>
      <c r="R299" s="3477">
        <v>3606</v>
      </c>
      <c r="S299" s="3477">
        <v>737</v>
      </c>
      <c r="T299" s="3477">
        <v>0</v>
      </c>
    </row>
    <row r="300" spans="1:20" ht="14.25">
      <c r="A300" s="3477" t="s">
        <v>4252</v>
      </c>
      <c r="B300" s="3477" t="s">
        <v>3454</v>
      </c>
      <c r="C300" s="3477" t="s">
        <v>4253</v>
      </c>
      <c r="D300" s="3477" t="s">
        <v>3455</v>
      </c>
      <c r="E300" s="3477">
        <v>4629</v>
      </c>
      <c r="F300" s="3477">
        <v>9258</v>
      </c>
      <c r="G300" s="3477" t="s">
        <v>3456</v>
      </c>
      <c r="H300" s="3477" t="s">
        <v>3457</v>
      </c>
      <c r="I300" s="3477" t="s">
        <v>2443</v>
      </c>
      <c r="J300" s="3477" t="s">
        <v>3427</v>
      </c>
      <c r="K300" s="3477" t="s">
        <v>4249</v>
      </c>
      <c r="L300" s="3477" t="s">
        <v>4249</v>
      </c>
      <c r="M300" s="3477" t="s">
        <v>3460</v>
      </c>
      <c r="N300" s="3477" t="s">
        <v>4254</v>
      </c>
      <c r="O300" s="3477">
        <v>1600</v>
      </c>
      <c r="P300" s="3477">
        <v>1600</v>
      </c>
      <c r="Q300" s="3477" t="s">
        <v>4251</v>
      </c>
      <c r="R300" s="3477">
        <v>2820</v>
      </c>
      <c r="S300" s="3477">
        <v>3046</v>
      </c>
      <c r="T300" s="3477">
        <v>76.25</v>
      </c>
    </row>
    <row r="301" spans="1:20" ht="14.25">
      <c r="A301" s="3477" t="s">
        <v>4255</v>
      </c>
      <c r="B301" s="3477" t="s">
        <v>3454</v>
      </c>
      <c r="C301" s="3477" t="s">
        <v>4255</v>
      </c>
      <c r="D301" s="3477" t="s">
        <v>3464</v>
      </c>
      <c r="E301" s="3477">
        <v>24105</v>
      </c>
      <c r="F301" s="3477">
        <v>58334.1</v>
      </c>
      <c r="G301" s="3477" t="s">
        <v>4256</v>
      </c>
      <c r="H301" s="3477" t="s">
        <v>3457</v>
      </c>
      <c r="I301" s="3477" t="s">
        <v>3408</v>
      </c>
      <c r="J301" s="3477" t="s">
        <v>3427</v>
      </c>
      <c r="K301" s="3477" t="s">
        <v>4257</v>
      </c>
      <c r="L301" s="3477" t="s">
        <v>4257</v>
      </c>
      <c r="M301" s="3477" t="s">
        <v>3460</v>
      </c>
      <c r="N301" s="3477" t="s">
        <v>4258</v>
      </c>
      <c r="O301" s="3477">
        <v>9780</v>
      </c>
      <c r="P301" s="3477">
        <v>2000</v>
      </c>
      <c r="Q301" s="3477" t="s">
        <v>4259</v>
      </c>
      <c r="R301" s="3477">
        <v>9780</v>
      </c>
      <c r="S301" s="3477">
        <v>1677</v>
      </c>
      <c r="T301" s="3477">
        <v>0</v>
      </c>
    </row>
  </sheetData>
  <mergeCells count="6020">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51" t="s">
        <v>1768</v>
      </c>
      <c r="D4" s="3452"/>
      <c r="E4" s="3453" t="s">
        <v>1769</v>
      </c>
      <c r="F4" s="3454"/>
      <c r="G4" s="3451" t="s">
        <v>1770</v>
      </c>
      <c r="H4" s="3452"/>
      <c r="I4" s="3451" t="s">
        <v>1771</v>
      </c>
      <c r="J4" s="3452"/>
      <c r="K4" s="537" t="s">
        <v>1772</v>
      </c>
      <c r="L4" s="2487"/>
      <c r="M4" s="2488"/>
      <c r="N4" s="2488"/>
      <c r="O4" s="2488"/>
      <c r="P4" s="3455" t="s">
        <v>1773</v>
      </c>
      <c r="Q4" s="3456"/>
      <c r="R4" s="3438" t="s">
        <v>1769</v>
      </c>
      <c r="S4" s="3439"/>
      <c r="T4" s="3438" t="s">
        <v>1770</v>
      </c>
      <c r="U4" s="3439"/>
      <c r="V4" s="3435" t="s">
        <v>1771</v>
      </c>
      <c r="W4" s="3435"/>
      <c r="X4" s="1265"/>
      <c r="Y4" s="3438" t="s">
        <v>1773</v>
      </c>
      <c r="Z4" s="3439"/>
      <c r="AA4" s="3432" t="s">
        <v>1769</v>
      </c>
      <c r="AB4" s="3433" t="s">
        <v>1770</v>
      </c>
      <c r="AC4" s="3432" t="s">
        <v>1771</v>
      </c>
    </row>
    <row r="5" spans="1:29" ht="15">
      <c r="A5" s="348"/>
      <c r="B5" s="349"/>
      <c r="C5" s="3444" t="s">
        <v>1671</v>
      </c>
      <c r="D5" s="3445"/>
      <c r="E5" s="3442" t="s">
        <v>1672</v>
      </c>
      <c r="F5" s="3443"/>
      <c r="G5" s="3444" t="s">
        <v>1673</v>
      </c>
      <c r="H5" s="3445"/>
      <c r="I5" s="3444" t="s">
        <v>1674</v>
      </c>
      <c r="J5" s="3445"/>
      <c r="K5" s="537"/>
      <c r="L5" s="2487"/>
      <c r="M5" s="2488"/>
      <c r="N5" s="2488"/>
      <c r="O5" s="2488"/>
      <c r="P5" s="3457"/>
      <c r="Q5" s="3458"/>
      <c r="R5" s="3440"/>
      <c r="S5" s="3441"/>
      <c r="T5" s="3440"/>
      <c r="U5" s="3441"/>
      <c r="V5" s="3435"/>
      <c r="W5" s="3435"/>
      <c r="X5" s="1265"/>
      <c r="Y5" s="3440"/>
      <c r="Z5" s="3441"/>
      <c r="AA5" s="3433"/>
      <c r="AB5" s="3433"/>
      <c r="AC5" s="3433"/>
    </row>
    <row r="6" spans="1:29" ht="15.75" thickBot="1">
      <c r="A6" s="350"/>
      <c r="B6" s="351"/>
      <c r="C6" s="3505" t="s">
        <v>1917</v>
      </c>
      <c r="D6" s="3506"/>
      <c r="E6" s="3507" t="s">
        <v>1917</v>
      </c>
      <c r="F6" s="3508"/>
      <c r="G6" s="3505" t="s">
        <v>1917</v>
      </c>
      <c r="H6" s="3506"/>
      <c r="I6" s="3505" t="s">
        <v>1917</v>
      </c>
      <c r="J6" s="3506"/>
      <c r="K6" s="537" t="s">
        <v>1676</v>
      </c>
      <c r="L6" s="2487"/>
      <c r="M6" s="2488"/>
      <c r="N6" s="2488"/>
      <c r="O6" s="2488"/>
      <c r="P6" s="3459"/>
      <c r="Q6" s="3460"/>
      <c r="R6" s="3440"/>
      <c r="S6" s="3441"/>
      <c r="T6" s="3461"/>
      <c r="U6" s="3462"/>
      <c r="V6" s="3435"/>
      <c r="W6" s="3435"/>
      <c r="X6" s="1265"/>
      <c r="Y6" s="3461"/>
      <c r="Z6" s="3462"/>
      <c r="AA6" s="3434"/>
      <c r="AB6" s="3434"/>
      <c r="AC6" s="3434"/>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6" t="s">
        <v>1678</v>
      </c>
      <c r="Q7" s="3463"/>
      <c r="R7" s="664" t="s">
        <v>14</v>
      </c>
      <c r="S7" s="665">
        <f t="shared" ref="S7:S15" si="0">F7</f>
        <v>0</v>
      </c>
      <c r="T7" s="664" t="s">
        <v>14</v>
      </c>
      <c r="U7" s="665">
        <f t="shared" ref="U7:U15" si="1">H7</f>
        <v>0</v>
      </c>
      <c r="V7" s="664" t="s">
        <v>14</v>
      </c>
      <c r="W7" s="665">
        <f t="shared" ref="W7:W15" si="2">J7</f>
        <v>0</v>
      </c>
      <c r="X7" s="666"/>
      <c r="Y7" s="3436" t="s">
        <v>1678</v>
      </c>
      <c r="Z7" s="343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6" t="s">
        <v>1681</v>
      </c>
      <c r="Q8" s="3437"/>
      <c r="R8" s="664" t="s">
        <v>14</v>
      </c>
      <c r="S8" s="665">
        <f t="shared" si="0"/>
        <v>0</v>
      </c>
      <c r="T8" s="664" t="s">
        <v>14</v>
      </c>
      <c r="U8" s="665">
        <f t="shared" si="1"/>
        <v>0</v>
      </c>
      <c r="V8" s="664" t="s">
        <v>14</v>
      </c>
      <c r="W8" s="665">
        <f t="shared" si="2"/>
        <v>0</v>
      </c>
      <c r="X8" s="666"/>
      <c r="Y8" s="3436" t="s">
        <v>1681</v>
      </c>
      <c r="Z8" s="343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3" t="s">
        <v>1684</v>
      </c>
      <c r="Q9" s="530" t="str">
        <f t="shared" ref="Q9:Q15" si="6">B9</f>
        <v>用途</v>
      </c>
      <c r="R9" s="664" t="s">
        <v>14</v>
      </c>
      <c r="S9" s="665">
        <f t="shared" si="0"/>
        <v>100</v>
      </c>
      <c r="T9" s="664" t="s">
        <v>14</v>
      </c>
      <c r="U9" s="665">
        <f t="shared" si="1"/>
        <v>100</v>
      </c>
      <c r="V9" s="664" t="s">
        <v>14</v>
      </c>
      <c r="W9" s="665">
        <f t="shared" si="2"/>
        <v>100</v>
      </c>
      <c r="X9" s="666"/>
      <c r="Y9" s="338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73"/>
      <c r="Q10" s="530" t="str">
        <f t="shared" si="6"/>
        <v>土地使用年限（年）</v>
      </c>
      <c r="R10" s="664" t="s">
        <v>14</v>
      </c>
      <c r="S10" s="665">
        <f t="shared" si="0"/>
        <v>111</v>
      </c>
      <c r="T10" s="664" t="s">
        <v>14</v>
      </c>
      <c r="U10" s="665">
        <f t="shared" si="1"/>
        <v>111</v>
      </c>
      <c r="V10" s="664" t="s">
        <v>14</v>
      </c>
      <c r="W10" s="665">
        <f t="shared" si="2"/>
        <v>111</v>
      </c>
      <c r="X10" s="666"/>
      <c r="Y10" s="3381"/>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3"/>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6" t="s">
        <v>1689</v>
      </c>
      <c r="Q15" s="1263" t="str">
        <f t="shared" si="6"/>
        <v>产业集聚程度</v>
      </c>
      <c r="R15" s="667" t="s">
        <v>14</v>
      </c>
      <c r="S15" s="668">
        <f t="shared" si="0"/>
        <v>100</v>
      </c>
      <c r="T15" s="667" t="s">
        <v>14</v>
      </c>
      <c r="U15" s="668">
        <f t="shared" si="1"/>
        <v>100</v>
      </c>
      <c r="V15" s="667" t="s">
        <v>14</v>
      </c>
      <c r="W15" s="668">
        <f t="shared" si="2"/>
        <v>100</v>
      </c>
      <c r="X15" s="1265"/>
      <c r="Y15" s="3466"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7"/>
      <c r="Q16" s="1263"/>
      <c r="R16" s="667"/>
      <c r="S16" s="668"/>
      <c r="T16" s="667"/>
      <c r="U16" s="668"/>
      <c r="V16" s="667"/>
      <c r="W16" s="668"/>
      <c r="X16" s="1265"/>
      <c r="Y16" s="3467"/>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7"/>
      <c r="Q17" s="1263" t="str">
        <f>B17</f>
        <v>交通便捷度</v>
      </c>
      <c r="R17" s="667" t="s">
        <v>14</v>
      </c>
      <c r="S17" s="668">
        <f>F17</f>
        <v>100</v>
      </c>
      <c r="T17" s="667" t="s">
        <v>14</v>
      </c>
      <c r="U17" s="668">
        <f>H17</f>
        <v>100</v>
      </c>
      <c r="V17" s="667" t="s">
        <v>14</v>
      </c>
      <c r="W17" s="668">
        <f>J17</f>
        <v>100</v>
      </c>
      <c r="X17" s="1265"/>
      <c r="Y17" s="34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7"/>
      <c r="Q18" s="1263"/>
      <c r="R18" s="667"/>
      <c r="S18" s="668"/>
      <c r="T18" s="667"/>
      <c r="U18" s="668"/>
      <c r="V18" s="667"/>
      <c r="W18" s="668"/>
      <c r="X18" s="1265"/>
      <c r="Y18" s="3467"/>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7"/>
      <c r="Q19" s="1263" t="str">
        <f t="shared" ref="Q19:Q33" si="8">B19</f>
        <v>区域土地利用方向</v>
      </c>
      <c r="R19" s="667" t="s">
        <v>14</v>
      </c>
      <c r="S19" s="668">
        <f>F19</f>
        <v>100</v>
      </c>
      <c r="T19" s="667" t="s">
        <v>14</v>
      </c>
      <c r="U19" s="668">
        <f>H19</f>
        <v>100</v>
      </c>
      <c r="V19" s="667" t="s">
        <v>14</v>
      </c>
      <c r="W19" s="668">
        <f>J19</f>
        <v>100</v>
      </c>
      <c r="X19" s="1265"/>
      <c r="Y19" s="34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7"/>
      <c r="Q20" s="1263"/>
      <c r="R20" s="667"/>
      <c r="S20" s="668"/>
      <c r="T20" s="667"/>
      <c r="U20" s="668"/>
      <c r="V20" s="667"/>
      <c r="W20" s="668"/>
      <c r="X20" s="1265"/>
      <c r="Y20" s="3467"/>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7"/>
      <c r="Q21" s="1263" t="str">
        <f t="shared" si="8"/>
        <v>环境状况</v>
      </c>
      <c r="R21" s="667" t="s">
        <v>14</v>
      </c>
      <c r="S21" s="668">
        <f>F21</f>
        <v>100</v>
      </c>
      <c r="T21" s="667" t="s">
        <v>14</v>
      </c>
      <c r="U21" s="668">
        <f>H21</f>
        <v>100</v>
      </c>
      <c r="V21" s="667" t="s">
        <v>14</v>
      </c>
      <c r="W21" s="668">
        <f>J21</f>
        <v>100</v>
      </c>
      <c r="X21" s="1265"/>
      <c r="Y21" s="34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7"/>
      <c r="Q22" s="1263"/>
      <c r="R22" s="667"/>
      <c r="S22" s="668"/>
      <c r="T22" s="667"/>
      <c r="U22" s="668"/>
      <c r="V22" s="667"/>
      <c r="W22" s="668"/>
      <c r="X22" s="1265"/>
      <c r="Y22" s="3467"/>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7"/>
      <c r="Q23" s="530" t="str">
        <f t="shared" si="8"/>
        <v>公共配套设施</v>
      </c>
      <c r="R23" s="664" t="s">
        <v>14</v>
      </c>
      <c r="S23" s="665">
        <f>F23</f>
        <v>100</v>
      </c>
      <c r="T23" s="664" t="s">
        <v>14</v>
      </c>
      <c r="U23" s="665">
        <f>H23</f>
        <v>100</v>
      </c>
      <c r="V23" s="664" t="s">
        <v>14</v>
      </c>
      <c r="W23" s="665">
        <f>J23</f>
        <v>100</v>
      </c>
      <c r="X23" s="666"/>
      <c r="Y23" s="34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7"/>
      <c r="Q24" s="530"/>
      <c r="R24" s="664"/>
      <c r="S24" s="665"/>
      <c r="T24" s="664"/>
      <c r="U24" s="665"/>
      <c r="V24" s="664"/>
      <c r="W24" s="665"/>
      <c r="X24" s="666"/>
      <c r="Y24" s="3467"/>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7"/>
      <c r="Q25" s="530" t="str">
        <f t="shared" ref="Q25" si="9">B25</f>
        <v>基础设施水平</v>
      </c>
      <c r="R25" s="664" t="s">
        <v>14</v>
      </c>
      <c r="S25" s="665">
        <f>F25</f>
        <v>100</v>
      </c>
      <c r="T25" s="664" t="s">
        <v>14</v>
      </c>
      <c r="U25" s="665">
        <f>H25</f>
        <v>100</v>
      </c>
      <c r="V25" s="664" t="s">
        <v>14</v>
      </c>
      <c r="W25" s="665">
        <f>J25</f>
        <v>100</v>
      </c>
      <c r="X25" s="666"/>
      <c r="Y25" s="34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7"/>
      <c r="Q26" s="530"/>
      <c r="R26" s="664"/>
      <c r="S26" s="665"/>
      <c r="T26" s="664"/>
      <c r="U26" s="665"/>
      <c r="V26" s="664"/>
      <c r="W26" s="665"/>
      <c r="X26" s="666"/>
      <c r="Y26" s="3467"/>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7"/>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7"/>
      <c r="Q28" s="1263" t="str">
        <f t="shared" si="8"/>
        <v>毗邻道路的类型与等级</v>
      </c>
      <c r="R28" s="667" t="s">
        <v>14</v>
      </c>
      <c r="S28" s="668">
        <f t="shared" si="10"/>
        <v>100</v>
      </c>
      <c r="T28" s="667" t="s">
        <v>14</v>
      </c>
      <c r="U28" s="668">
        <f t="shared" si="11"/>
        <v>100</v>
      </c>
      <c r="V28" s="667" t="s">
        <v>14</v>
      </c>
      <c r="W28" s="668">
        <f t="shared" si="12"/>
        <v>100</v>
      </c>
      <c r="X28" s="1265"/>
      <c r="Y28" s="34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7"/>
      <c r="Q29" s="1263"/>
      <c r="R29" s="667"/>
      <c r="S29" s="668"/>
      <c r="T29" s="667"/>
      <c r="U29" s="668"/>
      <c r="V29" s="667"/>
      <c r="W29" s="668"/>
      <c r="X29" s="1265"/>
      <c r="Y29" s="3467"/>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7"/>
      <c r="Q30" s="1263" t="str">
        <f t="shared" si="8"/>
        <v>土地级别</v>
      </c>
      <c r="R30" s="667" t="s">
        <v>14</v>
      </c>
      <c r="S30" s="668">
        <f t="shared" si="10"/>
        <v>100</v>
      </c>
      <c r="T30" s="667" t="s">
        <v>14</v>
      </c>
      <c r="U30" s="668">
        <f t="shared" si="11"/>
        <v>100</v>
      </c>
      <c r="V30" s="667" t="s">
        <v>14</v>
      </c>
      <c r="W30" s="668">
        <f t="shared" si="12"/>
        <v>100</v>
      </c>
      <c r="X30" s="1265"/>
      <c r="Y30" s="34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7"/>
      <c r="Q31" s="1263">
        <f t="shared" si="8"/>
        <v>111</v>
      </c>
      <c r="R31" s="667" t="s">
        <v>14</v>
      </c>
      <c r="S31" s="668">
        <f t="shared" si="10"/>
        <v>100</v>
      </c>
      <c r="T31" s="667" t="s">
        <v>14</v>
      </c>
      <c r="U31" s="668">
        <f t="shared" si="11"/>
        <v>100</v>
      </c>
      <c r="V31" s="667" t="s">
        <v>14</v>
      </c>
      <c r="W31" s="668">
        <f t="shared" si="12"/>
        <v>100</v>
      </c>
      <c r="X31" s="1265"/>
      <c r="Y31" s="34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94" t="s">
        <v>1694</v>
      </c>
      <c r="Q32" s="1263">
        <f t="shared" si="8"/>
        <v>111</v>
      </c>
      <c r="R32" s="667" t="s">
        <v>14</v>
      </c>
      <c r="S32" s="668">
        <f t="shared" si="10"/>
        <v>100</v>
      </c>
      <c r="T32" s="667" t="s">
        <v>14</v>
      </c>
      <c r="U32" s="668">
        <f t="shared" si="11"/>
        <v>100</v>
      </c>
      <c r="V32" s="667" t="s">
        <v>14</v>
      </c>
      <c r="W32" s="668">
        <f t="shared" si="12"/>
        <v>100</v>
      </c>
      <c r="X32" s="1265"/>
      <c r="Y32" s="3471"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1"/>
      <c r="Q33" s="1263">
        <f t="shared" si="8"/>
        <v>111</v>
      </c>
      <c r="R33" s="669" t="s">
        <v>14</v>
      </c>
      <c r="S33" s="670">
        <f t="shared" si="10"/>
        <v>100</v>
      </c>
      <c r="T33" s="669" t="s">
        <v>14</v>
      </c>
      <c r="U33" s="670">
        <f t="shared" si="11"/>
        <v>100</v>
      </c>
      <c r="V33" s="669" t="s">
        <v>14</v>
      </c>
      <c r="W33" s="670">
        <f t="shared" si="12"/>
        <v>100</v>
      </c>
      <c r="X33" s="671"/>
      <c r="Y33" s="3471"/>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1"/>
      <c r="Q34" s="1263" t="str">
        <f>B34</f>
        <v>宗地面积</v>
      </c>
      <c r="R34" s="667" t="s">
        <v>14</v>
      </c>
      <c r="S34" s="668" t="e">
        <f t="shared" si="10"/>
        <v>#N/A</v>
      </c>
      <c r="T34" s="667" t="s">
        <v>14</v>
      </c>
      <c r="U34" s="668" t="e">
        <f t="shared" si="11"/>
        <v>#N/A</v>
      </c>
      <c r="V34" s="667" t="s">
        <v>14</v>
      </c>
      <c r="W34" s="668" t="e">
        <f t="shared" si="12"/>
        <v>#N/A</v>
      </c>
      <c r="X34" s="1265"/>
      <c r="Y34" s="3471"/>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1"/>
      <c r="Q35" s="1263" t="str">
        <f t="shared" ref="Q35:Q40" si="14">B35</f>
        <v>宗地形状</v>
      </c>
      <c r="R35" s="667" t="s">
        <v>14</v>
      </c>
      <c r="S35" s="668">
        <f t="shared" si="10"/>
        <v>100</v>
      </c>
      <c r="T35" s="667" t="s">
        <v>14</v>
      </c>
      <c r="U35" s="668">
        <f t="shared" si="11"/>
        <v>100</v>
      </c>
      <c r="V35" s="667" t="s">
        <v>14</v>
      </c>
      <c r="W35" s="668">
        <f t="shared" si="12"/>
        <v>100</v>
      </c>
      <c r="X35" s="1265"/>
      <c r="Y35" s="3471"/>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1"/>
      <c r="Q36" s="1263" t="str">
        <f t="shared" si="14"/>
        <v>宗地开发程度</v>
      </c>
      <c r="R36" s="664" t="s">
        <v>14</v>
      </c>
      <c r="S36" s="665">
        <f t="shared" si="10"/>
        <v>100</v>
      </c>
      <c r="T36" s="664" t="s">
        <v>14</v>
      </c>
      <c r="U36" s="665">
        <f t="shared" si="11"/>
        <v>100</v>
      </c>
      <c r="V36" s="664" t="s">
        <v>14</v>
      </c>
      <c r="W36" s="665">
        <f t="shared" si="12"/>
        <v>100</v>
      </c>
      <c r="X36" s="666"/>
      <c r="Y36" s="3471"/>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1" t="s">
        <v>1694</v>
      </c>
      <c r="Q37" s="1263" t="str">
        <f t="shared" si="14"/>
        <v>工程地质条件</v>
      </c>
      <c r="R37" s="667" t="s">
        <v>14</v>
      </c>
      <c r="S37" s="668">
        <f t="shared" si="10"/>
        <v>100</v>
      </c>
      <c r="T37" s="667" t="s">
        <v>14</v>
      </c>
      <c r="U37" s="668">
        <f t="shared" si="11"/>
        <v>100</v>
      </c>
      <c r="V37" s="667" t="s">
        <v>14</v>
      </c>
      <c r="W37" s="668">
        <f t="shared" si="12"/>
        <v>100</v>
      </c>
      <c r="X37" s="1265"/>
      <c r="Y37" s="3471"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1"/>
      <c r="Q38" s="1263">
        <f t="shared" si="14"/>
        <v>111</v>
      </c>
      <c r="R38" s="667" t="s">
        <v>14</v>
      </c>
      <c r="S38" s="668">
        <f t="shared" si="10"/>
        <v>100</v>
      </c>
      <c r="T38" s="667" t="s">
        <v>14</v>
      </c>
      <c r="U38" s="668">
        <f t="shared" si="11"/>
        <v>100</v>
      </c>
      <c r="V38" s="667" t="s">
        <v>14</v>
      </c>
      <c r="W38" s="668">
        <f t="shared" si="12"/>
        <v>100</v>
      </c>
      <c r="X38" s="1265"/>
      <c r="Y38" s="34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1"/>
      <c r="Q39" s="1263">
        <f t="shared" si="14"/>
        <v>111</v>
      </c>
      <c r="R39" s="667" t="s">
        <v>14</v>
      </c>
      <c r="S39" s="668">
        <f t="shared" si="10"/>
        <v>100</v>
      </c>
      <c r="T39" s="667" t="s">
        <v>14</v>
      </c>
      <c r="U39" s="668">
        <f t="shared" si="11"/>
        <v>100</v>
      </c>
      <c r="V39" s="667" t="s">
        <v>14</v>
      </c>
      <c r="W39" s="668">
        <f t="shared" si="12"/>
        <v>100</v>
      </c>
      <c r="X39" s="1265"/>
      <c r="Y39" s="347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1"/>
      <c r="Q40" s="1263">
        <f t="shared" si="14"/>
        <v>111</v>
      </c>
      <c r="R40" s="669" t="s">
        <v>14</v>
      </c>
      <c r="S40" s="670">
        <f t="shared" si="10"/>
        <v>100</v>
      </c>
      <c r="T40" s="669" t="s">
        <v>14</v>
      </c>
      <c r="U40" s="670">
        <f t="shared" si="11"/>
        <v>100</v>
      </c>
      <c r="V40" s="669" t="s">
        <v>14</v>
      </c>
      <c r="W40" s="670">
        <f t="shared" si="12"/>
        <v>100</v>
      </c>
      <c r="X40" s="671"/>
      <c r="Y40" s="3471"/>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73" t="str">
        <f>A41</f>
        <v>成交单价</v>
      </c>
      <c r="Q41" s="3473"/>
      <c r="R41" s="3435">
        <f>E41</f>
        <v>0</v>
      </c>
      <c r="S41" s="3435"/>
      <c r="T41" s="3435">
        <f>G41</f>
        <v>0</v>
      </c>
      <c r="U41" s="3435"/>
      <c r="V41" s="3435">
        <f>I41</f>
        <v>0</v>
      </c>
      <c r="W41" s="3435"/>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73" t="str">
        <f>A42</f>
        <v>比较价值（元/平方米）</v>
      </c>
      <c r="Q42" s="3473"/>
      <c r="R42" s="3498" t="e">
        <f>ROUND(PRODUCT(R41,AA7:AA40),0)</f>
        <v>#DIV/0!</v>
      </c>
      <c r="S42" s="3498"/>
      <c r="T42" s="3498" t="e">
        <f>ROUND(PRODUCT(T41,AB7:AB40),0)</f>
        <v>#DIV/0!</v>
      </c>
      <c r="U42" s="3498"/>
      <c r="V42" s="3498" t="e">
        <f>ROUND(PRODUCT(V41,AC7:AC40),0)</f>
        <v>#DIV/0!</v>
      </c>
      <c r="W42" s="349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74" t="str">
        <f>A43</f>
        <v>估价对象XX用房的比较价值（楼面单价，元/平方米）</v>
      </c>
      <c r="Q43" s="3475"/>
      <c r="R43" s="3499" t="e">
        <f>ROUND(IF(D42="简单平均",AVERAGE(R42:W42),R42*F42+T42*H42+V42*J42),0)</f>
        <v>#DIV/0!</v>
      </c>
      <c r="S43" s="3499"/>
      <c r="T43" s="3499"/>
      <c r="U43" s="3499"/>
      <c r="V43" s="3499"/>
      <c r="W43" s="349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51" t="s">
        <v>1885</v>
      </c>
      <c r="H50" s="350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50"/>
      <c r="H51" s="347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12" t="s">
        <v>2082</v>
      </c>
      <c r="D1" s="3513"/>
      <c r="E1" s="3513"/>
      <c r="F1" s="3513"/>
      <c r="G1" s="3513"/>
      <c r="H1" s="3513"/>
      <c r="I1" s="3513"/>
      <c r="J1" s="3513"/>
      <c r="K1" s="3513"/>
      <c r="L1" s="3513"/>
      <c r="M1" s="3513"/>
      <c r="N1" s="3513"/>
      <c r="O1" s="3513"/>
      <c r="P1" s="3513"/>
      <c r="Q1" s="3513"/>
      <c r="R1" s="3513"/>
      <c r="S1" s="351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09" t="s">
        <v>27</v>
      </c>
      <c r="D22" s="3510"/>
      <c r="E22" s="3510"/>
      <c r="F22" s="3510"/>
      <c r="G22" s="3510"/>
      <c r="H22" s="3510"/>
      <c r="I22" s="3510"/>
      <c r="J22" s="3510"/>
      <c r="K22" s="3510"/>
      <c r="L22" s="3510"/>
      <c r="M22" s="3510"/>
      <c r="N22" s="3510"/>
      <c r="O22" s="3510"/>
      <c r="P22" s="3510"/>
      <c r="Q22" s="351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22"/>
      <c r="B4" s="3523"/>
      <c r="C4" s="3523"/>
      <c r="D4" s="3524"/>
      <c r="E4" s="3524"/>
      <c r="F4" s="3524"/>
      <c r="G4" s="3524"/>
      <c r="H4" s="3524"/>
      <c r="I4" s="3524"/>
      <c r="J4" s="3525"/>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19" t="s">
        <v>1958</v>
      </c>
      <c r="X8" s="3520"/>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21"/>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2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26" t="s">
        <v>3252</v>
      </c>
      <c r="B20" s="159" t="s">
        <v>1992</v>
      </c>
      <c r="C20" s="3032" t="e">
        <f>ROUND(IF(F21="与级别开发程度一致",0,(G21-E21)/C21),0)</f>
        <v>#DIV/0!</v>
      </c>
      <c r="D20" s="3047" t="s">
        <v>1996</v>
      </c>
      <c r="E20" s="3048"/>
      <c r="F20" s="3532" t="s">
        <v>1993</v>
      </c>
      <c r="G20" s="353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27"/>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30"/>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1"/>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31"/>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28" t="s">
        <v>3290</v>
      </c>
      <c r="B103" s="3528"/>
      <c r="C103" s="3528"/>
      <c r="D103" s="3528"/>
      <c r="E103" s="3528"/>
      <c r="F103" s="3528"/>
      <c r="G103" s="3528"/>
      <c r="H103" s="3528"/>
      <c r="I103" s="3528"/>
      <c r="J103" s="3528"/>
      <c r="K103" s="1667"/>
      <c r="L103" s="1667"/>
      <c r="M103" s="1667"/>
      <c r="N103" s="1667"/>
    </row>
    <row r="104" spans="1:14">
      <c r="A104" s="3529" t="s">
        <v>3291</v>
      </c>
      <c r="B104" s="3529" t="s">
        <v>3292</v>
      </c>
      <c r="C104" s="3091" t="s">
        <v>3293</v>
      </c>
      <c r="D104" s="3092"/>
      <c r="E104" s="3092"/>
      <c r="F104" s="3092"/>
      <c r="G104" s="3092"/>
      <c r="H104" s="3092"/>
      <c r="I104" s="3092"/>
      <c r="J104" s="3093"/>
      <c r="K104" s="3094"/>
      <c r="L104" s="3094"/>
      <c r="M104" s="3094"/>
      <c r="N104" s="3094"/>
    </row>
    <row r="105" spans="1:14">
      <c r="A105" s="3529"/>
      <c r="B105" s="3529"/>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515"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6"/>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1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18" t="s">
        <v>3307</v>
      </c>
      <c r="B113" s="3518"/>
      <c r="C113" s="3518"/>
      <c r="D113" s="3518"/>
      <c r="E113" s="3518"/>
      <c r="F113" s="3518"/>
      <c r="G113" s="3518"/>
      <c r="H113" s="3518"/>
      <c r="I113" s="3518"/>
      <c r="J113" s="351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44" t="s">
        <v>2605</v>
      </c>
      <c r="B20" s="3534" t="s">
        <v>2626</v>
      </c>
      <c r="C20" s="3169" t="s">
        <v>2437</v>
      </c>
      <c r="D20" s="3169"/>
      <c r="E20" s="2845">
        <v>1</v>
      </c>
      <c r="F20" s="2846" t="s">
        <v>2438</v>
      </c>
      <c r="G20" s="2846"/>
    </row>
    <row r="21" spans="1:13" ht="19.5" customHeight="1">
      <c r="A21" s="3545"/>
      <c r="B21" s="3535"/>
      <c r="C21" s="2858" t="s">
        <v>2439</v>
      </c>
      <c r="D21" s="2858"/>
      <c r="E21" s="2849">
        <v>1</v>
      </c>
      <c r="F21" s="2846" t="s">
        <v>2440</v>
      </c>
      <c r="G21" s="2846"/>
    </row>
    <row r="22" spans="1:13" ht="19.5" customHeight="1">
      <c r="A22" s="3545"/>
      <c r="B22" s="3535"/>
      <c r="C22" s="2858" t="s">
        <v>2441</v>
      </c>
      <c r="D22" s="2858"/>
      <c r="E22" s="2849">
        <v>0.9</v>
      </c>
      <c r="F22" s="2846" t="s">
        <v>2442</v>
      </c>
      <c r="G22" s="2846"/>
    </row>
    <row r="23" spans="1:13" ht="19.5" customHeight="1">
      <c r="A23" s="3545"/>
      <c r="B23" s="3535"/>
      <c r="C23" s="2858" t="s">
        <v>2443</v>
      </c>
      <c r="D23" s="2858"/>
      <c r="E23" s="2849">
        <v>0.9</v>
      </c>
      <c r="F23" s="2846" t="s">
        <v>2444</v>
      </c>
      <c r="G23" s="2846"/>
    </row>
    <row r="24" spans="1:13" ht="19.5" customHeight="1">
      <c r="A24" s="3545"/>
      <c r="B24" s="3535"/>
      <c r="C24" s="2858" t="s">
        <v>2445</v>
      </c>
      <c r="D24" s="2858"/>
      <c r="E24" s="2849">
        <v>0.8</v>
      </c>
      <c r="F24" s="2846" t="s">
        <v>2446</v>
      </c>
      <c r="G24" s="2846"/>
    </row>
    <row r="25" spans="1:13" ht="19.5" customHeight="1">
      <c r="A25" s="3545"/>
      <c r="B25" s="3535"/>
      <c r="C25" s="2858" t="s">
        <v>2447</v>
      </c>
      <c r="D25" s="2858"/>
      <c r="E25" s="2849">
        <v>0.8</v>
      </c>
      <c r="F25" s="2846"/>
      <c r="G25" s="2846"/>
    </row>
    <row r="26" spans="1:13" ht="19.5" customHeight="1">
      <c r="A26" s="3545"/>
      <c r="B26" s="3535"/>
      <c r="C26" s="2858" t="s">
        <v>3405</v>
      </c>
      <c r="D26" s="2858"/>
      <c r="E26" s="2849">
        <v>0.43</v>
      </c>
      <c r="F26" s="2846"/>
      <c r="G26" s="2846"/>
    </row>
    <row r="27" spans="1:13" ht="19.5" customHeight="1" thickBot="1">
      <c r="A27" s="3546"/>
      <c r="B27" s="3536"/>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37" t="s">
        <v>2629</v>
      </c>
      <c r="B29" s="3540" t="s">
        <v>2610</v>
      </c>
      <c r="C29" s="2843" t="s">
        <v>2450</v>
      </c>
      <c r="D29" s="2844"/>
      <c r="E29" s="2845">
        <v>1</v>
      </c>
      <c r="F29" s="2846" t="s">
        <v>2451</v>
      </c>
      <c r="G29" s="2846"/>
    </row>
    <row r="30" spans="1:13" ht="19.5" customHeight="1">
      <c r="A30" s="3538"/>
      <c r="B30" s="3541"/>
      <c r="C30" s="2847" t="s">
        <v>2452</v>
      </c>
      <c r="D30" s="2848"/>
      <c r="E30" s="2849">
        <v>1</v>
      </c>
      <c r="F30" s="2846" t="s">
        <v>2453</v>
      </c>
      <c r="G30" s="2846"/>
    </row>
    <row r="31" spans="1:13" ht="19.5" customHeight="1">
      <c r="A31" s="3538"/>
      <c r="B31" s="3541"/>
      <c r="C31" s="2847" t="s">
        <v>2454</v>
      </c>
      <c r="D31" s="2848"/>
      <c r="E31" s="2849">
        <v>0.8</v>
      </c>
      <c r="F31" s="2846" t="s">
        <v>2455</v>
      </c>
      <c r="G31" s="2846"/>
    </row>
    <row r="32" spans="1:13" ht="19.5" customHeight="1">
      <c r="A32" s="3538"/>
      <c r="B32" s="3541"/>
      <c r="C32" s="2847" t="s">
        <v>2456</v>
      </c>
      <c r="D32" s="2848"/>
      <c r="E32" s="2849">
        <v>0.8</v>
      </c>
      <c r="F32" s="2846" t="s">
        <v>2457</v>
      </c>
      <c r="G32" s="2846"/>
    </row>
    <row r="33" spans="1:7" ht="19.5" customHeight="1">
      <c r="A33" s="3538"/>
      <c r="B33" s="3541"/>
      <c r="C33" s="2847" t="s">
        <v>2458</v>
      </c>
      <c r="D33" s="2848"/>
      <c r="E33" s="2849">
        <v>0.8</v>
      </c>
      <c r="F33" s="2846" t="s">
        <v>2459</v>
      </c>
      <c r="G33" s="2846"/>
    </row>
    <row r="34" spans="1:7" ht="19.5" customHeight="1">
      <c r="A34" s="3538"/>
      <c r="B34" s="3541"/>
      <c r="C34" s="2847" t="s">
        <v>2460</v>
      </c>
      <c r="D34" s="2848"/>
      <c r="E34" s="2849">
        <v>0.7</v>
      </c>
      <c r="F34" s="2846" t="s">
        <v>2461</v>
      </c>
      <c r="G34" s="2846"/>
    </row>
    <row r="35" spans="1:7" ht="19.5" customHeight="1">
      <c r="A35" s="3538"/>
      <c r="B35" s="3541"/>
      <c r="C35" s="2847" t="s">
        <v>2462</v>
      </c>
      <c r="D35" s="2848"/>
      <c r="E35" s="2849">
        <v>0.8</v>
      </c>
      <c r="F35" s="2846" t="s">
        <v>2463</v>
      </c>
      <c r="G35" s="2846"/>
    </row>
    <row r="36" spans="1:7" ht="19.5" customHeight="1">
      <c r="A36" s="3538"/>
      <c r="B36" s="3541"/>
      <c r="C36" s="2847" t="s">
        <v>2464</v>
      </c>
      <c r="D36" s="2848"/>
      <c r="E36" s="2849">
        <v>0.6</v>
      </c>
      <c r="F36" s="2846" t="s">
        <v>2465</v>
      </c>
      <c r="G36" s="2846"/>
    </row>
    <row r="37" spans="1:7" ht="19.5" customHeight="1">
      <c r="A37" s="3538"/>
      <c r="B37" s="3541"/>
      <c r="C37" s="2847" t="s">
        <v>2466</v>
      </c>
      <c r="D37" s="2848"/>
      <c r="E37" s="2849">
        <v>0.2</v>
      </c>
      <c r="F37" s="2846" t="s">
        <v>2467</v>
      </c>
      <c r="G37" s="2846"/>
    </row>
    <row r="38" spans="1:7" ht="19.5" customHeight="1">
      <c r="A38" s="3538"/>
      <c r="B38" s="3541"/>
      <c r="C38" s="2847" t="s">
        <v>2468</v>
      </c>
      <c r="D38" s="2848"/>
      <c r="E38" s="2849">
        <v>0.2</v>
      </c>
      <c r="F38" s="2846" t="s">
        <v>2469</v>
      </c>
      <c r="G38" s="2846"/>
    </row>
    <row r="39" spans="1:7" ht="19.5" customHeight="1">
      <c r="A39" s="3538"/>
      <c r="B39" s="3542" t="s">
        <v>2630</v>
      </c>
      <c r="C39" s="2847" t="s">
        <v>2470</v>
      </c>
      <c r="D39" s="2848"/>
      <c r="E39" s="2849">
        <v>0.6</v>
      </c>
      <c r="F39" s="2846" t="s">
        <v>2471</v>
      </c>
      <c r="G39" s="2846"/>
    </row>
    <row r="40" spans="1:7" ht="19.5" customHeight="1">
      <c r="A40" s="3538"/>
      <c r="B40" s="3541"/>
      <c r="C40" s="2847" t="s">
        <v>2472</v>
      </c>
      <c r="D40" s="2848"/>
      <c r="E40" s="2849">
        <v>0.6</v>
      </c>
      <c r="F40" s="2846" t="s">
        <v>2473</v>
      </c>
      <c r="G40" s="2846"/>
    </row>
    <row r="41" spans="1:7" ht="19.5" customHeight="1" thickBot="1">
      <c r="A41" s="3539"/>
      <c r="B41" s="3543"/>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44" t="s">
        <v>2608</v>
      </c>
      <c r="B43" s="3540" t="s">
        <v>2632</v>
      </c>
      <c r="C43" s="2843" t="s">
        <v>2477</v>
      </c>
      <c r="D43" s="2844"/>
      <c r="E43" s="2845">
        <v>1</v>
      </c>
      <c r="F43" s="2846" t="s">
        <v>2478</v>
      </c>
      <c r="G43" s="2846"/>
    </row>
    <row r="44" spans="1:7" ht="19.5" customHeight="1">
      <c r="A44" s="3545"/>
      <c r="B44" s="3541"/>
      <c r="C44" s="2847" t="s">
        <v>2479</v>
      </c>
      <c r="D44" s="2848"/>
      <c r="E44" s="2849">
        <v>1</v>
      </c>
      <c r="F44" s="2846" t="s">
        <v>2480</v>
      </c>
      <c r="G44" s="2846"/>
    </row>
    <row r="45" spans="1:7" ht="19.5" customHeight="1">
      <c r="A45" s="3545"/>
      <c r="B45" s="3547"/>
      <c r="C45" s="2847" t="s">
        <v>2481</v>
      </c>
      <c r="D45" s="2848"/>
      <c r="E45" s="2849">
        <v>1.5</v>
      </c>
      <c r="F45" s="2846" t="s">
        <v>2482</v>
      </c>
      <c r="G45" s="2846"/>
    </row>
    <row r="46" spans="1:7" ht="19.5" customHeight="1">
      <c r="A46" s="3545"/>
      <c r="B46" s="2858" t="s">
        <v>2633</v>
      </c>
      <c r="C46" s="2847" t="s">
        <v>2634</v>
      </c>
      <c r="D46" s="2848"/>
      <c r="E46" s="2849">
        <v>2</v>
      </c>
      <c r="F46" s="2846" t="s">
        <v>2483</v>
      </c>
      <c r="G46" s="2846"/>
    </row>
    <row r="47" spans="1:7" ht="19.5" customHeight="1">
      <c r="A47" s="3545"/>
      <c r="B47" s="3542" t="s">
        <v>2635</v>
      </c>
      <c r="C47" s="2847" t="s">
        <v>2484</v>
      </c>
      <c r="D47" s="2848"/>
      <c r="E47" s="2849">
        <v>1</v>
      </c>
      <c r="F47" s="2846" t="s">
        <v>2485</v>
      </c>
      <c r="G47" s="2846"/>
    </row>
    <row r="48" spans="1:7" ht="19.5" customHeight="1">
      <c r="A48" s="3545"/>
      <c r="B48" s="3541"/>
      <c r="C48" s="2847" t="s">
        <v>2486</v>
      </c>
      <c r="D48" s="2848"/>
      <c r="E48" s="2849">
        <v>1</v>
      </c>
      <c r="F48" s="2846" t="s">
        <v>2487</v>
      </c>
      <c r="G48" s="2846"/>
    </row>
    <row r="49" spans="1:7" ht="19.5" customHeight="1">
      <c r="A49" s="3545"/>
      <c r="B49" s="3541"/>
      <c r="C49" s="2847" t="s">
        <v>2488</v>
      </c>
      <c r="D49" s="2848"/>
      <c r="E49" s="2849">
        <v>1</v>
      </c>
      <c r="F49" s="2846" t="s">
        <v>2489</v>
      </c>
      <c r="G49" s="2846"/>
    </row>
    <row r="50" spans="1:7" ht="19.5" customHeight="1">
      <c r="A50" s="3545"/>
      <c r="B50" s="3541"/>
      <c r="C50" s="2847" t="s">
        <v>2490</v>
      </c>
      <c r="D50" s="2848"/>
      <c r="E50" s="2849">
        <v>1</v>
      </c>
      <c r="F50" s="2846" t="s">
        <v>2491</v>
      </c>
      <c r="G50" s="2846"/>
    </row>
    <row r="51" spans="1:7" ht="19.5" customHeight="1">
      <c r="A51" s="3545"/>
      <c r="B51" s="3541"/>
      <c r="C51" s="2847" t="s">
        <v>2492</v>
      </c>
      <c r="D51" s="2848"/>
      <c r="E51" s="2849">
        <v>1</v>
      </c>
      <c r="F51" s="2846" t="s">
        <v>2493</v>
      </c>
      <c r="G51" s="2846"/>
    </row>
    <row r="52" spans="1:7" ht="19.5" customHeight="1">
      <c r="A52" s="3545"/>
      <c r="B52" s="3541"/>
      <c r="C52" s="2847" t="s">
        <v>2494</v>
      </c>
      <c r="D52" s="2848"/>
      <c r="E52" s="2849">
        <v>1</v>
      </c>
      <c r="F52" s="2846" t="s">
        <v>2495</v>
      </c>
      <c r="G52" s="2846"/>
    </row>
    <row r="53" spans="1:7" ht="19.5" customHeight="1" thickBot="1">
      <c r="A53" s="3546"/>
      <c r="B53" s="3543"/>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42" t="s">
        <v>2649</v>
      </c>
      <c r="C75" s="2832" t="s">
        <v>2650</v>
      </c>
      <c r="D75" s="2832" t="s">
        <v>2651</v>
      </c>
      <c r="E75" s="2858">
        <v>0.2</v>
      </c>
      <c r="F75" s="2858">
        <v>25</v>
      </c>
    </row>
    <row r="76" spans="1:7" ht="24">
      <c r="A76" s="2858">
        <v>2</v>
      </c>
      <c r="B76" s="3541"/>
      <c r="C76" s="2832" t="s">
        <v>2652</v>
      </c>
      <c r="D76" s="2832" t="s">
        <v>2653</v>
      </c>
      <c r="E76" s="2858">
        <v>0.2</v>
      </c>
      <c r="F76" s="2858">
        <v>25</v>
      </c>
    </row>
    <row r="77" spans="1:7" ht="24">
      <c r="A77" s="2858">
        <v>3</v>
      </c>
      <c r="B77" s="3541"/>
      <c r="C77" s="2832" t="s">
        <v>2654</v>
      </c>
      <c r="D77" s="2832" t="s">
        <v>2655</v>
      </c>
      <c r="E77" s="2858">
        <v>0.2</v>
      </c>
      <c r="F77" s="2858">
        <v>25</v>
      </c>
    </row>
    <row r="78" spans="1:7" ht="13.5">
      <c r="A78" s="2858">
        <v>4</v>
      </c>
      <c r="B78" s="3541"/>
      <c r="C78" s="2832" t="s">
        <v>2656</v>
      </c>
      <c r="D78" s="2832" t="s">
        <v>2657</v>
      </c>
      <c r="E78" s="2858">
        <v>0.15</v>
      </c>
      <c r="F78" s="2858">
        <v>20</v>
      </c>
    </row>
    <row r="79" spans="1:7" ht="24">
      <c r="A79" s="2858">
        <v>5</v>
      </c>
      <c r="B79" s="3541"/>
      <c r="C79" s="2832" t="s">
        <v>2658</v>
      </c>
      <c r="D79" s="2832" t="s">
        <v>2659</v>
      </c>
      <c r="E79" s="2858">
        <v>0.15</v>
      </c>
      <c r="F79" s="2858">
        <v>20</v>
      </c>
    </row>
    <row r="80" spans="1:7" ht="24">
      <c r="A80" s="2858">
        <v>6</v>
      </c>
      <c r="B80" s="3541"/>
      <c r="C80" s="2832" t="s">
        <v>2660</v>
      </c>
      <c r="D80" s="2832" t="s">
        <v>2661</v>
      </c>
      <c r="E80" s="2858">
        <v>0.15</v>
      </c>
      <c r="F80" s="2858">
        <v>20</v>
      </c>
    </row>
    <row r="81" spans="1:6" ht="24">
      <c r="A81" s="2858">
        <v>7</v>
      </c>
      <c r="B81" s="3541"/>
      <c r="C81" s="2832" t="s">
        <v>2662</v>
      </c>
      <c r="D81" s="2832" t="s">
        <v>2663</v>
      </c>
      <c r="E81" s="2858">
        <v>0.15</v>
      </c>
      <c r="F81" s="2858">
        <v>20</v>
      </c>
    </row>
    <row r="82" spans="1:6" ht="24">
      <c r="A82" s="2858">
        <v>8</v>
      </c>
      <c r="B82" s="3541"/>
      <c r="C82" s="2832" t="s">
        <v>2664</v>
      </c>
      <c r="D82" s="2832" t="s">
        <v>2665</v>
      </c>
      <c r="E82" s="2858">
        <v>0.1</v>
      </c>
      <c r="F82" s="2858">
        <v>15</v>
      </c>
    </row>
    <row r="83" spans="1:6" ht="24">
      <c r="A83" s="2858">
        <v>9</v>
      </c>
      <c r="B83" s="3541"/>
      <c r="C83" s="2832" t="s">
        <v>2666</v>
      </c>
      <c r="D83" s="2832" t="s">
        <v>2667</v>
      </c>
      <c r="E83" s="2858">
        <v>0.1</v>
      </c>
      <c r="F83" s="2858">
        <v>15</v>
      </c>
    </row>
    <row r="84" spans="1:6" ht="24">
      <c r="A84" s="2858">
        <v>10</v>
      </c>
      <c r="B84" s="3541"/>
      <c r="C84" s="2832" t="s">
        <v>2668</v>
      </c>
      <c r="D84" s="2832" t="s">
        <v>2669</v>
      </c>
      <c r="E84" s="2858">
        <v>0.1</v>
      </c>
      <c r="F84" s="2858">
        <v>15</v>
      </c>
    </row>
    <row r="85" spans="1:6" ht="24">
      <c r="A85" s="2858">
        <v>11</v>
      </c>
      <c r="B85" s="3541"/>
      <c r="C85" s="2832" t="s">
        <v>2670</v>
      </c>
      <c r="D85" s="2832" t="s">
        <v>2671</v>
      </c>
      <c r="E85" s="2858">
        <v>0.1</v>
      </c>
      <c r="F85" s="2858">
        <v>15</v>
      </c>
    </row>
    <row r="86" spans="1:6" ht="24">
      <c r="A86" s="2858">
        <v>12</v>
      </c>
      <c r="B86" s="3541"/>
      <c r="C86" s="2832" t="s">
        <v>2672</v>
      </c>
      <c r="D86" s="2832" t="s">
        <v>2673</v>
      </c>
      <c r="E86" s="2858">
        <v>0.1</v>
      </c>
      <c r="F86" s="2858">
        <v>15</v>
      </c>
    </row>
    <row r="87" spans="1:6" ht="13.5">
      <c r="A87" s="2858">
        <v>13</v>
      </c>
      <c r="B87" s="3541"/>
      <c r="C87" s="2832" t="s">
        <v>2674</v>
      </c>
      <c r="D87" s="2832" t="s">
        <v>2675</v>
      </c>
      <c r="E87" s="2858">
        <v>0.1</v>
      </c>
      <c r="F87" s="2858">
        <v>15</v>
      </c>
    </row>
    <row r="88" spans="1:6" ht="13.5">
      <c r="A88" s="2858">
        <v>14</v>
      </c>
      <c r="B88" s="3541"/>
      <c r="C88" s="2832" t="s">
        <v>2676</v>
      </c>
      <c r="D88" s="2832" t="s">
        <v>2677</v>
      </c>
      <c r="E88" s="2858">
        <v>0.1</v>
      </c>
      <c r="F88" s="2858">
        <v>15</v>
      </c>
    </row>
    <row r="89" spans="1:6" ht="13.5">
      <c r="A89" s="2858">
        <v>15</v>
      </c>
      <c r="B89" s="3541"/>
      <c r="C89" s="2832" t="s">
        <v>2678</v>
      </c>
      <c r="D89" s="2832" t="s">
        <v>2679</v>
      </c>
      <c r="E89" s="2858">
        <v>0.1</v>
      </c>
      <c r="F89" s="2858">
        <v>15</v>
      </c>
    </row>
    <row r="90" spans="1:6" ht="24">
      <c r="A90" s="2858">
        <v>16</v>
      </c>
      <c r="B90" s="3541"/>
      <c r="C90" s="2832" t="s">
        <v>2680</v>
      </c>
      <c r="D90" s="2832" t="s">
        <v>2681</v>
      </c>
      <c r="E90" s="2858">
        <v>0.1</v>
      </c>
      <c r="F90" s="2858">
        <v>15</v>
      </c>
    </row>
    <row r="91" spans="1:6" ht="24">
      <c r="A91" s="2858">
        <v>17</v>
      </c>
      <c r="B91" s="3547"/>
      <c r="C91" s="2832" t="s">
        <v>2682</v>
      </c>
      <c r="D91" s="2832" t="s">
        <v>2683</v>
      </c>
      <c r="E91" s="2858">
        <v>0.1</v>
      </c>
      <c r="F91" s="2858">
        <v>15</v>
      </c>
    </row>
    <row r="92" spans="1:6" ht="13.5">
      <c r="A92" s="2858">
        <v>18</v>
      </c>
      <c r="B92" s="3542" t="s">
        <v>2684</v>
      </c>
      <c r="C92" s="2832" t="s">
        <v>2685</v>
      </c>
      <c r="D92" s="2832" t="s">
        <v>2686</v>
      </c>
      <c r="E92" s="2858">
        <v>0.2</v>
      </c>
      <c r="F92" s="2858">
        <v>25</v>
      </c>
    </row>
    <row r="93" spans="1:6" ht="24">
      <c r="A93" s="2858">
        <v>19</v>
      </c>
      <c r="B93" s="3541"/>
      <c r="C93" s="2832" t="s">
        <v>2687</v>
      </c>
      <c r="D93" s="2832" t="s">
        <v>2688</v>
      </c>
      <c r="E93" s="2858">
        <v>0.2</v>
      </c>
      <c r="F93" s="2858">
        <v>25</v>
      </c>
    </row>
    <row r="94" spans="1:6" ht="13.5">
      <c r="A94" s="2858">
        <v>20</v>
      </c>
      <c r="B94" s="3541"/>
      <c r="C94" s="2832" t="s">
        <v>2689</v>
      </c>
      <c r="D94" s="2832" t="s">
        <v>2690</v>
      </c>
      <c r="E94" s="2858">
        <v>0.15</v>
      </c>
      <c r="F94" s="2858">
        <v>20</v>
      </c>
    </row>
    <row r="95" spans="1:6" ht="13.5">
      <c r="A95" s="2858">
        <v>21</v>
      </c>
      <c r="B95" s="3541"/>
      <c r="C95" s="2832" t="s">
        <v>2691</v>
      </c>
      <c r="D95" s="2832" t="s">
        <v>2692</v>
      </c>
      <c r="E95" s="2858">
        <v>0.15</v>
      </c>
      <c r="F95" s="2858">
        <v>20</v>
      </c>
    </row>
    <row r="96" spans="1:6" ht="13.5">
      <c r="A96" s="2858">
        <v>22</v>
      </c>
      <c r="B96" s="3541"/>
      <c r="C96" s="2832" t="s">
        <v>2693</v>
      </c>
      <c r="D96" s="2832" t="s">
        <v>2694</v>
      </c>
      <c r="E96" s="2858">
        <v>0.15</v>
      </c>
      <c r="F96" s="2858">
        <v>20</v>
      </c>
    </row>
    <row r="97" spans="1:6" ht="36">
      <c r="A97" s="2858">
        <v>23</v>
      </c>
      <c r="B97" s="3541"/>
      <c r="C97" s="2832" t="s">
        <v>2695</v>
      </c>
      <c r="D97" s="2832" t="s">
        <v>2696</v>
      </c>
      <c r="E97" s="2858">
        <v>0.15</v>
      </c>
      <c r="F97" s="2858">
        <v>20</v>
      </c>
    </row>
    <row r="98" spans="1:6" ht="13.5">
      <c r="A98" s="2858">
        <v>24</v>
      </c>
      <c r="B98" s="3541"/>
      <c r="C98" s="2832" t="s">
        <v>2697</v>
      </c>
      <c r="D98" s="2832" t="s">
        <v>2698</v>
      </c>
      <c r="E98" s="2858">
        <v>0.1</v>
      </c>
      <c r="F98" s="2858">
        <v>15</v>
      </c>
    </row>
    <row r="99" spans="1:6" ht="13.5">
      <c r="A99" s="2858">
        <v>25</v>
      </c>
      <c r="B99" s="3541"/>
      <c r="C99" s="2832" t="s">
        <v>2699</v>
      </c>
      <c r="D99" s="2832" t="s">
        <v>2700</v>
      </c>
      <c r="E99" s="2858">
        <v>0.1</v>
      </c>
      <c r="F99" s="2858">
        <v>15</v>
      </c>
    </row>
    <row r="100" spans="1:6" ht="24">
      <c r="A100" s="2858">
        <v>26</v>
      </c>
      <c r="B100" s="3541"/>
      <c r="C100" s="2832" t="s">
        <v>2701</v>
      </c>
      <c r="D100" s="2832" t="s">
        <v>2702</v>
      </c>
      <c r="E100" s="2858">
        <v>0.1</v>
      </c>
      <c r="F100" s="2858">
        <v>15</v>
      </c>
    </row>
    <row r="101" spans="1:6" ht="24">
      <c r="A101" s="2858">
        <v>27</v>
      </c>
      <c r="B101" s="3541"/>
      <c r="C101" s="2832" t="s">
        <v>2703</v>
      </c>
      <c r="D101" s="2832" t="s">
        <v>2704</v>
      </c>
      <c r="E101" s="2858">
        <v>0.1</v>
      </c>
      <c r="F101" s="2858">
        <v>15</v>
      </c>
    </row>
    <row r="102" spans="1:6" ht="13.5">
      <c r="A102" s="2858">
        <v>28</v>
      </c>
      <c r="B102" s="3541"/>
      <c r="C102" s="2832" t="s">
        <v>2705</v>
      </c>
      <c r="D102" s="2832" t="s">
        <v>2706</v>
      </c>
      <c r="E102" s="2858">
        <v>0.1</v>
      </c>
      <c r="F102" s="2858">
        <v>15</v>
      </c>
    </row>
    <row r="103" spans="1:6" ht="13.5">
      <c r="A103" s="2858">
        <v>29</v>
      </c>
      <c r="B103" s="3541"/>
      <c r="C103" s="2832" t="s">
        <v>2707</v>
      </c>
      <c r="D103" s="2832" t="s">
        <v>2708</v>
      </c>
      <c r="E103" s="2858">
        <v>0.1</v>
      </c>
      <c r="F103" s="2858">
        <v>15</v>
      </c>
    </row>
    <row r="104" spans="1:6" ht="13.5">
      <c r="A104" s="2858">
        <v>30</v>
      </c>
      <c r="B104" s="3541"/>
      <c r="C104" s="2832" t="s">
        <v>2709</v>
      </c>
      <c r="D104" s="2832" t="s">
        <v>2710</v>
      </c>
      <c r="E104" s="2858">
        <v>0.1</v>
      </c>
      <c r="F104" s="2858">
        <v>15</v>
      </c>
    </row>
    <row r="105" spans="1:6" ht="24">
      <c r="A105" s="2858">
        <v>31</v>
      </c>
      <c r="B105" s="3541"/>
      <c r="C105" s="2832" t="s">
        <v>2711</v>
      </c>
      <c r="D105" s="2832" t="s">
        <v>2712</v>
      </c>
      <c r="E105" s="2858">
        <v>0.1</v>
      </c>
      <c r="F105" s="2858">
        <v>15</v>
      </c>
    </row>
    <row r="106" spans="1:6" ht="24">
      <c r="A106" s="2858">
        <v>32</v>
      </c>
      <c r="B106" s="3541"/>
      <c r="C106" s="2832" t="s">
        <v>2713</v>
      </c>
      <c r="D106" s="2832" t="s">
        <v>2714</v>
      </c>
      <c r="E106" s="2858">
        <v>0.1</v>
      </c>
      <c r="F106" s="2858">
        <v>15</v>
      </c>
    </row>
    <row r="107" spans="1:6" ht="24">
      <c r="A107" s="2858">
        <v>33</v>
      </c>
      <c r="B107" s="3541"/>
      <c r="C107" s="2832" t="s">
        <v>2715</v>
      </c>
      <c r="D107" s="2832" t="s">
        <v>2716</v>
      </c>
      <c r="E107" s="2858">
        <v>0.1</v>
      </c>
      <c r="F107" s="2858">
        <v>15</v>
      </c>
    </row>
    <row r="108" spans="1:6" ht="24">
      <c r="A108" s="2858">
        <v>34</v>
      </c>
      <c r="B108" s="3547"/>
      <c r="C108" s="2832" t="s">
        <v>2717</v>
      </c>
      <c r="D108" s="2832" t="s">
        <v>2718</v>
      </c>
      <c r="E108" s="2858">
        <v>0.1</v>
      </c>
      <c r="F108" s="2858">
        <v>15</v>
      </c>
    </row>
    <row r="109" spans="1:6" ht="24">
      <c r="A109" s="2858">
        <v>35</v>
      </c>
      <c r="B109" s="3542" t="s">
        <v>2719</v>
      </c>
      <c r="C109" s="2858" t="s">
        <v>2720</v>
      </c>
      <c r="D109" s="2832" t="s">
        <v>2721</v>
      </c>
      <c r="E109" s="2858">
        <v>0.15</v>
      </c>
      <c r="F109" s="2858">
        <v>20</v>
      </c>
    </row>
    <row r="110" spans="1:6" ht="13.5">
      <c r="A110" s="2858">
        <v>36</v>
      </c>
      <c r="B110" s="3541"/>
      <c r="C110" s="2858" t="s">
        <v>2722</v>
      </c>
      <c r="D110" s="2832" t="s">
        <v>2723</v>
      </c>
      <c r="E110" s="2858">
        <v>0.15</v>
      </c>
      <c r="F110" s="2858">
        <v>20</v>
      </c>
    </row>
    <row r="111" spans="1:6" ht="13.5">
      <c r="A111" s="2858">
        <v>37</v>
      </c>
      <c r="B111" s="3541"/>
      <c r="C111" s="2858" t="s">
        <v>2724</v>
      </c>
      <c r="D111" s="2832" t="s">
        <v>2725</v>
      </c>
      <c r="E111" s="2858">
        <v>0.15</v>
      </c>
      <c r="F111" s="2858">
        <v>20</v>
      </c>
    </row>
    <row r="112" spans="1:6" ht="13.5">
      <c r="A112" s="2858">
        <v>38</v>
      </c>
      <c r="B112" s="3541"/>
      <c r="C112" s="2858" t="s">
        <v>2726</v>
      </c>
      <c r="D112" s="2832" t="s">
        <v>2727</v>
      </c>
      <c r="E112" s="2858">
        <v>0.1</v>
      </c>
      <c r="F112" s="2858">
        <v>15</v>
      </c>
    </row>
    <row r="113" spans="1:6" ht="24">
      <c r="A113" s="2858">
        <v>39</v>
      </c>
      <c r="B113" s="3541"/>
      <c r="C113" s="2858" t="s">
        <v>2728</v>
      </c>
      <c r="D113" s="2832" t="s">
        <v>2729</v>
      </c>
      <c r="E113" s="2858">
        <v>0.1</v>
      </c>
      <c r="F113" s="2858">
        <v>15</v>
      </c>
    </row>
    <row r="114" spans="1:6" ht="24">
      <c r="A114" s="2858">
        <v>40</v>
      </c>
      <c r="B114" s="3547"/>
      <c r="C114" s="2858" t="s">
        <v>2730</v>
      </c>
      <c r="D114" s="2832" t="s">
        <v>2731</v>
      </c>
      <c r="E114" s="2858">
        <v>0.1</v>
      </c>
      <c r="F114" s="2858">
        <v>15</v>
      </c>
    </row>
    <row r="115" spans="1:6" ht="13.5">
      <c r="A115" s="2858">
        <v>41</v>
      </c>
      <c r="B115" s="3535" t="s">
        <v>2732</v>
      </c>
      <c r="C115" s="2858" t="s">
        <v>2733</v>
      </c>
      <c r="D115" s="2832" t="s">
        <v>2734</v>
      </c>
      <c r="E115" s="2858">
        <v>0.1</v>
      </c>
      <c r="F115" s="2858">
        <v>15</v>
      </c>
    </row>
    <row r="116" spans="1:6" ht="13.5">
      <c r="A116" s="2858">
        <v>42</v>
      </c>
      <c r="B116" s="3535"/>
      <c r="C116" s="2858" t="s">
        <v>2735</v>
      </c>
      <c r="D116" s="2832" t="s">
        <v>2736</v>
      </c>
      <c r="E116" s="2858">
        <v>0.1</v>
      </c>
      <c r="F116" s="2858">
        <v>15</v>
      </c>
    </row>
    <row r="117" spans="1:6" ht="24">
      <c r="A117" s="2858">
        <v>43</v>
      </c>
      <c r="B117" s="3535"/>
      <c r="C117" s="2858" t="s">
        <v>2737</v>
      </c>
      <c r="D117" s="2832" t="s">
        <v>2738</v>
      </c>
      <c r="E117" s="2858">
        <v>0.1</v>
      </c>
      <c r="F117" s="2858">
        <v>15</v>
      </c>
    </row>
    <row r="118" spans="1:6" ht="13.5">
      <c r="A118" s="2858">
        <v>44</v>
      </c>
      <c r="B118" s="3542" t="s">
        <v>2739</v>
      </c>
      <c r="C118" s="2858" t="s">
        <v>2740</v>
      </c>
      <c r="D118" s="2832" t="s">
        <v>2741</v>
      </c>
      <c r="E118" s="2858">
        <v>0.1</v>
      </c>
      <c r="F118" s="2858">
        <v>15</v>
      </c>
    </row>
    <row r="119" spans="1:6" ht="24">
      <c r="A119" s="2858">
        <v>45</v>
      </c>
      <c r="B119" s="3547"/>
      <c r="C119" s="2832" t="s">
        <v>2742</v>
      </c>
      <c r="D119" s="2832" t="s">
        <v>2743</v>
      </c>
      <c r="E119" s="2858">
        <v>0.1</v>
      </c>
      <c r="F119" s="2858">
        <v>15</v>
      </c>
    </row>
    <row r="120" spans="1:6" ht="24">
      <c r="A120" s="2858">
        <v>46</v>
      </c>
      <c r="B120" s="3542" t="s">
        <v>2744</v>
      </c>
      <c r="C120" s="2858" t="s">
        <v>2745</v>
      </c>
      <c r="D120" s="2832" t="s">
        <v>2746</v>
      </c>
      <c r="E120" s="2858">
        <v>0.1</v>
      </c>
      <c r="F120" s="2858">
        <v>15</v>
      </c>
    </row>
    <row r="121" spans="1:6" ht="24">
      <c r="A121" s="2858">
        <v>47</v>
      </c>
      <c r="B121" s="3547"/>
      <c r="C121" s="2858" t="s">
        <v>2747</v>
      </c>
      <c r="D121" s="2832" t="s">
        <v>2748</v>
      </c>
      <c r="E121" s="2858">
        <v>0.1</v>
      </c>
      <c r="F121" s="2858">
        <v>15</v>
      </c>
    </row>
    <row r="122" spans="1:6" ht="13.5">
      <c r="A122" s="2858">
        <v>48</v>
      </c>
      <c r="B122" s="3542" t="s">
        <v>2749</v>
      </c>
      <c r="C122" s="2858" t="s">
        <v>2750</v>
      </c>
      <c r="D122" s="2832" t="s">
        <v>2751</v>
      </c>
      <c r="E122" s="2858">
        <v>0.1</v>
      </c>
      <c r="F122" s="2858">
        <v>15</v>
      </c>
    </row>
    <row r="123" spans="1:6" ht="13.5">
      <c r="A123" s="2858">
        <v>49</v>
      </c>
      <c r="B123" s="3547"/>
      <c r="C123" s="2858" t="s">
        <v>2752</v>
      </c>
      <c r="D123" s="2832" t="s">
        <v>2753</v>
      </c>
      <c r="E123" s="2858">
        <v>0.1</v>
      </c>
      <c r="F123" s="2858">
        <v>15</v>
      </c>
    </row>
    <row r="124" spans="1:6" ht="24">
      <c r="A124" s="2858">
        <v>50</v>
      </c>
      <c r="B124" s="3535" t="s">
        <v>2754</v>
      </c>
      <c r="C124" s="2858" t="s">
        <v>2755</v>
      </c>
      <c r="D124" s="2832" t="s">
        <v>2756</v>
      </c>
      <c r="E124" s="2858">
        <v>0.1</v>
      </c>
      <c r="F124" s="2858">
        <v>15</v>
      </c>
    </row>
    <row r="125" spans="1:6" ht="24">
      <c r="A125" s="2858">
        <v>51</v>
      </c>
      <c r="B125" s="3535"/>
      <c r="C125" s="2858" t="s">
        <v>2757</v>
      </c>
      <c r="D125" s="2832" t="s">
        <v>2758</v>
      </c>
      <c r="E125" s="2858">
        <v>0.1</v>
      </c>
      <c r="F125" s="2858">
        <v>15</v>
      </c>
    </row>
    <row r="126" spans="1:6" ht="24">
      <c r="A126" s="2858">
        <v>52</v>
      </c>
      <c r="B126" s="3535" t="s">
        <v>2759</v>
      </c>
      <c r="C126" s="2858" t="s">
        <v>2760</v>
      </c>
      <c r="D126" s="2832" t="s">
        <v>2761</v>
      </c>
      <c r="E126" s="2858">
        <v>0.1</v>
      </c>
      <c r="F126" s="2858">
        <v>15</v>
      </c>
    </row>
    <row r="127" spans="1:6" ht="24">
      <c r="A127" s="2858">
        <v>53</v>
      </c>
      <c r="B127" s="3535"/>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35" t="s">
        <v>2767</v>
      </c>
      <c r="C129" s="2858" t="s">
        <v>2768</v>
      </c>
      <c r="D129" s="2832" t="s">
        <v>2769</v>
      </c>
      <c r="E129" s="2858">
        <v>0.1</v>
      </c>
      <c r="F129" s="2858">
        <v>15</v>
      </c>
    </row>
    <row r="130" spans="1:6" ht="13.5">
      <c r="A130" s="2858">
        <v>56</v>
      </c>
      <c r="B130" s="3535"/>
      <c r="C130" s="2858" t="s">
        <v>2770</v>
      </c>
      <c r="D130" s="2832" t="s">
        <v>2771</v>
      </c>
      <c r="E130" s="2858">
        <v>0.1</v>
      </c>
      <c r="F130" s="2858">
        <v>15</v>
      </c>
    </row>
    <row r="131" spans="1:6" ht="24">
      <c r="A131" s="2858">
        <v>57</v>
      </c>
      <c r="B131" s="3535"/>
      <c r="C131" s="2858" t="s">
        <v>2772</v>
      </c>
      <c r="D131" s="2832" t="s">
        <v>2773</v>
      </c>
      <c r="E131" s="2858">
        <v>0.1</v>
      </c>
      <c r="F131" s="2858">
        <v>15</v>
      </c>
    </row>
    <row r="132" spans="1:6" ht="24">
      <c r="A132" s="2858">
        <v>58</v>
      </c>
      <c r="B132" s="3535" t="s">
        <v>2774</v>
      </c>
      <c r="C132" s="2858" t="s">
        <v>2775</v>
      </c>
      <c r="D132" s="2832" t="s">
        <v>2776</v>
      </c>
      <c r="E132" s="2858">
        <v>0.1</v>
      </c>
      <c r="F132" s="2858">
        <v>15</v>
      </c>
    </row>
    <row r="133" spans="1:6" ht="13.5">
      <c r="A133" s="2858">
        <v>59</v>
      </c>
      <c r="B133" s="3535"/>
      <c r="C133" s="2858" t="s">
        <v>2777</v>
      </c>
      <c r="D133" s="2832" t="s">
        <v>2778</v>
      </c>
      <c r="E133" s="2858">
        <v>0.1</v>
      </c>
      <c r="F133" s="2858">
        <v>15</v>
      </c>
    </row>
    <row r="134" spans="1:6" ht="13.5">
      <c r="A134" s="2858">
        <v>60</v>
      </c>
      <c r="B134" s="3542" t="s">
        <v>2779</v>
      </c>
      <c r="C134" s="2858" t="s">
        <v>2780</v>
      </c>
      <c r="D134" s="2832" t="s">
        <v>2781</v>
      </c>
      <c r="E134" s="2858">
        <v>0.1</v>
      </c>
      <c r="F134" s="2858">
        <v>15</v>
      </c>
    </row>
    <row r="135" spans="1:6" ht="13.5">
      <c r="A135" s="2858">
        <v>61</v>
      </c>
      <c r="B135" s="3547"/>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35" t="s">
        <v>2787</v>
      </c>
      <c r="C137" s="2858" t="s">
        <v>2788</v>
      </c>
      <c r="D137" s="2832" t="s">
        <v>2789</v>
      </c>
      <c r="E137" s="2858">
        <v>0.1</v>
      </c>
      <c r="F137" s="2858">
        <v>15</v>
      </c>
    </row>
    <row r="138" spans="1:6" ht="13.5">
      <c r="A138" s="2858">
        <v>64</v>
      </c>
      <c r="B138" s="3535"/>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4" t="str">
        <f>IF(项目基本情况!B9="房地产市场价值","估价结果一览表","结果表-2")</f>
        <v>估价结果一览表</v>
      </c>
      <c r="B1" s="3234"/>
      <c r="C1" s="3234"/>
      <c r="D1" s="3234"/>
      <c r="E1" s="3234"/>
      <c r="F1" s="3234"/>
      <c r="G1" s="3234"/>
      <c r="H1" s="3234"/>
      <c r="I1" s="3234"/>
    </row>
    <row r="2" spans="1:9" ht="30" customHeight="1" thickTop="1">
      <c r="A2" s="3235" t="s">
        <v>927</v>
      </c>
      <c r="B2" s="3235" t="s">
        <v>928</v>
      </c>
      <c r="C2" s="3235" t="s">
        <v>929</v>
      </c>
      <c r="D2" s="3235" t="str">
        <f>'结果表-1层商业'!D116</f>
        <v>出让国有建设用地使用权价值</v>
      </c>
      <c r="E2" s="3235"/>
      <c r="F2" s="3235" t="str">
        <f>'结果表-1层商业'!F116</f>
        <v>在建建筑物价值</v>
      </c>
      <c r="G2" s="3235"/>
      <c r="H2" s="3235" t="str">
        <f>IF(项目基本情况!B9="房地产市场价值","房地产市场价值","房地产价值")</f>
        <v>房地产市场价值</v>
      </c>
      <c r="I2" s="3235"/>
    </row>
    <row r="3" spans="1:9" ht="15">
      <c r="A3" s="3236"/>
      <c r="B3" s="3236"/>
      <c r="C3" s="3236"/>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'结果表-1层商业'!D118</f>
        <v>#REF!</v>
      </c>
      <c r="E4" s="801" t="e">
        <f ca="1">'结果表-1层商业'!E118</f>
        <v>#REF!</v>
      </c>
      <c r="F4" s="801" t="e">
        <f ca="1">'结果表-1层商业'!F118</f>
        <v>#REF!</v>
      </c>
      <c r="G4" s="801" t="e">
        <f ca="1">'结果表-1层商业'!G118</f>
        <v>#REF!</v>
      </c>
      <c r="H4" s="801" t="e">
        <f ca="1">'结果表-1层商业'!H118</f>
        <v>#REF!</v>
      </c>
      <c r="I4" s="801" t="e">
        <f ca="1">'结果表-1层商业'!I118</f>
        <v>#REF!</v>
      </c>
    </row>
    <row r="5" spans="1:9" ht="30" customHeight="1">
      <c r="A5" s="3236" t="s">
        <v>926</v>
      </c>
      <c r="B5" s="3236"/>
      <c r="C5" s="3236"/>
      <c r="D5" s="3236" t="e">
        <f ca="1">'结果表-1层商业'!D119</f>
        <v>#REF!</v>
      </c>
      <c r="E5" s="3236"/>
      <c r="F5" s="3236" t="e">
        <f ca="1">'结果表-1层商业'!F119</f>
        <v>#REF!</v>
      </c>
      <c r="G5" s="3236"/>
      <c r="H5" s="3236" t="e">
        <f ca="1">'结果表-1层商业'!H119</f>
        <v>#REF!</v>
      </c>
      <c r="I5" s="3236"/>
    </row>
    <row r="6" spans="1:9" ht="15.75">
      <c r="A6" s="3237" t="str">
        <f>'结果表-1层商业'!A120</f>
        <v/>
      </c>
      <c r="B6" s="3237"/>
      <c r="C6" s="3237"/>
      <c r="D6" s="3237">
        <f>'结果表-1层商业'!D120</f>
        <v>0</v>
      </c>
      <c r="E6" s="3237"/>
      <c r="F6" s="3237"/>
      <c r="G6" s="3237"/>
      <c r="H6" s="3237"/>
      <c r="I6" s="3237"/>
    </row>
    <row r="7" spans="1:9" ht="15">
      <c r="A7" s="3236" t="s">
        <v>926</v>
      </c>
      <c r="B7" s="3236"/>
      <c r="C7" s="3236"/>
      <c r="D7" s="3238" t="str">
        <f>'结果表-1层商业'!D121</f>
        <v>零元整</v>
      </c>
      <c r="E7" s="3239"/>
      <c r="F7" s="3239"/>
      <c r="G7" s="3239"/>
      <c r="H7" s="3239"/>
      <c r="I7" s="3240"/>
    </row>
    <row r="8" spans="1:9" ht="15.75">
      <c r="A8" s="3237" t="str">
        <f>'结果表-1层商业'!A122</f>
        <v/>
      </c>
      <c r="B8" s="3237"/>
      <c r="C8" s="3237"/>
      <c r="D8" s="3237" t="e">
        <f ca="1">'结果表-1层商业'!D122</f>
        <v>#REF!</v>
      </c>
      <c r="E8" s="3237"/>
      <c r="F8" s="3237"/>
      <c r="G8" s="3237"/>
      <c r="H8" s="3237"/>
      <c r="I8" s="3237"/>
    </row>
    <row r="9" spans="1:9" ht="15">
      <c r="A9" s="3236" t="s">
        <v>926</v>
      </c>
      <c r="B9" s="3236"/>
      <c r="C9" s="3236"/>
      <c r="D9" s="3236" t="e">
        <f ca="1">'结果表-1层商业'!D123</f>
        <v>#REF!</v>
      </c>
      <c r="E9" s="3236"/>
      <c r="F9" s="3236"/>
      <c r="G9" s="3236"/>
      <c r="H9" s="3236"/>
      <c r="I9" s="3236"/>
    </row>
    <row r="10" spans="1:9" ht="15.75">
      <c r="A10" s="3237" t="str">
        <f>'结果表-1层商业'!A124</f>
        <v/>
      </c>
      <c r="B10" s="3237"/>
      <c r="C10" s="3237"/>
      <c r="D10" s="3237" t="str">
        <f>'结果表-1层商业'!D124</f>
        <v>——</v>
      </c>
      <c r="E10" s="3237"/>
      <c r="F10" s="3237"/>
      <c r="G10" s="3237"/>
      <c r="H10" s="3237"/>
      <c r="I10" s="3237"/>
    </row>
    <row r="11" spans="1:9" ht="15">
      <c r="A11" s="3236" t="s">
        <v>926</v>
      </c>
      <c r="B11" s="3236"/>
      <c r="C11" s="3236"/>
      <c r="D11" s="3236" t="e">
        <f>'结果表-1层商业'!D125</f>
        <v>#VALUE!</v>
      </c>
      <c r="E11" s="3236"/>
      <c r="F11" s="3236"/>
      <c r="G11" s="3236"/>
      <c r="H11" s="3236"/>
      <c r="I11" s="3236"/>
    </row>
    <row r="12" spans="1:9" ht="15.75">
      <c r="A12" s="3237" t="str">
        <f>'结果表-1层商业'!A126</f>
        <v/>
      </c>
      <c r="B12" s="3237"/>
      <c r="C12" s="3237"/>
      <c r="D12" s="3237" t="str">
        <f>'结果表-1层商业'!D126</f>
        <v>——</v>
      </c>
      <c r="E12" s="3237"/>
      <c r="F12" s="3237"/>
      <c r="G12" s="3237"/>
      <c r="H12" s="3237"/>
      <c r="I12" s="3237"/>
    </row>
    <row r="13" spans="1:9" ht="15.75" thickBot="1">
      <c r="A13" s="3241" t="s">
        <v>926</v>
      </c>
      <c r="B13" s="3241"/>
      <c r="C13" s="3241"/>
      <c r="D13" s="3241" t="e">
        <f>'结果表-1层商业'!D127</f>
        <v>#VALUE!</v>
      </c>
      <c r="E13" s="3241"/>
      <c r="F13" s="3241"/>
      <c r="G13" s="3241"/>
      <c r="H13" s="3241"/>
      <c r="I13" s="3241"/>
    </row>
    <row r="14" spans="1:9" ht="15" thickTop="1">
      <c r="A14" s="3242" t="s">
        <v>931</v>
      </c>
      <c r="B14" s="3242"/>
      <c r="C14" s="3242"/>
      <c r="D14" s="3242"/>
      <c r="E14" s="3242"/>
      <c r="F14" s="3242"/>
      <c r="G14" s="3242"/>
      <c r="H14" s="3242"/>
      <c r="I14" s="3242"/>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30489</v>
      </c>
      <c r="C2" s="2" t="s">
        <v>106</v>
      </c>
      <c r="D2" s="191"/>
      <c r="E2" s="191"/>
      <c r="F2" s="191"/>
      <c r="G2" s="191"/>
    </row>
    <row r="3" spans="1:7" s="192" customFormat="1" ht="18" customHeight="1" thickBot="1">
      <c r="A3" s="195" t="s">
        <v>58</v>
      </c>
      <c r="B3" s="196">
        <f ca="1">ROUND(B2*10000/'数据-汇总表'!E3,0)</f>
        <v>25747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4227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3678</v>
      </c>
      <c r="D34" s="209"/>
      <c r="E34" s="212"/>
      <c r="F34" s="249">
        <f>IF('数据-取费表'!B24=0,1,'数据-取费表'!N16)</f>
        <v>1</v>
      </c>
      <c r="G34" s="211" t="s">
        <v>89</v>
      </c>
    </row>
    <row r="35" spans="1:7" ht="13.5" customHeight="1">
      <c r="A35" s="734" t="s">
        <v>351</v>
      </c>
      <c r="B35" s="207" t="s">
        <v>33</v>
      </c>
      <c r="C35" s="212">
        <f>ROUND(C34*F35,0)</f>
        <v>184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74</v>
      </c>
      <c r="D38" s="212"/>
      <c r="E38" s="212"/>
      <c r="F38" s="251">
        <f>'数据-取费表'!B36</f>
        <v>0.02</v>
      </c>
      <c r="G38" s="211" t="s">
        <v>90</v>
      </c>
    </row>
    <row r="39" spans="1:7" s="206" customFormat="1" ht="13.5" customHeight="1">
      <c r="A39" s="731" t="s">
        <v>338</v>
      </c>
      <c r="B39" s="202" t="s">
        <v>77</v>
      </c>
      <c r="C39" s="224">
        <f>ROUND(C33*F20,0)</f>
        <v>42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132</v>
      </c>
      <c r="D42" s="230"/>
      <c r="E42" s="230"/>
      <c r="F42" s="231"/>
      <c r="G42" s="3405" t="s">
        <v>94</v>
      </c>
    </row>
    <row r="43" spans="1:7" ht="13.5" customHeight="1">
      <c r="A43" s="734" t="s">
        <v>347</v>
      </c>
      <c r="B43" s="207" t="s">
        <v>426</v>
      </c>
      <c r="C43" s="230">
        <f ca="1">ROUND(IF('数据-取费表'!B22&lt;=1,C39*F22*'数据-取费表'!B21/2,C39*(POWER((1+F22),'数据-取费表'!B21/2)-1)),0)</f>
        <v>1</v>
      </c>
      <c r="D43" s="230"/>
      <c r="E43" s="230"/>
      <c r="F43" s="231"/>
      <c r="G43" s="3406"/>
    </row>
    <row r="44" spans="1:7" ht="13.5" customHeight="1">
      <c r="A44" s="734" t="s">
        <v>348</v>
      </c>
      <c r="B44" s="207" t="s">
        <v>428</v>
      </c>
      <c r="C44" s="230">
        <f ca="1">ROUND(IF('数据-取费表'!B22&lt;=1,C40*F22*'数据-取费表'!B21/2,C40*(POWER((1+F22),'数据-取费表'!B21/2)-1)),4)</f>
        <v>8.9999999999999998E-4</v>
      </c>
      <c r="D44" s="230"/>
      <c r="E44" s="230"/>
      <c r="F44" s="231"/>
      <c r="G44" s="3407"/>
    </row>
    <row r="45" spans="1:7" s="206" customFormat="1" ht="13.5" customHeight="1">
      <c r="A45" s="731" t="s">
        <v>341</v>
      </c>
      <c r="B45" s="236" t="s">
        <v>85</v>
      </c>
      <c r="C45" s="237">
        <f>C46</f>
        <v>299</v>
      </c>
      <c r="D45" s="227">
        <f>C47</f>
        <v>2.0999999999999999E-3</v>
      </c>
      <c r="E45" s="228" t="s">
        <v>102</v>
      </c>
      <c r="F45" s="238"/>
      <c r="G45" s="239" t="s">
        <v>434</v>
      </c>
    </row>
    <row r="46" spans="1:7" s="206" customFormat="1" ht="13.5" customHeight="1">
      <c r="A46" s="734" t="s">
        <v>349</v>
      </c>
      <c r="B46" s="240" t="s">
        <v>427</v>
      </c>
      <c r="C46" s="241">
        <f>ROUND((C33+C39)*F27,0)</f>
        <v>299</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5145</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4373</v>
      </c>
      <c r="D51" s="224"/>
      <c r="E51" s="224"/>
      <c r="F51" s="256"/>
      <c r="G51" s="226" t="s">
        <v>37</v>
      </c>
    </row>
    <row r="52" spans="1:7" s="200" customFormat="1" ht="16.5" thickBot="1">
      <c r="A52" s="257" t="s">
        <v>38</v>
      </c>
      <c r="B52" s="258"/>
      <c r="C52" s="259">
        <f ca="1">C31+C51</f>
        <v>30489</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48" t="s">
        <v>3179</v>
      </c>
      <c r="B1" s="3548"/>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49" t="s">
        <v>3230</v>
      </c>
      <c r="B1" s="3549"/>
      <c r="C1" s="3549"/>
      <c r="D1" s="3549"/>
      <c r="E1" s="3549"/>
      <c r="F1" s="3550"/>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51" t="s">
        <v>455</v>
      </c>
      <c r="S1" s="3552"/>
      <c r="T1" s="3552"/>
      <c r="U1" s="3552"/>
      <c r="V1" s="3552"/>
      <c r="W1" s="3552"/>
      <c r="X1" s="2897"/>
      <c r="Y1" s="3551" t="s">
        <v>456</v>
      </c>
      <c r="Z1" s="3552"/>
      <c r="AA1" s="3552"/>
      <c r="AB1" s="3552"/>
      <c r="AC1" s="3552"/>
      <c r="AD1" s="3552"/>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51" t="s">
        <v>2825</v>
      </c>
      <c r="S29" s="3552"/>
      <c r="T29" s="3552"/>
      <c r="U29" s="3552"/>
      <c r="V29" s="3552"/>
      <c r="W29" s="3552"/>
      <c r="X29" s="2897"/>
      <c r="Y29" s="3551" t="s">
        <v>2826</v>
      </c>
      <c r="Z29" s="3552"/>
      <c r="AA29" s="3552"/>
      <c r="AB29" s="3552"/>
      <c r="AC29" s="3552"/>
      <c r="AD29" s="3552"/>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6" t="s">
        <v>451</v>
      </c>
      <c r="C1" s="3556"/>
      <c r="D1" s="3556"/>
      <c r="E1" s="3556"/>
      <c r="F1" s="3556"/>
      <c r="G1" s="3552" t="s">
        <v>452</v>
      </c>
      <c r="H1" s="3552"/>
      <c r="I1" s="3552"/>
      <c r="J1" s="3552"/>
      <c r="K1" s="3552"/>
      <c r="L1" s="3552"/>
      <c r="N1" s="3552" t="s">
        <v>453</v>
      </c>
      <c r="O1" s="3552"/>
      <c r="P1" s="3552"/>
      <c r="Q1" s="3552"/>
      <c r="S1" s="3552" t="s">
        <v>454</v>
      </c>
      <c r="T1" s="3552"/>
      <c r="U1" s="3552"/>
      <c r="V1" s="3552"/>
      <c r="X1" s="3551" t="s">
        <v>455</v>
      </c>
      <c r="Y1" s="3552"/>
      <c r="Z1" s="3552"/>
      <c r="AA1" s="3552"/>
      <c r="AB1" s="3552"/>
      <c r="AD1" s="3551" t="s">
        <v>456</v>
      </c>
      <c r="AE1" s="3552"/>
      <c r="AF1" s="3552"/>
      <c r="AG1" s="3552"/>
      <c r="AH1" s="3552"/>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5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5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6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5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5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6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5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5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5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5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5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5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5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5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5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5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5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5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5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5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5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5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5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5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5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5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5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5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5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5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5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5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5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5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53">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54">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54">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55">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53">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54">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54">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5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4" t="s">
        <v>2837</v>
      </c>
      <c r="B1" s="3564"/>
      <c r="C1" s="3564"/>
      <c r="D1" s="3564"/>
      <c r="E1" s="3564"/>
      <c r="F1" s="3564"/>
      <c r="G1" s="3565"/>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62"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63"/>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3" t="s">
        <v>948</v>
      </c>
      <c r="B1" s="3243"/>
      <c r="C1" s="3243"/>
      <c r="D1" s="3243"/>
    </row>
    <row r="2" spans="1:4" ht="18">
      <c r="A2" s="3244" t="s">
        <v>932</v>
      </c>
      <c r="B2" s="3244"/>
      <c r="C2" s="3244"/>
      <c r="D2" s="3244"/>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44" t="s">
        <v>938</v>
      </c>
      <c r="B6" s="3244"/>
      <c r="C6" s="3244"/>
      <c r="D6" s="3244"/>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45" t="s">
        <v>941</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6" t="str">
        <f>IF(项目基本情况!B8="抵押","3.抵押双方在办理抵押登记手续时，应使用本公司出具的正式《房地产评估报告》，特提醒报告使用者注意。","——")</f>
        <v>——</v>
      </c>
      <c r="B13" s="3247"/>
      <c r="C13" s="3247"/>
      <c r="D13" s="3247"/>
    </row>
    <row r="14" spans="1:4" ht="15.75" customHeight="1">
      <c r="A14" s="3246" t="str">
        <f>IF(项目基本情况!B8="抵押","4.本次评估估价师所知悉的法定优先受偿款情况说明如下：","——")</f>
        <v>——</v>
      </c>
      <c r="B14" s="3247"/>
      <c r="C14" s="3247"/>
      <c r="D14" s="3247"/>
    </row>
    <row r="15" spans="1:4" ht="42" customHeight="1">
      <c r="A15" s="3246" t="str">
        <f>IF(项目基本情况!B8="抵押","（1）"&amp;CONCATENATE(项目基本情况!L20,项目基本情况!L21,项目基本情况!L22),"——")</f>
        <v>——</v>
      </c>
      <c r="B15" s="3246"/>
      <c r="C15" s="3246"/>
      <c r="D15" s="3246"/>
    </row>
    <row r="16" spans="1:4" ht="30" customHeight="1">
      <c r="A16" s="3249" t="s">
        <v>942</v>
      </c>
      <c r="B16" s="3249"/>
      <c r="C16" s="3249"/>
      <c r="D16" s="3249"/>
    </row>
    <row r="17" spans="1:4" ht="144" customHeight="1">
      <c r="A17" s="3249" t="s">
        <v>943</v>
      </c>
      <c r="B17" s="3249"/>
      <c r="C17" s="3249"/>
      <c r="D17" s="3249"/>
    </row>
    <row r="18" spans="1:4" ht="15.75" customHeight="1">
      <c r="A18" s="3246" t="str">
        <f>IF(项目基本情况!B8="抵押",'结果表-1层商业'!K120,"——")</f>
        <v>——</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50"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944</v>
      </c>
      <c r="B22" s="3251"/>
      <c r="C22" s="3251"/>
      <c r="D22" s="3251"/>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57" t="s">
        <v>955</v>
      </c>
      <c r="B15" s="3252" t="s">
        <v>109</v>
      </c>
      <c r="C15" s="3253"/>
    </row>
    <row r="16" spans="1:7" ht="13.5">
      <c r="A16" s="3258"/>
      <c r="B16" s="3252" t="s">
        <v>42</v>
      </c>
      <c r="C16" s="3253"/>
    </row>
    <row r="17" spans="1:3" ht="13.5">
      <c r="A17" s="3258"/>
      <c r="B17" s="3255" t="s">
        <v>956</v>
      </c>
      <c r="C17" s="1429" t="s">
        <v>955</v>
      </c>
    </row>
    <row r="18" spans="1:3" ht="13.5">
      <c r="A18" s="3258"/>
      <c r="B18" s="3255"/>
      <c r="C18" s="1429" t="s">
        <v>957</v>
      </c>
    </row>
    <row r="19" spans="1:3" ht="13.5">
      <c r="A19" s="3258"/>
      <c r="B19" s="3255"/>
      <c r="C19" s="1429" t="s">
        <v>958</v>
      </c>
    </row>
    <row r="20" spans="1:3" ht="13.5">
      <c r="A20" s="3259"/>
      <c r="B20" s="3254" t="s">
        <v>959</v>
      </c>
      <c r="C20" s="3253"/>
    </row>
    <row r="21" spans="1:3" ht="13.5">
      <c r="A21" s="1430" t="s">
        <v>960</v>
      </c>
      <c r="B21" s="1431"/>
      <c r="C21" s="1432"/>
    </row>
    <row r="22" spans="1:3" ht="13.5">
      <c r="A22" s="3256" t="s">
        <v>961</v>
      </c>
      <c r="B22" s="3254" t="s">
        <v>962</v>
      </c>
      <c r="C22" s="3253"/>
    </row>
    <row r="23" spans="1:3" ht="13.5">
      <c r="A23" s="3256"/>
      <c r="B23" s="3254" t="s">
        <v>963</v>
      </c>
      <c r="C23" s="3253"/>
    </row>
    <row r="24" spans="1:3" ht="13.5">
      <c r="A24" s="3256"/>
      <c r="B24" s="3254" t="s">
        <v>964</v>
      </c>
      <c r="C24" s="3253"/>
    </row>
    <row r="25" spans="1:3" ht="13.5">
      <c r="A25" s="3256"/>
      <c r="B25" s="3255" t="s">
        <v>965</v>
      </c>
      <c r="C25" s="1429" t="s">
        <v>966</v>
      </c>
    </row>
    <row r="26" spans="1:3" ht="13.5">
      <c r="A26" s="3256"/>
      <c r="B26" s="3255"/>
      <c r="C26" s="1429" t="s">
        <v>967</v>
      </c>
    </row>
    <row r="27" spans="1:3" ht="13.5">
      <c r="A27" s="3256"/>
      <c r="B27" s="3255"/>
      <c r="C27" s="1429" t="s">
        <v>968</v>
      </c>
    </row>
    <row r="28" spans="1:3" ht="13.5">
      <c r="A28" s="3256"/>
      <c r="B28" s="3255"/>
      <c r="C28" s="1429" t="s">
        <v>969</v>
      </c>
    </row>
    <row r="29" spans="1:3" ht="13.5">
      <c r="A29" s="3256"/>
      <c r="B29" s="3255"/>
      <c r="C29" s="1429" t="s">
        <v>970</v>
      </c>
    </row>
    <row r="30" spans="1:3" ht="13.5">
      <c r="A30" s="3256"/>
      <c r="B30" s="3255"/>
      <c r="C30" s="1429" t="s">
        <v>971</v>
      </c>
    </row>
    <row r="31" spans="1:3" ht="13.5">
      <c r="A31" s="3256"/>
      <c r="B31" s="3255"/>
      <c r="C31" s="1429" t="s">
        <v>972</v>
      </c>
    </row>
    <row r="32" spans="1:3" ht="13.5">
      <c r="A32" s="3256"/>
      <c r="B32" s="3255"/>
      <c r="C32" s="1429" t="s">
        <v>973</v>
      </c>
    </row>
    <row r="33" spans="1:3" ht="13.5">
      <c r="A33" s="3256"/>
      <c r="B33" s="3255"/>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46007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0" t="s">
        <v>2158</v>
      </c>
      <c r="B17" s="3260"/>
      <c r="C17" s="3260"/>
      <c r="D17" s="3260"/>
      <c r="E17" s="3260"/>
      <c r="F17" s="3260"/>
      <c r="G17" s="3260"/>
      <c r="H17" s="3260"/>
    </row>
    <row r="18" spans="1:8" ht="24" customHeight="1">
      <c r="A18" s="3261" t="s">
        <v>2159</v>
      </c>
      <c r="B18" s="3261"/>
      <c r="C18" s="3261"/>
      <c r="D18" s="2160"/>
      <c r="E18" s="3262" t="s">
        <v>2160</v>
      </c>
      <c r="F18" s="3261"/>
      <c r="G18" s="326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最终结果</vt:lpstr>
      <vt:lpstr>结果表-1层商业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2025-12-16T01:47:14Z</dcterms:modified>
</cp:coreProperties>
</file>