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3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P58" i="33" l="1"/>
  <c r="N18" i="1"/>
  <c r="N20" i="1" s="1"/>
  <c r="N6" i="1" s="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493" i="3"/>
  <c r="E542" i="3"/>
  <c r="E449" i="3"/>
  <c r="E459" i="3"/>
  <c r="E491" i="3"/>
  <c r="E520" i="3"/>
  <c r="E178" i="3"/>
  <c r="E119" i="3"/>
  <c r="E241" i="3"/>
  <c r="E243" i="3"/>
  <c r="E372" i="3"/>
  <c r="E389" i="3"/>
  <c r="E59" i="3"/>
  <c r="E540" i="3"/>
  <c r="E455" i="3"/>
  <c r="E467" i="3"/>
  <c r="E129" i="3"/>
  <c r="E170" i="3"/>
  <c r="E234" i="3"/>
  <c r="E275" i="3"/>
  <c r="E383" i="3"/>
  <c r="E325" i="3"/>
  <c r="E84" i="3"/>
  <c r="E86" i="3"/>
  <c r="E206" i="3"/>
  <c r="E184" i="3"/>
  <c r="E381" i="3"/>
  <c r="AF6" i="3"/>
  <c r="E176" i="3"/>
  <c r="E118" i="3"/>
  <c r="E309" i="3"/>
  <c r="E524"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 i="73"/>
  <c r="F6" i="67"/>
  <c r="B10" i="76"/>
  <c r="J15" i="15"/>
  <c r="F43" i="15"/>
  <c r="E8" i="76"/>
  <c r="F6" i="15"/>
  <c r="F37" i="67"/>
  <c r="F40" i="15"/>
  <c r="M8" i="15"/>
  <c r="F5" i="73"/>
  <c r="F8" i="67"/>
  <c r="M23" i="15"/>
  <c r="M24" i="15"/>
  <c r="D4" i="73"/>
  <c r="F9" i="67"/>
  <c r="F36" i="15"/>
  <c r="F40" i="67"/>
  <c r="M6" i="15"/>
  <c r="F43" i="67"/>
  <c r="E9" i="76"/>
  <c r="E7" i="76"/>
  <c r="F16" i="67"/>
  <c r="M24" i="67"/>
  <c r="F26" i="15"/>
  <c r="F16" i="15"/>
  <c r="C76" i="15"/>
  <c r="B7" i="76"/>
  <c r="F26" i="67"/>
  <c r="F37" i="15"/>
  <c r="L47" i="15"/>
  <c r="M22" i="15"/>
  <c r="M9" i="15"/>
  <c r="F13" i="15"/>
  <c r="C76" i="67"/>
  <c r="F42" i="15"/>
  <c r="F42" i="67"/>
  <c r="M9" i="67"/>
  <c r="M29" i="67"/>
  <c r="B13" i="76"/>
  <c r="B11" i="76"/>
  <c r="E2" i="68"/>
  <c r="J15" i="67"/>
  <c r="M29" i="15"/>
  <c r="F7" i="67"/>
  <c r="E11" i="76"/>
  <c r="M26" i="15"/>
  <c r="E12" i="76"/>
  <c r="M8" i="67"/>
  <c r="B12" i="76"/>
  <c r="F38" i="67"/>
  <c r="M6" i="67"/>
  <c r="F20" i="31"/>
  <c r="D5" i="73"/>
  <c r="F7" i="15"/>
  <c r="L47" i="67"/>
  <c r="B9" i="76"/>
  <c r="L48" i="67"/>
  <c r="M28" i="67"/>
  <c r="AO13" i="1"/>
  <c r="F13" i="67"/>
  <c r="F38" i="15"/>
  <c r="D6" i="73"/>
  <c r="D7" i="73"/>
  <c r="F36" i="67"/>
  <c r="E10" i="76"/>
  <c r="M28" i="15"/>
  <c r="B8" i="76"/>
  <c r="E13" i="76"/>
  <c r="F8" i="15"/>
  <c r="F3" i="73"/>
  <c r="M26" i="67"/>
  <c r="D3" i="73"/>
  <c r="F6" i="73"/>
  <c r="M23" i="67"/>
  <c r="E2" i="69"/>
  <c r="F7" i="73"/>
  <c r="M22" i="67"/>
  <c r="F9" i="15"/>
  <c r="E83" i="3" l="1"/>
  <c r="E265" i="3"/>
  <c r="E80" i="3"/>
  <c r="E340" i="3"/>
  <c r="E33" i="3"/>
  <c r="AQ6" i="3"/>
  <c r="E300" i="3"/>
  <c r="E174" i="3"/>
  <c r="E46" i="3"/>
  <c r="E482" i="3"/>
  <c r="E60" i="3"/>
  <c r="E391" i="3"/>
  <c r="E242" i="3"/>
  <c r="E37" i="3"/>
  <c r="E554" i="3"/>
  <c r="E486" i="3"/>
  <c r="E116" i="3"/>
  <c r="E21" i="3"/>
  <c r="E287" i="3"/>
  <c r="E20" i="3"/>
  <c r="E251" i="3"/>
  <c r="E112" i="3"/>
  <c r="E492" i="3"/>
  <c r="E299" i="3"/>
  <c r="E142" i="3"/>
  <c r="E96" i="3"/>
  <c r="E484" i="3"/>
  <c r="E42" i="3"/>
  <c r="E346" i="3"/>
  <c r="E225" i="3"/>
  <c r="E25" i="3"/>
  <c r="E500" i="3"/>
  <c r="E464" i="3"/>
  <c r="E167" i="3"/>
  <c r="E22" i="3"/>
  <c r="E365" i="3"/>
  <c r="E264" i="3"/>
  <c r="E81" i="3"/>
  <c r="E102" i="3"/>
  <c r="E364" i="3"/>
  <c r="E289" i="3"/>
  <c r="E144" i="3"/>
  <c r="E34" i="3"/>
  <c r="E35" i="3"/>
  <c r="E392" i="3"/>
  <c r="E371" i="3"/>
  <c r="E249" i="3"/>
  <c r="E220" i="3"/>
  <c r="E137" i="3"/>
  <c r="E100" i="3"/>
  <c r="E64" i="3"/>
  <c r="E412" i="3"/>
  <c r="E428" i="3"/>
  <c r="E43" i="3"/>
  <c r="E544" i="3"/>
  <c r="E349" i="3"/>
  <c r="E332" i="3"/>
  <c r="E226" i="3"/>
  <c r="E202" i="3"/>
  <c r="E131" i="3"/>
  <c r="E39" i="3"/>
  <c r="E419" i="3"/>
  <c r="I3" i="6"/>
  <c r="E422" i="3"/>
  <c r="E502" i="3"/>
  <c r="E312" i="3"/>
  <c r="E148" i="3"/>
  <c r="E513" i="3"/>
  <c r="E308" i="3"/>
  <c r="E158" i="3"/>
  <c r="E62" i="3"/>
  <c r="E68" i="3"/>
  <c r="E355" i="3"/>
  <c r="E232" i="3"/>
  <c r="E123" i="3"/>
  <c r="E36" i="3"/>
  <c r="E23" i="3"/>
  <c r="E342" i="3"/>
  <c r="E324" i="3"/>
  <c r="E219" i="3"/>
  <c r="E200" i="3"/>
  <c r="E160" i="3"/>
  <c r="E78" i="3"/>
  <c r="E79" i="3"/>
  <c r="E15" i="3"/>
  <c r="E409" i="3"/>
  <c r="E94" i="3"/>
  <c r="AL6" i="3"/>
  <c r="E333" i="3"/>
  <c r="E292" i="3"/>
  <c r="E258" i="3"/>
  <c r="E132" i="3"/>
  <c r="E95" i="3"/>
  <c r="E463" i="3"/>
  <c r="E413" i="3"/>
  <c r="E376" i="3"/>
  <c r="E541" i="3"/>
  <c r="E543" i="3"/>
  <c r="E286" i="3"/>
  <c r="E244" i="3"/>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L48" i="15"/>
  <c r="K16" i="1" l="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F41" i="67"/>
  <c r="M27" i="67"/>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B6" i="76"/>
  <c r="E6" i="76"/>
  <c r="C14" i="15"/>
  <c r="E2" i="70" l="1"/>
  <c r="R49" i="33"/>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5"/>
  <c r="C19" i="9"/>
  <c r="D2" i="34"/>
  <c r="D19" i="9"/>
  <c r="L51" i="15"/>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7" i="1"/>
  <c r="AO8" i="1"/>
  <c r="C20" i="9"/>
  <c r="D20" i="9"/>
  <c r="AO6" i="1"/>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<sst xmlns="http://schemas.openxmlformats.org/spreadsheetml/2006/main" count="7923" uniqueCount="3472">
  <si>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</si>
  <si>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</si>
  <si>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</si>
  <si>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</si>
  <si>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</si>
  <si>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</si>
  <si>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</si>
  <si>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</si>
  <si>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</si>
  <si>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</si>
  <si>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</si>
  <si>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</si>
  <si>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</si>
  <si>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</si>
  <si>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</si>
  <si>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</si>
  <si>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</si>
  <si>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</si>
  <si>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</si>
  <si>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</si>
  <si>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</si>
  <si>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</si>
  <si>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</si>
  <si>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</si>
  <si>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</si>
  <si>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</si>
  <si>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</si>
  <si>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</si>
  <si>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</si>
  <si>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</si>
  <si>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</si>
  <si>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</si>
  <si>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</si>
  <si>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</si>
  <si>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</si>
  <si>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</si>
  <si>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</si>
  <si>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</si>
  <si>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</si>
  <si>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</si>
  <si>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</si>
  <si>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</si>
  <si>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</si>
  <si>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</si>
  <si>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</si>
  <si>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</si>
  <si>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</si>
  <si>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</si>
  <si>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</si>
  <si>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</si>
  <si>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</si>
  <si>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</si>
  <si>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</si>
  <si>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</si>
  <si>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</si>
  <si>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</si>
  <si>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</si>
  <si>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</si>
  <si>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</si>
  <si>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</si>
  <si>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</si>
  <si>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</si>
  <si>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</si>
  <si>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</si>
  <si>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</si>
  <si>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</si>
  <si>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</si>
  <si>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</si>
  <si>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</si>
  <si>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</si>
  <si>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</si>
  <si>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</si>
  <si>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</si>
  <si>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</si>
  <si>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</si>
  <si>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</si>
  <si>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</si>
  <si>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</si>
  <si>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</si>
  <si>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</si>
  <si>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</si>
  <si>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</si>
  <si>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</si>
  <si>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</si>
  <si>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</si>
  <si>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</si>
  <si>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</si>
  <si>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</si>
  <si>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</si>
  <si>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</si>
  <si>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</si>
  <si>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</si>
  <si>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</si>
  <si>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</si>
  <si>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</si>
  <si>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</si>
  <si>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</si>
  <si>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</si>
  <si>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</si>
  <si>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</si>
  <si>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</si>
  <si>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</si>
  <si>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</si>
  <si>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</si>
  <si>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</si>
  <si>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</si>
  <si>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</si>
  <si>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</si>
  <si>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</si>
  <si>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</si>
  <si>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</si>
  <si>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</si>
  <si>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</si>
  <si>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</si>
  <si>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</si>
  <si>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</si>
  <si>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</si>
  <si>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</si>
  <si>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</si>
  <si>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</si>
  <si>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</si>
  <si>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</si>
  <si>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</si>
  <si>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</si>
  <si>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</si>
  <si>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</si>
  <si>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</si>
  <si>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</si>
  <si>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</si>
  <si>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</si>
  <si>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</si>
  <si>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</si>
  <si>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</si>
  <si>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</si>
  <si>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</si>
  <si>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</si>
  <si>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</si>
  <si>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</si>
  <si>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</si>
  <si>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</si>
  <si>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</si>
  <si>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</si>
  <si>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</si>
  <si>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</si>
  <si>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</si>
  <si>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</si>
  <si>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</si>
  <si>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</si>
  <si>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</si>
  <si>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</si>
  <si>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</si>
  <si>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</si>
  <si>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</si>
  <si>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</si>
  <si>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</si>
  <si>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</si>
  <si>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</si>
  <si>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</si>
  <si>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</si>
  <si>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</si>
  <si>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</si>
  <si>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</si>
  <si>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</si>
  <si>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</si>
  <si>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</si>
  <si>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</si>
  <si>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</si>
  <si>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</si>
  <si>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</si>
  <si>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</si>
  <si>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</si>
  <si>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</si>
  <si>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</si>
  <si>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</si>
  <si>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</si>
  <si>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</si>
  <si>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</si>
  <si>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</si>
  <si>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</si>
  <si>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</si>
  <si>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</si>
  <si>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</si>
  <si>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</si>
  <si>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</si>
  <si>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</si>
  <si>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</si>
  <si>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</si>
  <si>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</si>
  <si>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</si>
  <si>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</si>
  <si>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</si>
  <si>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</si>
  <si>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</si>
  <si>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</si>
  <si>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</si>
  <si>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</si>
  <si>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</si>
  <si>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</si>
  <si>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</si>
  <si>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</si>
  <si>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</si>
  <si>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</si>
  <si>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</si>
  <si>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</si>
  <si>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</si>
  <si>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</si>
  <si>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</si>
  <si>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</si>
  <si>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</si>
  <si>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</si>
  <si>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</si>
  <si>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</si>
  <si>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</si>
  <si>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</si>
  <si>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</si>
  <si>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</si>
  <si>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</si>
  <si>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</si>
  <si>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</si>
  <si>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</si>
  <si>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</si>
  <si>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</si>
  <si>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</si>
  <si>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</si>
  <si>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</si>
  <si>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</si>
  <si>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</si>
  <si>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</si>
  <si>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</si>
  <si>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</si>
  <si>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</si>
  <si>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</si>
  <si>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</si>
  <si>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</si>
  <si>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</si>
  <si>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</si>
  <si>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</si>
  <si>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</si>
  <si>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</si>
  <si>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</si>
  <si>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</si>
  <si>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</si>
  <si>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</si>
  <si>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</si>
  <si>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</si>
  <si>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</si>
  <si>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</si>
  <si>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</si>
  <si>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</si>
  <si>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</si>
  <si>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</si>
  <si>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</si>
  <si>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</si>
  <si>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</si>
  <si>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</si>
  <si>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</si>
  <si>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</si>
  <si>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</si>
  <si>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</si>
  <si>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</si>
  <si>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</si>
  <si>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</si>
  <si>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</si>
  <si>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</si>
  <si>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</si>
  <si>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</si>
  <si>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</si>
  <si>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</si>
  <si>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</si>
  <si>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</si>
  <si>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</si>
  <si>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</si>
  <si>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</si>
  <si>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</si>
  <si>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</si>
  <si>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</si>
  <si>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</si>
  <si>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</si>
  <si>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</si>
  <si>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</si>
  <si>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</si>
  <si>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</si>
  <si>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</si>
  <si>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</si>
  <si>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</si>
  <si>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</si>
  <si>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</si>
  <si>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</si>
  <si>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</si>
  <si>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</si>
  <si>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</si>
  <si>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</si>
  <si>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</si>
  <si>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</si>
  <si>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</si>
  <si>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</si>
  <si>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</si>
  <si>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</si>
  <si>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</si>
  <si>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</si>
  <si>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</si>
  <si>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</si>
  <si>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</si>
  <si>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</si>
  <si>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</si>
  <si>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</si>
  <si>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</si>
  <si>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</si>
  <si>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</si>
  <si>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</si>
  <si>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</si>
  <si>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</si>
  <si>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</si>
  <si>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</si>
  <si>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</si>
  <si>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</si>
  <si>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</si>
  <si>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</si>
  <si>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</si>
  <si>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</si>
  <si>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</si>
  <si>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</si>
  <si>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</si>
  <si>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</si>
  <si>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</si>
  <si>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</si>
  <si>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</si>
  <si>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</si>
  <si>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</si>
  <si>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</si>
  <si>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</si>
  <si>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</si>
  <si>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</si>
  <si>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</si>
  <si>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</si>
  <si>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</si>
  <si>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</si>
  <si>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</si>
  <si>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</si>
  <si>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</si>
  <si>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</si>
  <si>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</si>
  <si>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</si>
  <si>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</si>
  <si>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</si>
  <si>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</si>
  <si>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</si>
  <si>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</si>
  <si>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</si>
  <si>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</si>
  <si>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</si>
  <si>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</si>
  <si>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</si>
  <si>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</si>
  <si>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</si>
  <si>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</si>
  <si>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</si>
  <si>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</si>
  <si>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</si>
  <si>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</si>
  <si>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</si>
  <si>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</si>
  <si>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</si>
  <si>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</si>
  <si>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</si>
  <si>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</si>
  <si>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</si>
  <si>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</si>
  <si>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</si>
  <si>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</si>
  <si>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</si>
  <si>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</si>
  <si>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</si>
  <si>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</si>
  <si>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</si>
  <si>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</si>
  <si>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</si>
  <si>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</si>
  <si>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</si>
  <si>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</si>
  <si>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</si>
  <si>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</si>
  <si>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</si>
  <si>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</si>
  <si>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</si>
  <si>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</si>
  <si>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</si>
  <si>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</si>
  <si>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</si>
  <si>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</si>
  <si>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</si>
  <si>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</si>
  <si>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</si>
  <si>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</si>
  <si>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</si>
  <si>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</si>
  <si>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</si>
  <si>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</si>
  <si>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</si>
  <si>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</si>
  <si>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</si>
  <si>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</si>
  <si>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</si>
  <si>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</si>
  <si>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</si>
  <si>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</si>
  <si>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</si>
  <si>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</si>
  <si>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</si>
  <si>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</si>
  <si>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</si>
  <si>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</si>
  <si>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</si>
  <si>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</si>
  <si>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</si>
  <si>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</si>
  <si>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</si>
  <si>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</si>
  <si>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</si>
  <si>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</si>
  <si>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</si>
  <si>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</si>
  <si>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</si>
  <si>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</si>
  <si>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</si>
  <si>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</si>
  <si>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</si>
  <si>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</si>
  <si>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</si>
  <si>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</si>
  <si>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</si>
  <si>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</si>
  <si>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</si>
  <si>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</si>
  <si>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</si>
  <si>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</si>
  <si>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</si>
  <si>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</si>
  <si>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</si>
  <si>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</si>
  <si>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</si>
  <si>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</si>
  <si>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</si>
  <si>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</si>
  <si>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</si>
  <si>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</si>
  <si>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</si>
  <si>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</si>
  <si>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</si>
  <si>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</si>
  <si>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</si>
  <si>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</si>
  <si>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</si>
  <si>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</si>
  <si>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</si>
  <si>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</si>
  <si>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</si>
  <si>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</si>
  <si>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</si>
  <si>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</si>
  <si>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</si>
  <si>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</si>
  <si>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</si>
  <si>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</si>
  <si>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</si>
  <si>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</si>
  <si>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</si>
  <si>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</si>
  <si>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</si>
  <si>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</si>
  <si>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</si>
  <si>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</si>
  <si>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</si>
  <si>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</si>
  <si>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</si>
  <si>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</si>
  <si>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</si>
  <si>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</si>
  <si>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</si>
  <si>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</si>
  <si>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</si>
  <si>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</si>
  <si>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</si>
  <si>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</si>
  <si>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</si>
  <si>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</si>
  <si>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</si>
  <si>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</si>
  <si>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</si>
  <si>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</si>
  <si>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</si>
  <si>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</si>
  <si>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</si>
  <si>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</si>
  <si>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</si>
  <si>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</si>
  <si>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</si>
  <si>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</si>
  <si>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</si>
  <si>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</si>
  <si>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</si>
  <si>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</si>
  <si>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</si>
  <si>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</si>
  <si>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</si>
  <si>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</si>
  <si>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</si>
  <si>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</si>
  <si>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</si>
  <si>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</si>
  <si>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</si>
  <si>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</si>
  <si>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</si>
  <si>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</si>
  <si>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</si>
  <si>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</si>
  <si>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</si>
  <si>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</si>
  <si>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</si>
  <si>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</si>
  <si>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</si>
  <si>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</si>
  <si>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</si>
  <si>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</si>
  <si>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</si>
  <si>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</si>
  <si>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</si>
  <si>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</si>
  <si>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</si>
  <si>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</si>
  <si>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</si>
  <si>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</si>
  <si>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</si>
  <si>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</si>
  <si>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</si>
  <si>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</si>
  <si>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</si>
  <si>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</si>
  <si>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</si>
  <si>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</si>
  <si>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</si>
  <si>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</si>
  <si>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</si>
  <si>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</si>
  <si>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</si>
  <si>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</si>
  <si>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</si>
  <si>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</si>
  <si>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</si>
  <si>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</si>
  <si>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</si>
  <si>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</si>
  <si>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</si>
  <si>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</si>
  <si>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</si>
  <si>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</si>
  <si>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</si>
  <si>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</si>
  <si>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</si>
  <si>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</si>
  <si>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</si>
  <si>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</si>
  <si>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</si>
  <si>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</si>
  <si>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</si>
  <si>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</si>
  <si>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</si>
  <si>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</si>
  <si>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</si>
  <si>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</si>
  <si>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</si>
  <si>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</si>
  <si>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</si>
  <si>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</si>
  <si>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</si>
  <si>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</si>
  <si>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</si>
  <si>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</si>
  <si>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</si>
  <si>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</si>
  <si>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</si>
  <si>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</si>
  <si>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</si>
  <si>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</si>
  <si>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</si>
  <si>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</si>
  <si>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</si>
  <si>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</si>
  <si>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</si>
  <si>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</si>
  <si>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</si>
  <si>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</si>
  <si>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</si>
  <si>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</si>
  <si>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</si>
  <si>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</si>
  <si>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</si>
  <si>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</si>
  <si>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</si>
  <si>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</si>
  <si>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</si>
  <si>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</si>
  <si>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</si>
  <si>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</si>
  <si>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</si>
  <si>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</si>
  <si>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</si>
  <si>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</si>
  <si>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</si>
  <si>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</si>
  <si>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</si>
  <si>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</si>
  <si>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</si>
  <si>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</si>
  <si>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</si>
  <si>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</si>
  <si>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</si>
  <si>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</si>
  <si>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</si>
  <si>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</si>
  <si>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</si>
  <si>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</si>
  <si>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</si>
  <si>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</si>
  <si>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</si>
  <si>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</si>
  <si>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</si>
  <si>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</si>
  <si>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</si>
  <si>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</si>
  <si>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</si>
  <si>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</si>
  <si>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</si>
  <si>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</si>
  <si>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</si>
  <si>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</si>
  <si>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</si>
  <si>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</si>
  <si>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</si>
  <si>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</si>
  <si>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</si>
  <si>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</si>
  <si>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</si>
  <si>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</si>
  <si>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</si>
  <si>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</si>
  <si>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</si>
  <si>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</si>
  <si>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</si>
  <si>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</si>
  <si>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</si>
  <si>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</si>
  <si>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</si>
  <si>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</si>
  <si>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</si>
  <si>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</si>
  <si>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</si>
  <si>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</si>
  <si>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</si>
  <si>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</si>
  <si>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</si>
  <si>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</si>
  <si>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</si>
  <si>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</si>
  <si>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</si>
  <si>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</si>
  <si>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</si>
  <si>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</si>
  <si>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</si>
  <si>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</si>
  <si>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</si>
  <si>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</si>
  <si>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</si>
  <si>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</si>
  <si>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</si>
  <si>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</si>
  <si>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</si>
  <si>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</si>
  <si>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</si>
  <si>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</si>
  <si>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</si>
  <si>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</si>
  <si>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</si>
  <si>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</si>
  <si>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</si>
  <si>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</si>
  <si>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</si>
  <si>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</si>
  <si>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</si>
  <si>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</si>
  <si>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</si>
  <si>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</si>
  <si>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</si>
  <si>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</si>
  <si>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</si>
  <si>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</si>
  <si>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</si>
  <si>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</si>
  <si>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</si>
  <si>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</si>
  <si>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</si>
  <si>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</si>
  <si>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</si>
  <si>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</si>
  <si>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</si>
  <si>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</si>
  <si>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</si>
  <si>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</si>
  <si>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</si>
  <si>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</si>
  <si>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</si>
  <si>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</si>
  <si>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</si>
  <si>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</si>
  <si>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</si>
  <si>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</si>
  <si>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</si>
  <si>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</si>
  <si>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</si>
  <si>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</si>
  <si>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</si>
  <si>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</si>
  <si>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</si>
  <si>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</si>
  <si>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</si>
  <si>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</si>
  <si>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</si>
  <si>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</si>
  <si>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</si>
  <si>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</si>
  <si>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</si>
  <si>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</si>
  <si>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</si>
  <si>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</si>
  <si>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</si>
  <si>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</si>
  <si>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</si>
  <si>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</si>
  <si>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</si>
  <si>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</si>
  <si>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</si>
  <si>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</si>
  <si>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</si>
  <si>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</si>
  <si>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</si>
  <si>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</si>
  <si>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</si>
  <si>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</si>
  <si>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</si>
  <si>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</si>
  <si>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</si>
  <si>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</si>
  <si>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</si>
  <si>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</si>
  <si>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</si>
  <si>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</si>
  <si>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</si>
  <si>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</si>
  <si>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</si>
  <si>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</si>
  <si>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</si>
  <si>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</si>
  <si>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</si>
  <si>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</si>
  <si>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</si>
  <si>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</si>
  <si>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</si>
  <si>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</si>
  <si>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</si>
  <si>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</si>
  <si>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</si>
  <si>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</si>
  <si>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</si>
  <si>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</si>
  <si>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</si>
  <si>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</si>
  <si>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</si>
  <si>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</si>
  <si>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</si>
  <si>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</si>
  <si>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</si>
  <si>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</si>
  <si>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</si>
  <si>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</si>
  <si>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</si>
  <si>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</si>
  <si>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</si>
  <si>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</si>
  <si>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</si>
  <si>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</si>
  <si>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</si>
  <si>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</si>
  <si>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</si>
  <si>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</si>
  <si>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</si>
  <si>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</si>
  <si>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</si>
  <si>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</si>
  <si>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</si>
  <si>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</si>
  <si>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</si>
  <si>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</si>
  <si>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</si>
  <si>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</si>
  <si>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</si>
  <si>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</si>
  <si>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</si>
  <si>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</si>
  <si>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</si>
  <si>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</si>
  <si>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</si>
  <si>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</si>
  <si>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</si>
  <si>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</si>
  <si>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</si>
  <si>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</si>
  <si>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</si>
  <si>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</si>
  <si>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</si>
  <si>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</si>
  <si>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</si>
  <si>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</si>
  <si>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</si>
  <si>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</si>
  <si>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</si>
  <si>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</si>
  <si>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</si>
  <si>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</si>
  <si>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</si>
  <si>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</si>
  <si>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</si>
  <si>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</si>
  <si>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</si>
  <si>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</si>
  <si>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</si>
  <si>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</si>
  <si>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</si>
  <si>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</si>
  <si>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</si>
  <si>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</si>
  <si>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</si>
  <si>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</si>
  <si>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</si>
  <si>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</si>
  <si>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</si>
  <si>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</si>
  <si>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</si>
  <si>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</si>
  <si>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</si>
  <si>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</si>
  <si>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</si>
  <si>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</si>
  <si>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</si>
  <si>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</si>
  <si>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</si>
  <si>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</si>
  <si>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</si>
  <si>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</si>
  <si>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</si>
  <si>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</si>
  <si>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</si>
  <si>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</si>
  <si>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</si>
  <si>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</si>
  <si>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</si>
  <si>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</si>
  <si>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</si>
  <si>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</si>
  <si>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</si>
  <si>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</si>
  <si>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</si>
  <si>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</si>
  <si>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</si>
  <si>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</si>
  <si>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</si>
  <si>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</si>
  <si>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</si>
  <si>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</si>
  <si>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</si>
  <si>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</si>
  <si>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</si>
  <si>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</si>
  <si>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</si>
  <si>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</si>
  <si>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</si>
  <si>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</si>
  <si>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</si>
  <si>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</si>
  <si>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</si>
  <si>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</si>
  <si>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</si>
  <si>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</si>
  <si>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</si>
  <si>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</si>
  <si>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</si>
  <si>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</si>
  <si>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</si>
  <si>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</si>
  <si>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</si>
  <si>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</si>
  <si>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</si>
  <si>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</si>
  <si>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</si>
  <si>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</si>
  <si>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</si>
  <si>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</si>
  <si>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</si>
  <si>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</si>
  <si>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</si>
  <si>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</si>
  <si>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</si>
  <si>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</si>
  <si>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</si>
  <si>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</si>
  <si>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</si>
  <si>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</si>
  <si>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</si>
  <si>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</si>
  <si>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</si>
  <si>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</si>
  <si>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</si>
  <si>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</si>
  <si>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</si>
  <si>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</si>
  <si>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</si>
  <si>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</si>
  <si>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</si>
  <si>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</si>
  <si>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</si>
  <si>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</si>
  <si>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</si>
  <si>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</si>
  <si>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</si>
  <si>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</si>
  <si>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</si>
  <si>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</si>
  <si>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</si>
  <si>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</si>
  <si>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</si>
  <si>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</si>
  <si>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</si>
  <si>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</si>
  <si>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</si>
  <si>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</si>
  <si>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</si>
  <si>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</si>
  <si>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</si>
  <si>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</si>
  <si>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</si>
  <si>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</si>
  <si>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</si>
  <si>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</si>
  <si>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</si>
  <si>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</si>
  <si>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</si>
  <si>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</si>
  <si>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</si>
  <si>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</si>
  <si>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</si>
  <si>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</si>
  <si>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</si>
  <si>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</si>
  <si>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</si>
  <si>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</si>
  <si>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</si>
  <si>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</si>
  <si>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</si>
  <si>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</si>
  <si>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</si>
  <si>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</si>
  <si>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</si>
  <si>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</si>
  <si>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</si>
  <si>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</si>
  <si>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</si>
  <si>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</si>
  <si>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</si>
  <si>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</si>
  <si>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</si>
  <si>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</si>
  <si>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</si>
  <si>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</si>
  <si>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</si>
  <si>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</si>
  <si>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</si>
  <si>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</si>
  <si>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</si>
  <si>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</si>
  <si>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</si>
  <si>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</si>
  <si>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</si>
  <si>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</si>
  <si>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</si>
  <si>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</si>
  <si>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</si>
  <si>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</si>
  <si>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</si>
  <si>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</si>
  <si>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</si>
  <si>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</si>
  <si>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</si>
  <si>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</si>
  <si>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</si>
  <si>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</si>
  <si>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</si>
  <si>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</si>
  <si>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</si>
  <si>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</si>
  <si>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</si>
  <si>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</si>
  <si>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</si>
  <si>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</si>
  <si>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</si>
  <si>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</si>
  <si>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</si>
  <si>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</si>
  <si>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</si>
  <si>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</si>
  <si>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</si>
  <si>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</si>
  <si>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</si>
  <si>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</si>
  <si>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</si>
  <si>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</si>
  <si>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</si>
  <si>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</si>
  <si>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</si>
  <si>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</si>
  <si>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</si>
  <si>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</si>
  <si>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</si>
  <si>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</si>
  <si>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</si>
  <si>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</si>
  <si>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</si>
  <si>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</si>
  <si>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</si>
  <si>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</si>
  <si>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</si>
  <si>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</si>
  <si>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</si>
  <si>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</si>
  <si>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</si>
  <si>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</si>
  <si>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</si>
  <si>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</si>
  <si>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</si>
  <si>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</si>
  <si>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</si>
  <si>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</si>
  <si>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</si>
  <si>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</si>
  <si>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</si>
  <si>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</si>
  <si>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</si>
  <si>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</si>
  <si>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</si>
  <si>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</si>
  <si>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</si>
  <si>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</si>
  <si>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</si>
  <si>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</si>
  <si>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</si>
  <si>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</si>
  <si>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</si>
  <si>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</si>
  <si>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</si>
  <si>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</si>
  <si>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</si>
  <si>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</si>
  <si>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</si>
  <si>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</si>
  <si>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</si>
  <si>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</si>
  <si>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</si>
  <si>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</si>
  <si>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</si>
  <si>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</si>
  <si>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</si>
  <si>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</si>
  <si>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</si>
  <si>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</si>
  <si>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</si>
  <si>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</si>
  <si>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</si>
  <si>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</si>
  <si>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</si>
  <si>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</si>
  <si>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</si>
  <si>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</si>
  <si>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</si>
  <si>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</si>
  <si>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</si>
  <si>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</si>
  <si>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</si>
  <si>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</si>
  <si>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</si>
  <si>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</si>
  <si>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</si>
  <si>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</si>
  <si>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</si>
  <si>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</si>
  <si>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</si>
  <si>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</si>
  <si>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</si>
  <si>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</si>
  <si>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</si>
  <si>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</si>
  <si>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</si>
  <si>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</si>
  <si>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</si>
  <si>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</si>
  <si>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</si>
  <si>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</si>
  <si>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</si>
  <si>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</si>
  <si>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</si>
  <si>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</si>
  <si>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</si>
  <si>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</si>
  <si>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</si>
  <si>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</si>
  <si>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</si>
  <si>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</si>
  <si>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</si>
  <si>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</si>
  <si>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</si>
  <si>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</si>
  <si>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</si>
  <si>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</si>
  <si>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</si>
  <si>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</si>
  <si>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</si>
  <si>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</si>
  <si>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</si>
  <si>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</si>
  <si>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</si>
  <si>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</si>
  <si>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</si>
  <si>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</si>
  <si>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</si>
  <si>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</si>
  <si>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</si>
  <si>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</si>
  <si>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</si>
  <si>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</si>
  <si>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</si>
  <si>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</si>
  <si>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</si>
  <si>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</si>
  <si>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</si>
  <si>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</si>
  <si>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</si>
  <si>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</si>
  <si>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</si>
  <si>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</si>
  <si>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</si>
  <si>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</si>
  <si>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</si>
  <si>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</si>
  <si>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</si>
  <si>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</si>
  <si>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</si>
  <si>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</si>
  <si>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</si>
  <si>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</si>
  <si>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</si>
  <si>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</si>
  <si>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</si>
  <si>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</si>
  <si>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</si>
  <si>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</si>
  <si>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</si>
  <si>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</si>
  <si>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</si>
  <si>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</si>
  <si>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</si>
  <si>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</si>
  <si>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</si>
  <si>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</si>
  <si>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</si>
  <si>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</si>
  <si>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</si>
  <si>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</si>
  <si>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</si>
  <si>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</si>
  <si>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</si>
  <si>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</si>
  <si>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</si>
  <si>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</si>
  <si>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</si>
  <si>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</si>
  <si>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</si>
  <si>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</si>
  <si>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</si>
  <si>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</si>
  <si>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</si>
  <si>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</si>
  <si>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</si>
  <si>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</si>
  <si>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</si>
  <si>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</si>
  <si>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</si>
  <si>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</si>
  <si>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</si>
  <si>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</si>
  <si>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</si>
  <si>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</si>
  <si>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</si>
  <si>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</si>
  <si>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</si>
  <si>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</si>
  <si>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</si>
  <si>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</si>
  <si>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</si>
  <si>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</si>
  <si>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</si>
  <si>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</si>
  <si>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</si>
  <si>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</si>
  <si>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</si>
  <si>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</si>
  <si>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</si>
  <si>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</si>
  <si>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</si>
  <si>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</si>
  <si>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</si>
  <si>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</si>
  <si>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</si>
  <si>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</si>
  <si>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</si>
  <si>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</si>
  <si>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</si>
  <si>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</si>
  <si>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</si>
  <si>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</si>
  <si>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</si>
  <si>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</si>
  <si>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</si>
  <si>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</si>
  <si>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</si>
  <si>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</si>
  <si>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</si>
  <si>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</si>
  <si>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</si>
  <si>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</si>
  <si>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</si>
  <si>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</si>
  <si>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</si>
  <si>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</si>
  <si>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</si>
  <si>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</si>
  <si>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</si>
  <si>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</si>
  <si>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</si>
  <si>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</si>
  <si>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</si>
  <si>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</si>
  <si>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</si>
  <si>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</si>
  <si>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</si>
  <si>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</si>
  <si>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</si>
  <si>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</si>
  <si>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</si>
  <si>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</si>
  <si>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</si>
  <si>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</si>
  <si>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</si>
  <si>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</si>
  <si>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</si>
  <si>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</si>
  <si>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</si>
  <si>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</si>
  <si>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</si>
  <si>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</si>
  <si>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</si>
  <si>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</si>
  <si>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</si>
  <si>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</si>
  <si>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</si>
  <si>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</si>
  <si>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</si>
  <si>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</si>
  <si>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</si>
  <si>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</si>
  <si>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</si>
  <si>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</si>
  <si>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</si>
  <si>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</si>
  <si>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</si>
  <si>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</si>
  <si>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</si>
  <si>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</si>
  <si>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</si>
  <si>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</si>
  <si>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</si>
  <si>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</si>
  <si>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</si>
  <si>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</si>
  <si>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</si>
  <si>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</si>
  <si>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</si>
  <si>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</si>
  <si>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</si>
  <si>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</si>
  <si>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</si>
  <si>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</si>
  <si>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</si>
  <si>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</si>
  <si>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</si>
  <si>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</si>
  <si>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</si>
  <si>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</si>
  <si>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</si>
  <si>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</si>
  <si>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</si>
  <si>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</si>
  <si>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</si>
  <si>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</si>
  <si>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</si>
  <si>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</si>
  <si>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</si>
  <si>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</si>
  <si>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</si>
  <si>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</si>
  <si>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</si>
  <si>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</si>
  <si>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</si>
  <si>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</si>
  <si>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</si>
  <si>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</si>
  <si>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</si>
  <si>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</si>
  <si>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</si>
  <si>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</si>
  <si>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</si>
  <si>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</si>
  <si>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</si>
  <si>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</si>
  <si>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</si>
  <si>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</si>
  <si>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</si>
  <si>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</si>
  <si>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</si>
  <si>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</si>
  <si>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</si>
  <si>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</si>
  <si>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</si>
  <si>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</si>
  <si>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</si>
  <si>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</si>
  <si>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</si>
  <si>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</si>
  <si>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</si>
  <si>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</si>
  <si>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</si>
  <si>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</si>
  <si>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</si>
  <si>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</si>
  <si>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</si>
  <si>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</si>
  <si>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</si>
  <si>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</si>
  <si>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</si>
  <si>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</si>
  <si>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</si>
  <si>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</si>
  <si>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</si>
  <si>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</si>
  <si>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</si>
  <si>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</si>
  <si>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</si>
  <si>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</si>
  <si>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</si>
  <si>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</si>
  <si>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</si>
  <si>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</si>
  <si>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</si>
  <si>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</si>
  <si>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</si>
  <si>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</si>
  <si>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</si>
  <si>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</si>
  <si>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</si>
  <si>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</si>
  <si>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</si>
  <si>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</si>
  <si>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</si>
  <si>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</si>
  <si>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</si>
  <si>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</si>
  <si>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</si>
  <si>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</si>
  <si>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</si>
  <si>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</si>
  <si>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</si>
  <si>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</si>
  <si>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</si>
  <si>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</si>
  <si>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</si>
  <si>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</si>
  <si>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</si>
  <si>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</si>
  <si>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</si>
  <si>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</si>
  <si>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</si>
  <si>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</si>
  <si>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</si>
  <si>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</si>
  <si>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</si>
  <si>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</si>
  <si>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</si>
  <si>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</si>
  <si>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</si>
  <si>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</si>
  <si>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</si>
  <si>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</si>
  <si>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</si>
  <si>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</si>
  <si>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</si>
  <si>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</si>
  <si>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</si>
  <si>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</si>
  <si>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</si>
  <si>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</si>
  <si>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</si>
  <si>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</si>
  <si>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</si>
  <si>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</si>
  <si>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</si>
  <si>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</si>
  <si>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</si>
  <si>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</si>
  <si>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</si>
  <si>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</si>
  <si>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</si>
  <si>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</si>
  <si>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</si>
  <si>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</si>
  <si>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</si>
  <si>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</si>
  <si>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</si>
  <si>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</si>
  <si>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</si>
  <si>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</si>
  <si>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</si>
  <si>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</si>
  <si>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</si>
  <si>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</si>
  <si>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</si>
  <si>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</si>
  <si>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</si>
  <si>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</si>
  <si>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</si>
  <si>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</si>
  <si>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</si>
  <si>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</si>
  <si>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</si>
  <si>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</si>
  <si>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</si>
  <si>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</si>
  <si>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</si>
  <si>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</si>
  <si>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</si>
  <si>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</si>
  <si>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</si>
  <si>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</si>
  <si>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</si>
  <si>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</si>
  <si>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</si>
  <si>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</si>
  <si>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</si>
  <si>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</si>
  <si>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</si>
  <si>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</si>
  <si>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</si>
  <si>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</si>
  <si>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</si>
  <si>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</si>
  <si>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</si>
  <si>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</si>
  <si>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</si>
  <si>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</si>
  <si>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</si>
  <si>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</si>
  <si>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</si>
  <si>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</si>
  <si>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</si>
  <si>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</si>
  <si>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</si>
  <si>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</si>
  <si>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</si>
  <si>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</si>
  <si>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</si>
  <si>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</si>
  <si>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</si>
  <si>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</si>
  <si>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</si>
  <si>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</si>
  <si>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</si>
  <si>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</si>
  <si>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</si>
  <si>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</si>
  <si>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</si>
  <si>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</si>
  <si>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</si>
  <si>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</si>
  <si>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</si>
  <si>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</si>
  <si>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</si>
  <si>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</si>
  <si>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</si>
  <si>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</si>
  <si>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</si>
  <si>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</si>
  <si>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</si>
  <si>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</si>
  <si>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</si>
  <si>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</si>
  <si>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</si>
  <si>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</si>
  <si>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</si>
  <si>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</si>
  <si>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</si>
  <si>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</si>
  <si>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</si>
  <si>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</si>
  <si>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</si>
  <si>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</si>
  <si>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</si>
  <si>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</si>
  <si>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</si>
  <si>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</si>
  <si>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</si>
  <si>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</si>
  <si>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</si>
  <si>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</si>
  <si>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</si>
  <si>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</si>
  <si>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</si>
  <si>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</si>
  <si>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</si>
  <si>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</si>
  <si>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</si>
  <si>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</si>
  <si>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</si>
  <si>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</si>
  <si>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</si>
  <si>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</si>
  <si>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</si>
  <si>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</si>
  <si>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</si>
  <si>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</si>
  <si>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</si>
  <si>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</si>
  <si>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</si>
  <si>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</si>
  <si>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</si>
  <si>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</si>
  <si>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</si>
  <si>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</si>
  <si>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</si>
  <si>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</si>
  <si>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</si>
  <si>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</si>
  <si>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</si>
  <si>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</si>
  <si>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</si>
  <si>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</si>
  <si>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</si>
  <si>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</si>
  <si>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</si>
  <si>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</si>
  <si>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</si>
  <si>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</si>
  <si>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</si>
  <si>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</si>
  <si>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</si>
  <si>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</si>
  <si>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</si>
  <si>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</si>
  <si>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</si>
  <si>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</si>
  <si>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</si>
  <si>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</si>
  <si>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</si>
  <si>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</si>
  <si>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</si>
  <si>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</si>
  <si>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</si>
  <si>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</si>
  <si>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</si>
  <si>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</si>
  <si>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</si>
  <si>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</si>
  <si>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</si>
  <si>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</si>
  <si>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</si>
  <si>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</si>
  <si>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</si>
  <si>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</si>
  <si>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</si>
  <si>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</si>
  <si>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</si>
  <si>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</si>
  <si>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</si>
  <si>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</si>
  <si>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</si>
  <si>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</si>
  <si>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</si>
  <si>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</si>
  <si>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</si>
  <si>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</si>
  <si>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</si>
  <si>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</si>
  <si>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</si>
  <si>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</si>
  <si>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</si>
  <si>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</si>
  <si>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</si>
  <si>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</si>
  <si>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</si>
  <si>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</si>
  <si>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</si>
  <si>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</si>
  <si>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</si>
  <si>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</si>
  <si>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</si>
  <si>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</si>
  <si>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</si>
  <si>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</si>
  <si>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</si>
  <si>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</si>
  <si>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</si>
  <si>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</si>
  <si>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</si>
  <si>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</si>
  <si>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</si>
  <si>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</si>
  <si>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</si>
  <si>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</si>
  <si>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</si>
  <si>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</si>
  <si>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</si>
  <si>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</si>
  <si>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</si>
  <si>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</si>
  <si>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</si>
  <si>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</si>
  <si>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</si>
  <si>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</si>
  <si>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</si>
  <si>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</si>
  <si>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</si>
  <si>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</si>
  <si>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</si>
  <si>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</si>
  <si>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</si>
  <si>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</si>
  <si>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</si>
  <si>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</si>
  <si>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</si>
  <si>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</si>
  <si>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</si>
  <si>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</si>
  <si>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</si>
  <si>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</si>
  <si>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</si>
  <si>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</si>
  <si>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</si>
  <si>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</si>
  <si>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</si>
  <si>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</si>
  <si>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</si>
  <si>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</si>
  <si>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</si>
  <si>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</si>
  <si>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</si>
  <si>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</si>
  <si>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</si>
  <si>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</si>
  <si>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</si>
  <si>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</si>
  <si>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</si>
  <si>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</si>
  <si>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</si>
  <si>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</si>
  <si>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</si>
  <si>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</si>
  <si>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</si>
  <si>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</si>
  <si>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</si>
  <si>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</si>
  <si>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</si>
  <si>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</si>
  <si>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</si>
  <si>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</si>
  <si>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</si>
  <si>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</si>
  <si>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</si>
  <si>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</si>
  <si>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</si>
  <si>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</si>
  <si>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</si>
  <si>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</si>
  <si>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</si>
  <si>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</si>
  <si>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</si>
  <si>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</si>
  <si>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</si>
  <si>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</si>
  <si>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</si>
  <si>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</si>
  <si>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</si>
  <si>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</si>
  <si>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</si>
  <si>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</si>
  <si>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</si>
  <si>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</si>
  <si>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</si>
  <si>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</si>
  <si>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</si>
  <si>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</si>
  <si>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</si>
  <si>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</si>
  <si>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</si>
  <si>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</si>
  <si>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</si>
  <si>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</si>
  <si>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</si>
  <si>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</si>
  <si>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</si>
  <si>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</si>
  <si>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</si>
  <si>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</si>
  <si>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</si>
  <si>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</si>
  <si>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</si>
  <si>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</si>
  <si>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</si>
  <si>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</si>
  <si>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</si>
  <si>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</si>
  <si>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</si>
  <si>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</si>
  <si>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</si>
  <si>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</si>
  <si>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</si>
  <si>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</si>
  <si>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</si>
  <si>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</si>
  <si>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</si>
  <si>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</si>
  <si>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</si>
  <si>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</si>
  <si>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</si>
  <si>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</si>
  <si>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</si>
  <si>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</si>
  <si>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</si>
  <si>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</si>
  <si>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</si>
  <si>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</si>
  <si>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</si>
  <si>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</si>
  <si>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</si>
  <si>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</si>
  <si>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</si>
  <si>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</si>
  <si>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</si>
  <si>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</si>
  <si>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</si>
  <si>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</si>
  <si>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</si>
  <si>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</si>
  <si>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</si>
  <si>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</si>
  <si>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</si>
  <si>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</si>
  <si>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</si>
  <si>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</si>
  <si>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</si>
  <si>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</si>
  <si>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</si>
  <si>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</si>
  <si>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</si>
  <si>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</si>
  <si>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</si>
  <si>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</si>
  <si>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</si>
  <si>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</si>
  <si>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</si>
  <si>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</si>
  <si>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</si>
  <si>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</si>
  <si>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</si>
  <si>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</si>
  <si>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</si>
  <si>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</si>
  <si>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</si>
  <si>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</si>
  <si>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</si>
  <si>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</si>
  <si>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</si>
  <si>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</si>
  <si>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</si>
  <si>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</si>
  <si>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</si>
  <si>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</si>
  <si>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</si>
  <si>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</si>
  <si>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</si>
  <si>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</si>
  <si>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</si>
  <si>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</si>
  <si>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</si>
  <si>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</si>
  <si>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</si>
  <si>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</si>
  <si>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</si>
  <si>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</si>
  <si>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</si>
  <si>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</si>
  <si>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</si>
  <si>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</si>
  <si>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</si>
  <si>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</si>
  <si>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</si>
  <si>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</si>
  <si>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</si>
  <si>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</si>
  <si>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</si>
  <si>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</si>
  <si>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</si>
  <si>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</si>
  <si>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</si>
  <si>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</si>
  <si>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</si>
  <si>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</si>
  <si>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</si>
  <si>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</si>
  <si>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</si>
  <si>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</si>
  <si>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</si>
  <si>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</si>
  <si>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</si>
  <si>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</si>
  <si>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</si>
  <si>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</si>
  <si>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</si>
  <si>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</si>
  <si>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</si>
  <si>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</si>
  <si>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</si>
  <si>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</si>
  <si>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</si>
  <si>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</si>
  <si>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</si>
  <si>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</si>
  <si>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</si>
  <si>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</si>
  <si>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</si>
  <si>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</si>
  <si>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</si>
  <si>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</si>
  <si>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</si>
  <si>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</si>
  <si>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</si>
  <si>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</si>
  <si>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</si>
  <si>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</si>
  <si>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</si>
  <si>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</si>
  <si>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</si>
  <si>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</si>
  <si>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</si>
  <si>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</si>
  <si>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</si>
  <si>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</si>
  <si>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</si>
  <si>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</si>
  <si>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</si>
  <si>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</si>
  <si>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</si>
  <si>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</si>
  <si>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</si>
  <si>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</si>
  <si>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</si>
  <si>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</si>
  <si>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</si>
  <si>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</si>
  <si>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</si>
  <si>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</si>
  <si>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</si>
  <si>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</si>
  <si>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</si>
  <si>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</si>
  <si>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</si>
  <si>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</si>
  <si>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</si>
  <si>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</si>
  <si>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</si>
  <si>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</si>
  <si>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</si>
  <si>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</si>
  <si>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</si>
  <si>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</si>
  <si>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</si>
  <si>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</si>
  <si>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</si>
  <si>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</si>
  <si>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</si>
  <si>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</si>
  <si>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</si>
  <si>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</si>
  <si>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</si>
  <si>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</si>
  <si>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</si>
  <si>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</si>
  <si>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</si>
  <si>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</si>
  <si>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</si>
  <si>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</si>
  <si>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</si>
  <si>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</si>
  <si>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</si>
  <si>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</si>
  <si>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</si>
  <si>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</si>
  <si>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</si>
  <si>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</si>
  <si>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</si>
  <si>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</si>
  <si>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</si>
  <si>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</si>
  <si>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</si>
  <si>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</si>
  <si>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</si>
  <si>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</si>
  <si>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</si>
  <si>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</si>
  <si>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</si>
  <si>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</si>
  <si>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</si>
  <si>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</si>
  <si>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</si>
  <si>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</si>
  <si>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</si>
  <si>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</si>
  <si>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</si>
  <si>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</si>
  <si>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</si>
  <si>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</si>
  <si>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</si>
  <si>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</si>
  <si>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</si>
  <si>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</si>
  <si>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</si>
  <si>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</si>
  <si>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</si>
  <si>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</si>
  <si>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</si>
  <si>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</si>
  <si>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</si>
  <si>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</si>
  <si>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</si>
  <si>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</si>
  <si>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</si>
  <si>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</si>
  <si>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</si>
  <si>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</si>
  <si>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</si>
  <si>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</si>
  <si>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</si>
  <si>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</si>
  <si>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</si>
  <si>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</si>
  <si>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</si>
  <si>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</si>
  <si>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</si>
  <si>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</si>
  <si>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</si>
  <si>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</si>
  <si>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</si>
  <si>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</si>
  <si>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</si>
  <si>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</si>
  <si>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</si>
  <si>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</si>
  <si>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</si>
  <si>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</si>
  <si>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</si>
  <si>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</si>
  <si>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</si>
  <si>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</si>
  <si>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</si>
  <si>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</si>
  <si>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</si>
  <si>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</si>
  <si>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</si>
  <si>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</si>
  <si>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</si>
  <si>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</si>
  <si>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</si>
  <si>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</si>
  <si>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</si>
  <si>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</si>
  <si>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</si>
  <si>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</si>
  <si>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</si>
  <si>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</si>
  <si>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</si>
  <si>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</si>
  <si>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</si>
  <si>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</si>
  <si>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</si>
  <si>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</si>
  <si>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</si>
  <si>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</si>
  <si>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</si>
  <si>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</si>
  <si>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</si>
  <si>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</si>
  <si>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</si>
  <si>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</si>
  <si>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</si>
  <si>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</si>
  <si>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</si>
  <si>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</si>
  <si>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</si>
  <si>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</si>
  <si>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</si>
  <si>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</si>
  <si>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</si>
  <si>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</si>
  <si>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</si>
  <si>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</si>
  <si>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</si>
  <si>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</si>
  <si>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</si>
  <si>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</si>
  <si>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</si>
  <si>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</si>
  <si>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</si>
  <si>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</si>
  <si>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</si>
  <si>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</si>
  <si>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</si>
  <si>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</si>
  <si>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</si>
  <si>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</si>
  <si>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</si>
  <si>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</si>
  <si>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</si>
  <si>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</si>
  <si>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</si>
  <si>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</si>
  <si>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</si>
  <si>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</si>
  <si>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</si>
  <si>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</si>
  <si>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</si>
  <si>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</si>
  <si>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</si>
  <si>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</si>
  <si>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</si>
  <si>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</si>
  <si>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</si>
  <si>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</si>
  <si>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</si>
  <si>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</si>
  <si>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</si>
  <si>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</si>
  <si>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</si>
  <si>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</si>
  <si>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</si>
  <si>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</si>
  <si>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</si>
  <si>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</si>
  <si>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</si>
  <si>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</si>
  <si>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</si>
  <si>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</si>
  <si>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</si>
  <si>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</si>
  <si>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</si>
  <si>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</si>
  <si>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</si>
  <si>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</si>
  <si>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</si>
  <si>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</si>
  <si>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</si>
  <si>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</si>
  <si>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</si>
  <si>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</si>
  <si>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</si>
  <si>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</si>
  <si>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</si>
  <si>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</si>
  <si>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</si>
  <si>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</si>
  <si>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</si>
  <si>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</si>
  <si>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</si>
  <si>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</si>
  <si>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</si>
  <si>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</si>
  <si>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</si>
  <si>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</si>
  <si>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</si>
  <si>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</si>
  <si>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</si>
  <si>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</si>
  <si>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</si>
  <si>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</si>
  <si>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</si>
  <si>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</si>
  <si>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</si>
  <si>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</si>
  <si>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</si>
  <si>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</si>
  <si>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</si>
  <si>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</si>
  <si>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</si>
  <si>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</si>
  <si>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</si>
  <si>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</si>
  <si>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</si>
  <si>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</si>
  <si>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</si>
  <si>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</si>
  <si>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</si>
  <si>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</si>
  <si>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</si>
  <si>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</si>
  <si>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</si>
  <si>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</si>
  <si>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</si>
  <si>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</si>
  <si>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</si>
  <si>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</si>
  <si>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</si>
  <si>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</si>
  <si>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</si>
  <si>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</si>
  <si>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</si>
  <si>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</si>
  <si>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</si>
  <si>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</si>
  <si>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</si>
  <si>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</si>
  <si>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</si>
  <si>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</si>
  <si>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</si>
  <si>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</si>
  <si>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</si>
  <si>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</si>
  <si>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</si>
  <si>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</si>
  <si>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</si>
  <si>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</si>
  <si>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</si>
  <si>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</si>
  <si>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</si>
  <si>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</si>
  <si>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</si>
  <si>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</si>
  <si>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</si>
  <si>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</si>
  <si>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</si>
  <si>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</si>
  <si>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</si>
  <si>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</si>
  <si>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</si>
  <si>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</si>
  <si>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</si>
  <si>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</si>
  <si>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</si>
  <si>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</si>
  <si>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</si>
  <si>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</si>
  <si>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</si>
  <si>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</si>
  <si>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</si>
  <si>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</si>
  <si>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</si>
  <si>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</si>
  <si>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</si>
  <si>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</si>
  <si>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</si>
  <si>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</si>
  <si>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</si>
  <si>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</si>
  <si>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</si>
  <si>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</si>
  <si>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</si>
  <si>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</si>
  <si>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</si>
  <si>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</si>
  <si>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</si>
  <si>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</si>
  <si>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</si>
  <si>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</si>
  <si>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</si>
  <si>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</si>
  <si>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</si>
  <si>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</si>
  <si>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</si>
  <si>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</si>
  <si>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</si>
  <si>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</si>
  <si>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</si>
  <si>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</si>
  <si>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</si>
  <si>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</si>
  <si>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</si>
  <si>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</si>
  <si>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</si>
  <si>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</si>
  <si>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</si>
  <si>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</si>
  <si>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</si>
  <si>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</si>
  <si>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</si>
  <si>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</si>
  <si>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</si>
  <si>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</si>
  <si>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</si>
  <si>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</si>
  <si>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</si>
  <si>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</si>
  <si>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</si>
  <si>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</si>
  <si>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</si>
  <si>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</si>
  <si>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</si>
  <si>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</si>
  <si>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</si>
  <si>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</si>
  <si>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</si>
  <si>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</si>
  <si>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</si>
  <si>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</si>
  <si>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</si>
  <si>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</si>
  <si>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</si>
  <si>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</si>
  <si>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</si>
  <si>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</si>
  <si>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</si>
  <si>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</si>
  <si>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</si>
  <si>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</si>
  <si>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</si>
  <si>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</si>
  <si>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</si>
  <si>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</si>
  <si>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</si>
  <si>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</si>
  <si>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</si>
  <si>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</si>
  <si>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</si>
  <si>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</si>
  <si>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</si>
  <si>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</si>
  <si>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</si>
  <si>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</si>
  <si>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</si>
  <si>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</si>
  <si>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</si>
  <si>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</si>
  <si>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</si>
  <si>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</si>
  <si>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</si>
  <si>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</si>
  <si>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</si>
  <si>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</si>
  <si>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</si>
  <si>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</si>
  <si>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</si>
  <si>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</si>
  <si>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</si>
  <si>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</si>
  <si>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</si>
  <si>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</si>
  <si>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</si>
  <si>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</si>
  <si>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</si>
  <si>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</si>
  <si>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</si>
  <si>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</si>
  <si>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</si>
  <si>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</si>
  <si>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</si>
  <si>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</si>
  <si>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</si>
  <si>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</si>
  <si>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</si>
  <si>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</si>
  <si>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</si>
  <si>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</si>
  <si>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</si>
  <si>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</si>
  <si>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</si>
  <si>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</si>
  <si>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</si>
  <si>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</si>
  <si>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</si>
  <si>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</si>
  <si>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</si>
  <si>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</si>
  <si>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</si>
  <si>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</si>
  <si>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</si>
  <si>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</si>
  <si>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</si>
  <si>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</si>
  <si>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</si>
  <si>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</si>
  <si>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</si>
  <si>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</si>
  <si>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</si>
  <si>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</si>
  <si>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</si>
  <si>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</si>
  <si>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</si>
  <si>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</si>
  <si>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</si>
  <si>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</si>
  <si>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</si>
  <si>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</si>
  <si>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</si>
  <si>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</si>
  <si>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</si>
  <si>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</si>
  <si>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</si>
  <si>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</si>
  <si>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</si>
  <si>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</si>
  <si>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</si>
  <si>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</si>
  <si>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</si>
  <si>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</si>
  <si>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</si>
  <si>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</si>
  <si>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</si>
  <si>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</si>
  <si>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</si>
  <si>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</si>
  <si>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</si>
  <si>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</si>
  <si>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</si>
  <si>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</si>
  <si>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</si>
  <si>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</si>
  <si>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</si>
  <si>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</si>
  <si>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</si>
  <si>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</si>
  <si>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</si>
  <si>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</si>
  <si>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</si>
  <si>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</si>
  <si>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</si>
  <si>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</si>
  <si>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</si>
  <si>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</si>
  <si>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</si>
  <si>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</si>
  <si>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</si>
  <si>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</si>
  <si>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</si>
  <si>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</si>
  <si>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</si>
  <si>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</si>
  <si>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</si>
  <si>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</si>
  <si>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</si>
  <si>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</si>
  <si>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</si>
  <si>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</si>
  <si>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</si>
  <si>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</si>
  <si>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</si>
  <si>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</si>
  <si>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</si>
  <si>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</si>
  <si>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</si>
  <si>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</si>
  <si>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</si>
  <si>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</si>
  <si>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</si>
  <si>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</si>
  <si>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</si>
  <si>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</si>
  <si>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</si>
  <si>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</si>
  <si>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</si>
  <si>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</si>
  <si>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</si>
  <si>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</si>
  <si>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</si>
  <si>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</si>
  <si>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</si>
  <si>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</si>
  <si>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</si>
  <si>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</si>
  <si>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</si>
  <si>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</si>
  <si>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</si>
  <si>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</si>
  <si>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</si>
  <si>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</si>
  <si>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</si>
  <si>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</si>
  <si>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</si>
  <si>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</si>
  <si>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</si>
  <si>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</si>
  <si>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</si>
  <si>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</si>
  <si>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</si>
  <si>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</si>
  <si>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</si>
  <si>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</si>
  <si>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</si>
  <si>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</si>
  <si>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</si>
  <si>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</si>
  <si>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</si>
  <si>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</si>
  <si>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</si>
  <si>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</si>
  <si>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</si>
  <si>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</si>
  <si>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</si>
  <si>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</si>
  <si>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</si>
  <si>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</si>
  <si>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</si>
  <si>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</si>
  <si>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</si>
  <si>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</si>
  <si>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</si>
  <si>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</si>
  <si>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</si>
  <si>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</si>
  <si>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</si>
  <si>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</si>
  <si>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</si>
  <si>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</si>
  <si>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</si>
  <si>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</si>
  <si>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</si>
  <si>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</si>
  <si>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</si>
  <si>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</si>
  <si>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</si>
  <si>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</si>
  <si>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</si>
  <si>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</si>
  <si>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</si>
  <si>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</si>
  <si>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</si>
  <si>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</si>
  <si>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</si>
  <si>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</si>
  <si>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</si>
  <si>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</si>
  <si>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</si>
  <si>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</si>
  <si>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</si>
  <si>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</si>
  <si>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</si>
  <si>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</si>
  <si>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</si>
  <si>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</si>
  <si>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</si>
  <si>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</si>
  <si>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</si>
  <si>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</si>
  <si>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</si>
  <si>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</si>
  <si>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</si>
  <si>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</si>
  <si>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</si>
  <si>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</si>
  <si>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</si>
  <si>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</si>
  <si>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</si>
  <si>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</si>
  <si>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</si>
  <si>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</si>
  <si>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</si>
  <si>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</si>
  <si>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</si>
  <si>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</si>
  <si>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</si>
  <si>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</si>
  <si>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</si>
  <si>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</si>
  <si>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</si>
  <si>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</si>
  <si>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</si>
  <si>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</si>
  <si>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</si>
  <si>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</si>
  <si>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</si>
  <si>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</si>
  <si>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</si>
  <si>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</si>
  <si>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</si>
  <si>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</si>
  <si>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</si>
  <si>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</si>
  <si>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</si>
  <si>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</si>
  <si>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</si>
  <si>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</si>
  <si>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</si>
  <si>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</si>
  <si>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</si>
  <si>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</si>
  <si>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</si>
  <si>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</si>
  <si>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</si>
  <si>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</si>
  <si>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</si>
  <si>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</si>
  <si>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</si>
  <si>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</si>
  <si>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</si>
  <si>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</si>
  <si>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</si>
  <si>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</si>
  <si>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</si>
  <si>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</si>
  <si>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</si>
  <si>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</si>
  <si>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</si>
  <si>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</si>
  <si>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</si>
  <si>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</si>
  <si>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</si>
  <si>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</si>
  <si>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</si>
  <si>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</si>
  <si>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</si>
  <si>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</si>
  <si>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</si>
  <si>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</si>
  <si>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</si>
  <si>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</si>
  <si>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</si>
  <si>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</si>
  <si>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</si>
  <si>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</si>
  <si>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</si>
  <si>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</si>
  <si>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</si>
  <si>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</si>
  <si>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</si>
  <si>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</si>
  <si>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</si>
  <si>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</si>
  <si>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</si>
  <si>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</si>
  <si>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</si>
  <si>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</si>
  <si>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</si>
  <si>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</si>
  <si>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</si>
  <si>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</si>
  <si>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</si>
  <si>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</si>
  <si>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</si>
  <si>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</si>
  <si>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</si>
  <si>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</si>
  <si>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</si>
  <si>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</si>
  <si>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</si>
  <si>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</si>
  <si>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</si>
  <si>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</si>
  <si>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</si>
  <si>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</si>
  <si>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</si>
  <si>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</si>
  <si>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</si>
  <si>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</si>
  <si>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</si>
  <si>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</si>
  <si>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</si>
  <si>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</si>
  <si>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</si>
  <si>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</si>
  <si>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</si>
  <si>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</si>
  <si>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</si>
  <si>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</si>
  <si>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</si>
  <si>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</si>
  <si>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</si>
  <si>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</si>
  <si>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</si>
  <si>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</si>
  <si>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</si>
  <si>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</si>
  <si>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</si>
  <si>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</si>
  <si>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</si>
  <si>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</si>
  <si>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</si>
  <si>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</si>
  <si>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</si>
  <si>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</si>
  <si>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</si>
  <si>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</si>
  <si>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</si>
  <si>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</si>
  <si>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</si>
  <si>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</si>
  <si>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</si>
  <si>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</si>
  <si>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</si>
  <si>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</si>
  <si>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</si>
  <si>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</si>
  <si>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</si>
  <si>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</si>
  <si>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</si>
  <si>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</si>
  <si>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</si>
  <si>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</si>
  <si>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</si>
  <si>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</si>
  <si>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</si>
  <si>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</si>
  <si>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</si>
  <si>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</si>
  <si>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</si>
  <si>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</si>
  <si>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</si>
  <si>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</si>
  <si>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</si>
  <si>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</si>
  <si>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</si>
  <si>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</si>
  <si>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</si>
  <si>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</si>
  <si>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</si>
  <si>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</si>
  <si>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</si>
  <si>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</si>
  <si>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</si>
  <si>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</si>
  <si>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</si>
  <si>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</si>
  <si>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</si>
  <si>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</si>
  <si>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</si>
  <si>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</si>
  <si>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</si>
  <si>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</si>
  <si>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</si>
  <si>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</si>
  <si>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</si>
  <si>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</si>
  <si>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</si>
  <si>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</si>
  <si>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</si>
  <si>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</si>
  <si>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</si>
  <si>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</si>
  <si>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</si>
  <si>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</si>
  <si>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</si>
  <si>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</si>
  <si>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</si>
  <si>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</si>
  <si>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</si>
  <si>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</si>
  <si>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</si>
  <si>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</si>
  <si>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</si>
  <si>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</si>
  <si>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</si>
  <si>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</si>
  <si>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</si>
  <si>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</si>
  <si>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</si>
  <si>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</si>
  <si>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</si>
  <si>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</si>
  <si>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</si>
  <si>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</si>
  <si>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</si>
  <si>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</si>
  <si>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</si>
  <si>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</si>
  <si>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</si>
  <si>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</si>
  <si>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</si>
  <si>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</si>
  <si>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</si>
  <si>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</si>
  <si>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</si>
  <si>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</si>
  <si>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</si>
  <si>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</si>
  <si>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</si>
  <si>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</si>
  <si>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</si>
  <si>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</si>
  <si>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</si>
  <si>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</si>
  <si>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</si>
  <si>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</si>
  <si>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</si>
  <si>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</si>
  <si>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</si>
  <si>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</si>
  <si>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</si>
  <si>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</si>
  <si>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</si>
  <si>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</si>
  <si>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</si>
  <si>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</si>
  <si>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</si>
  <si>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</si>
  <si>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</si>
  <si>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</si>
  <si>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</si>
  <si>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</si>
  <si>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</si>
  <si>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</si>
  <si>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</si>
  <si>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</si>
  <si>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</si>
  <si>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</si>
  <si>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</si>
  <si>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</si>
  <si>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</si>
  <si>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</si>
  <si>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</si>
  <si>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</si>
  <si>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</si>
  <si>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</si>
  <si>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</si>
  <si>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</si>
  <si>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</si>
  <si>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</si>
  <si>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</si>
  <si>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</si>
  <si>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</si>
  <si>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</si>
  <si>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</si>
  <si>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</si>
  <si>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</si>
  <si>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</si>
  <si>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</si>
  <si>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</si>
  <si>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</si>
  <si>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</si>
  <si>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</si>
  <si>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</si>
  <si>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</si>
  <si>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</si>
  <si>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</si>
  <si>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</si>
  <si>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</si>
  <si>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</si>
  <si>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</si>
  <si>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</si>
  <si>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</si>
  <si>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</si>
  <si>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</si>
  <si>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</si>
  <si>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</si>
  <si>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</si>
  <si>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</si>
  <si>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</si>
  <si>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</si>
  <si>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</si>
  <si>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</si>
  <si>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</si>
  <si>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</si>
  <si>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</si>
  <si>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</si>
  <si>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</si>
  <si>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</si>
  <si>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</si>
  <si>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</si>
  <si>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</si>
  <si>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</si>
  <si>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</si>
  <si>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</si>
  <si>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</si>
  <si>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</si>
  <si>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</si>
  <si>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</si>
  <si>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</si>
  <si>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</si>
  <si>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</si>
  <si>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</si>
  <si>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</si>
  <si>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</si>
  <si>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</si>
  <si>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</si>
  <si>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</si>
  <si>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</si>
  <si>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</si>
  <si>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</si>
  <si>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</si>
  <si>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</si>
  <si>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</si>
  <si>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</si>
  <si>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</si>
  <si>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</si>
  <si>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</si>
  <si>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</si>
  <si>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</si>
  <si>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</si>
  <si>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</si>
  <si>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</si>
  <si>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</si>
  <si>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</si>
  <si>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</si>
  <si>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</si>
  <si>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</si>
  <si>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</si>
  <si>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</si>
  <si>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</si>
  <si>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</si>
  <si>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</si>
  <si>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</si>
  <si>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</si>
  <si>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</si>
  <si>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</si>
  <si>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</si>
  <si>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</si>
  <si>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</si>
  <si>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</si>
  <si>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</si>
  <si>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</si>
  <si>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</si>
  <si>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</si>
  <si>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</si>
  <si>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</si>
  <si>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</si>
  <si>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</si>
  <si>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</si>
  <si>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</si>
  <si>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</si>
  <si>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</si>
  <si>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</si>
  <si>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</si>
  <si>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</si>
  <si>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</si>
  <si>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</si>
  <si>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</si>
  <si>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</si>
  <si>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</si>
  <si>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</si>
  <si>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</si>
  <si>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</si>
  <si>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</si>
  <si>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</si>
  <si>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</si>
  <si>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</si>
  <si>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</si>
  <si>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</si>
  <si>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</si>
  <si>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</si>
  <si>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</si>
  <si>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</si>
  <si>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</si>
  <si>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</si>
  <si>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</si>
  <si>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</si>
  <si>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</si>
  <si>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</si>
  <si>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</si>
  <si>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</si>
  <si>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</si>
  <si>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</si>
  <si>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</si>
  <si>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</si>
  <si>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</si>
  <si>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</si>
  <si>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</si>
  <si>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</si>
  <si>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</si>
  <si>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</si>
  <si>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</si>
  <si>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</si>
  <si>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</si>
  <si>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</si>
  <si>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</si>
  <si>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</si>
  <si>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</si>
  <si>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</si>
  <si>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</si>
  <si>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</si>
  <si>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</si>
  <si>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</si>
  <si>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</si>
  <si>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</si>
  <si>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</si>
  <si>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</si>
  <si>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</si>
  <si>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</si>
  <si>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</si>
  <si>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</si>
  <si>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</si>
  <si>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</si>
  <si>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</si>
  <si>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</si>
  <si>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</si>
  <si>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</si>
  <si>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</si>
  <si>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</si>
  <si>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</si>
  <si>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</si>
  <si>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</si>
  <si>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</si>
  <si>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</si>
  <si>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</si>
  <si>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</si>
  <si>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</si>
  <si>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</si>
  <si>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</si>
  <si>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</si>
  <si>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</si>
  <si>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</si>
  <si>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</si>
  <si>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</si>
  <si>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</si>
  <si>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</si>
  <si>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</si>
  <si>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</si>
  <si>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</si>
  <si>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</si>
  <si>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</si>
  <si>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</si>
  <si>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</si>
  <si>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</si>
  <si>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</si>
  <si>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</si>
  <si>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</si>
  <si>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</si>
  <si>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</si>
  <si>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</si>
  <si>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</si>
  <si>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</si>
  <si>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</si>
  <si>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</si>
  <si>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</si>
  <si>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</si>
  <si>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</si>
  <si>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</si>
  <si>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</si>
  <si>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</si>
  <si>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</si>
  <si>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</si>
  <si>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</si>
  <si>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</si>
  <si>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</si>
  <si>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</si>
  <si>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</si>
  <si>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</si>
  <si>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</si>
  <si>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</si>
  <si>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</si>
  <si>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</si>
  <si>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</si>
  <si>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</si>
  <si>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</si>
  <si>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</si>
  <si>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</si>
  <si>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</si>
  <si>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</si>
  <si>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</si>
  <si>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</si>
  <si>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</si>
  <si>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</si>
  <si>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</si>
  <si>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</si>
  <si>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</si>
  <si>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</si>
  <si>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</si>
  <si>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</si>
  <si>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</si>
  <si>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</si>
  <si>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</si>
  <si>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</si>
  <si>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</si>
  <si>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</si>
  <si>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</si>
  <si>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</si>
  <si>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</si>
  <si>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</si>
  <si>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</si>
  <si>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</si>
  <si>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</si>
  <si>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</si>
  <si>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</si>
  <si>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</si>
  <si>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</si>
  <si>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</si>
  <si>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</si>
  <si>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</si>
  <si>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</si>
  <si>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</si>
  <si>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</si>
  <si>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</si>
  <si>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</si>
  <si>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</si>
  <si>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</si>
  <si>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</si>
  <si>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</si>
  <si>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</si>
  <si>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</si>
  <si>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</si>
  <si>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</si>
  <si>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</si>
  <si>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</si>
  <si>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</si>
  <si>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</si>
  <si>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</si>
  <si>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</si>
  <si>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</si>
  <si>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</si>
  <si>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</si>
  <si>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</si>
  <si>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</si>
  <si>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</si>
  <si>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</si>
  <si>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</si>
  <si>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</si>
  <si>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</si>
  <si>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</si>
  <si>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</si>
  <si>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</si>
  <si>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</si>
  <si>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</si>
  <si>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</si>
  <si>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</si>
  <si>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</si>
  <si>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</si>
  <si>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</si>
  <si>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</si>
  <si>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</si>
  <si>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</si>
  <si>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</si>
  <si>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</si>
  <si>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</si>
  <si>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</si>
  <si>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</si>
  <si>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</si>
  <si>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</si>
  <si>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</si>
  <si>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</si>
  <si>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</si>
  <si>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</si>
  <si>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</si>
  <si>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</si>
  <si>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</si>
  <si>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</si>
  <si>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</si>
  <si>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</si>
  <si>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</si>
  <si>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</si>
  <si>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</si>
  <si>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</si>
  <si>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</si>
  <si>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</si>
  <si>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</si>
  <si>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</si>
  <si>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</si>
  <si>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</si>
  <si>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</si>
  <si>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</si>
  <si>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</si>
  <si>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</si>
  <si>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</si>
  <si>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</si>
  <si>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</si>
  <si>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</si>
  <si>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</si>
  <si>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</si>
  <si>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</si>
  <si>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</si>
  <si>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</si>
  <si>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</si>
  <si>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</si>
  <si>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</si>
  <si>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</si>
  <si>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</si>
  <si>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</si>
  <si>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</si>
  <si>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</si>
  <si>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</si>
  <si>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</si>
  <si>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</si>
  <si>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</si>
  <si>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</si>
  <si>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</si>
  <si>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</si>
  <si>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</si>
  <si>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</si>
  <si>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</si>
  <si>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</si>
  <si>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</si>
  <si>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</si>
  <si>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</si>
  <si>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</si>
  <si>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</si>
  <si>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</si>
  <si>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</si>
  <si>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</si>
  <si>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</si>
  <si>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</si>
  <si>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</si>
  <si>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</si>
  <si>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</si>
  <si>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</si>
  <si>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</si>
  <si>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</si>
  <si>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</si>
  <si>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</si>
  <si>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</si>
  <si>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</si>
  <si>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</si>
  <si>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</si>
  <si>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</si>
  <si>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</si>
  <si>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</si>
  <si>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</si>
  <si>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</si>
  <si>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</si>
  <si>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</si>
  <si>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</si>
  <si>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</si>
  <si>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</si>
  <si>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</si>
  <si>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</si>
  <si>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</si>
  <si>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</si>
  <si>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</si>
  <si>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</si>
  <si>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</si>
  <si>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</si>
  <si>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</si>
  <si>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</si>
  <si>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</si>
  <si>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</si>
  <si>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</si>
  <si>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</si>
  <si>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</si>
  <si>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</si>
  <si>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</si>
  <si>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</si>
  <si>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</si>
  <si>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</si>
  <si>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</si>
  <si>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</si>
  <si>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</si>
  <si>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</si>
  <si>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</si>
  <si>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</si>
  <si>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</si>
  <si>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</si>
  <si>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</si>
  <si>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</si>
  <si>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</si>
  <si>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</si>
  <si>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</si>
  <si>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</si>
  <si>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</si>
  <si>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</si>
  <si>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</si>
  <si>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</si>
  <si>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</si>
  <si>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</si>
  <si>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</si>
  <si>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</si>
  <si>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</si>
  <si>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</si>
  <si>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</si>
  <si>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</si>
  <si>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</si>
  <si>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</si>
  <si>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</si>
  <si>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</si>
  <si>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</si>
  <si>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</si>
  <si>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</si>
  <si>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</si>
  <si>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</si>
  <si>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</si>
  <si>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</si>
  <si>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</si>
  <si>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</si>
  <si>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</si>
  <si>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</si>
  <si>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</si>
  <si>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</si>
  <si>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</si>
  <si>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</si>
  <si>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</si>
  <si>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</si>
  <si>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</si>
  <si>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</si>
  <si>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</si>
  <si>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</si>
  <si>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</si>
  <si>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</si>
  <si>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</si>
  <si>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</si>
  <si>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</si>
  <si>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</si>
  <si>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</si>
  <si>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</si>
  <si>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</si>
  <si>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</si>
  <si>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</si>
  <si>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</si>
  <si>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</si>
  <si>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</si>
  <si>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</si>
  <si>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</si>
  <si>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</si>
  <si>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</si>
  <si>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</si>
  <si>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</si>
  <si>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</si>
  <si>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</si>
  <si>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</si>
  <si>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</si>
  <si>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</si>
  <si>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</si>
  <si>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</si>
  <si>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</si>
  <si>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</si>
  <si>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</si>
  <si>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</si>
  <si>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</si>
  <si>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</si>
  <si>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</si>
  <si>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</si>
  <si>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</si>
  <si>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</si>
  <si>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</si>
  <si>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</si>
  <si>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</si>
  <si>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</si>
  <si>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</si>
  <si>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</si>
  <si>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</si>
  <si>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</si>
  <si>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</si>
  <si>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</si>
  <si>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</si>
  <si>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</si>
  <si>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</si>
  <si>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</si>
  <si>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</si>
  <si>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</si>
  <si>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</si>
  <si>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</si>
  <si>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</si>
  <si>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</si>
  <si>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</si>
  <si>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</si>
  <si>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</si>
  <si>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</si>
  <si>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</si>
  <si>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</si>
  <si>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</si>
  <si>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</si>
  <si>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</si>
  <si>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</si>
  <si>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</si>
  <si>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</si>
  <si>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</si>
  <si>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</si>
  <si>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</si>
  <si>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</si>
  <si>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</si>
  <si>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</si>
  <si>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</si>
  <si>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</si>
  <si>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</si>
  <si>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</si>
  <si>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</si>
  <si>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</si>
  <si>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</si>
  <si>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</si>
  <si>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</si>
  <si>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</si>
  <si>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</si>
  <si>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</si>
  <si>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</si>
  <si>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</si>
  <si>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</si>
  <si>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</si>
  <si>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</si>
  <si>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</si>
  <si>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</si>
  <si>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</si>
  <si>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</si>
  <si>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</si>
  <si>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</si>
  <si>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</si>
  <si>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</si>
  <si>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</si>
  <si>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</si>
  <si>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</si>
  <si>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</si>
  <si>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</si>
  <si>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</si>
  <si>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</si>
  <si>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</si>
  <si>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</si>
  <si>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</si>
  <si>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</si>
  <si>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</si>
  <si>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</si>
  <si>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</si>
  <si>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</si>
  <si>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</si>
  <si>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</si>
  <si>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</si>
  <si>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</si>
  <si>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</si>
  <si>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</si>
  <si>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</si>
  <si>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</si>
  <si>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</si>
  <si>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</si>
  <si>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</si>
  <si>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</si>
  <si>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</si>
  <si>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</si>
  <si>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</si>
  <si>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</si>
  <si>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</si>
  <si>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</si>
  <si>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</si>
  <si>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</si>
  <si>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</si>
  <si>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</si>
  <si>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</si>
  <si>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</si>
  <si>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</si>
  <si>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</si>
  <si>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</si>
  <si>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</si>
  <si>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</si>
  <si>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</si>
  <si>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</si>
  <si>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</si>
  <si>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</si>
  <si>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</si>
  <si>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</si>
  <si>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</si>
  <si>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</si>
  <si>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</si>
  <si>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</si>
  <si>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</si>
  <si>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</si>
  <si>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</si>
  <si>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</si>
  <si>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</si>
  <si>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</si>
  <si>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</si>
  <si>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</si>
  <si>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</si>
  <si>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</si>
  <si>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</si>
  <si>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</si>
  <si>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</si>
  <si>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</si>
  <si>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</si>
  <si>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</si>
  <si>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</si>
  <si>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</si>
  <si>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</si>
  <si>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</si>
  <si>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</si>
  <si>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</si>
  <si>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</si>
  <si>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</si>
  <si>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</si>
  <si>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</si>
  <si>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</si>
  <si>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</si>
  <si>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</si>
  <si>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</si>
  <si>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</si>
  <si>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</si>
  <si>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</si>
  <si>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</si>
  <si>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</si>
  <si>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</si>
  <si>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</si>
  <si>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</si>
  <si>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</si>
  <si>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</si>
  <si>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</si>
  <si>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</si>
  <si>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</si>
  <si>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</si>
  <si>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</si>
  <si>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</si>
  <si>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</si>
  <si>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</si>
  <si>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</si>
  <si>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</si>
  <si>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</si>
  <si>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</si>
  <si>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</si>
  <si>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</si>
  <si>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</si>
  <si>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</si>
  <si>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</si>
  <si>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</si>
  <si>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</si>
  <si>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</si>
  <si>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</si>
  <si>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</si>
  <si>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</si>
  <si>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</si>
  <si>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</si>
  <si>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</si>
  <si>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</si>
  <si>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</si>
  <si>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</si>
  <si>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</si>
  <si>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</si>
  <si>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</si>
  <si>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</si>
  <si>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</si>
  <si>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</si>
  <si>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</si>
  <si>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</si>
  <si>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</si>
  <si>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</si>
  <si>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</si>
  <si>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</si>
  <si>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</si>
  <si>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</si>
  <si>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</si>
  <si>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</si>
  <si>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</si>
  <si>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</si>
  <si>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</si>
  <si>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t>1层</t>
  </si>
  <si>
    <t>观察</t>
    <phoneticPr fontId="3" type="noConversion"/>
  </si>
  <si>
    <t>综合</t>
    <phoneticPr fontId="3" type="noConversion"/>
  </si>
  <si>
    <t>较大</t>
  </si>
  <si>
    <t>一般</t>
    <phoneticPr fontId="30" type="noConversion"/>
  </si>
  <si>
    <t>去年</t>
    <phoneticPr fontId="8" type="noConversion"/>
  </si>
  <si>
    <t>不临街</t>
  </si>
  <si>
    <t>一般</t>
    <phoneticPr fontId="30" type="noConversion"/>
  </si>
  <si>
    <t>向阳北街4-1-25</t>
    <phoneticPr fontId="3" type="noConversion"/>
  </si>
  <si>
    <r>
      <t>1-3</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</si>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</sst>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估价对象为北京市房地产，为所有。根据《国有土地使用证》[]，估价对象（分摊）出让国有建设用地使用权面积为0平方米，建筑面积为80.12平方米。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估价对象为北京市房地产,属开发建设的，该项目尚在开发建设中。根据《国有土地使用证》[]，估价对象（分摊）出让国有建设用地使用权面积为0平方米，规划建筑面积为80.12平方米。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147</v>
      </c>
    </row>
    <row r="21" spans="1:2" s="1203" customFormat="1">
      <c r="A21" s="1201" t="s">
        <v>537</v>
      </c>
      <c r="B21" s="1202">
        <f ca="1">'预评函-2'!D7</f>
        <v>18329</v>
      </c>
    </row>
    <row r="22" spans="1:2" s="1203" customFormat="1">
      <c r="A22" s="1201" t="s">
        <v>538</v>
      </c>
      <c r="B22" s="1202" t="str">
        <f ca="1">'预评函-2'!D6</f>
        <v>壹佰肆拾柒万元整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147</v>
      </c>
    </row>
    <row r="31" spans="1:2" s="1203" customFormat="1">
      <c r="A31" s="1201" t="s">
        <v>576</v>
      </c>
      <c r="B31" s="1202">
        <f ca="1">'预评函-2'!D15</f>
        <v>18329</v>
      </c>
    </row>
    <row r="32" spans="1:2" s="1203" customFormat="1">
      <c r="A32" s="1201" t="s">
        <v>543</v>
      </c>
      <c r="B32" s="1202" t="str">
        <f ca="1">'预评函-2'!D14</f>
        <v>壹佰肆拾柒万元整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80.12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52765</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80.12</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7" sqref="A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80.12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80.12</v>
      </c>
      <c r="H5" s="13">
        <f t="shared" ref="H5:AT5" si="0">SUM(H13:H656)</f>
        <v>80.12</v>
      </c>
      <c r="I5" s="13">
        <f t="shared" si="0"/>
        <v>80.12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80.12</v>
      </c>
      <c r="BA5" s="15">
        <f t="shared" si="1"/>
        <v>80.12</v>
      </c>
      <c r="BB5" s="15">
        <f t="shared" si="1"/>
        <v>80.12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80.12</v>
      </c>
      <c r="H13" s="17">
        <f>SUMIF(I$12:AB$12,"总值",I13:AB13)</f>
        <v>80.12</v>
      </c>
      <c r="I13" s="1626">
        <v>80.12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80.12</v>
      </c>
      <c r="BA13" s="13">
        <f>SUM(BB13:BK13)</f>
        <v>80.12</v>
      </c>
      <c r="BB13" s="13">
        <f>IF($D13="是",I13-J13,0)</f>
        <v>80.12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9" sqref="E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80.12</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80.12</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80.12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80.12</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80.12</v>
      </c>
      <c r="F19" s="2794">
        <v>80.12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80.12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80.12</v>
      </c>
      <c r="F27" s="1140">
        <f>IF(SUM(F19:F26)=E8,SUM(F19:F26),"地上面积有误")</f>
        <v>80.12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80.12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80.12</v>
      </c>
      <c r="F31" s="677">
        <f>F27+F30</f>
        <v>80.12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52765</v>
      </c>
      <c r="F6" s="64">
        <f>SUMIF(项目基本情况!C$12:I$12,C6,项目基本情况!C$15:I$15)</f>
        <v>20.04</v>
      </c>
      <c r="G6" s="65">
        <f>IF(ISERROR(ROUND(POWER(1+H6,D6-F6)*(POWER(1+H6,F6)-1)/(POWER(1+H6,D6)-1),3)),0,ROUND(POWER(1+H6,D6-F6)*(POWER(1+H6,F6)-1)/(POWER(1+H6,D6)-1),3))</f>
        <v>0.746</v>
      </c>
      <c r="H6" s="732">
        <v>5.5E-2</v>
      </c>
      <c r="I6" s="732">
        <v>0.06</v>
      </c>
      <c r="J6" s="66">
        <v>7.0000000000000007E-2</v>
      </c>
      <c r="K6" s="1030">
        <f>SUMIF('数据-汇总表'!C$19:C$33,A6,'数据-汇总表'!E$19:E$33)</f>
        <v>80.12</v>
      </c>
      <c r="L6" s="733">
        <v>3000</v>
      </c>
      <c r="M6" s="67">
        <f t="shared" ref="M6:M14" si="0">ROUND(K6*L6/10000,0)</f>
        <v>24</v>
      </c>
      <c r="N6" s="731">
        <f>N20</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3.2</v>
      </c>
      <c r="V6" s="70">
        <v>2.5000000000000001E-2</v>
      </c>
      <c r="W6" s="70">
        <v>0.1</v>
      </c>
      <c r="X6" s="1040"/>
      <c r="Y6" s="71">
        <f>N6</f>
        <v>0.7</v>
      </c>
      <c r="Z6" s="72"/>
      <c r="AA6" s="66"/>
      <c r="AB6" s="66"/>
      <c r="AC6" s="1040"/>
      <c r="AD6" s="73"/>
      <c r="AE6" s="1041">
        <f ca="1">IF(AN6="",0,SUMIF(INDIRECT("'"&amp;AN6&amp;"'"&amp;"!E:E"),$AE$5,INDIRECT("'"&amp;AN6&amp;"'"&amp;"!F:F")))</f>
        <v>20.04</v>
      </c>
      <c r="AF6" s="1348"/>
      <c r="AG6" s="138">
        <f>IF(AF6="",0,AE6-AF6)</f>
        <v>0</v>
      </c>
      <c r="AH6" s="74"/>
      <c r="AI6" s="76">
        <v>365</v>
      </c>
      <c r="AJ6" s="77"/>
      <c r="AK6" s="78">
        <v>5.0000000000000001E-3</v>
      </c>
      <c r="AL6" s="79">
        <v>1E-3</v>
      </c>
      <c r="AM6" s="80">
        <v>0.01</v>
      </c>
      <c r="AN6" s="1715" t="s">
        <v>3390</v>
      </c>
      <c r="AO6" s="52">
        <f ca="1">SUMIF(INDIRECT("'"&amp;AN6&amp;"'"&amp;"!A:A"),"总价",INDIRECT("'"&amp;AN6&amp;"'"&amp;"!B:B"))</f>
        <v>109.4508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5.5E-2</v>
      </c>
      <c r="I16" s="91"/>
      <c r="J16" s="91"/>
      <c r="K16" s="92">
        <f>SUM(K6:K15)</f>
        <v>80.12</v>
      </c>
      <c r="L16" s="93">
        <f>ROUND(M16*10000/SUM(K6:K14),0)</f>
        <v>2996</v>
      </c>
      <c r="M16" s="93">
        <f>SUM(M6:M14)</f>
        <v>24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3461</v>
      </c>
      <c r="N19" s="2671">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3462</v>
      </c>
      <c r="N20" s="2671">
        <f>ROUND((N18+N19)/2,2)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80.12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147</v>
      </c>
      <c r="C5" s="2512">
        <f ca="1">IF(B5=D14,结果表!H102,ROUND(B5*10000/$B$1,0))</f>
        <v>18329</v>
      </c>
      <c r="D5" s="2512" t="e">
        <f ca="1">ROUND(B5*10000/$B$2,0)</f>
        <v>#DIV/0!</v>
      </c>
      <c r="E5" s="2686"/>
      <c r="F5" s="2687"/>
      <c r="G5" s="2687"/>
      <c r="H5" s="2688"/>
      <c r="I5" s="2688"/>
      <c r="J5" s="2688"/>
      <c r="K5" s="2688"/>
    </row>
    <row r="6" spans="1:11" ht="16.5">
      <c r="A6" s="2512" t="s">
        <v>656</v>
      </c>
      <c r="B6" s="2512">
        <f ca="1">SUM(G14:G23)</f>
        <v>147</v>
      </c>
      <c r="C6" s="2512">
        <f ca="1">IF(B6=G14,结果表!H108,ROUND(B6*10000/$B$1,0))</f>
        <v>18329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80.12</v>
      </c>
      <c r="C14" s="2518"/>
      <c r="D14" s="2518">
        <f ca="1">结果表!H118</f>
        <v>147</v>
      </c>
      <c r="E14" s="2518">
        <f ca="1">结果表!C32</f>
        <v>18329</v>
      </c>
      <c r="F14" s="2518" t="e">
        <f ca="1">ROUND(D14*10000/C14,0)</f>
        <v>#DIV/0!</v>
      </c>
      <c r="G14" s="2518">
        <f ca="1">结果表!D122</f>
        <v>147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39" sqref="H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3457</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J18" s="3464" t="s">
        <v>3465</v>
      </c>
      <c r="K18" s="302" t="s">
        <v>1289</v>
      </c>
      <c r="L18" s="302">
        <f>IF(C1="",'数据-汇总表'!E3,SUMIF(项目类型,C1,'数据-汇总表'!E17:E26)+SUMIF(项目类型,C1,'数据-汇总表'!I17:I26))</f>
        <v>80.12</v>
      </c>
      <c r="M18" s="302">
        <f>IF(C1="",'数据-汇总表'!E3,SUMIF(项目类型,C1,'数据-汇总表'!E17:E26))</f>
        <v>80.12</v>
      </c>
    </row>
    <row r="19" spans="1:36" ht="15">
      <c r="A19" s="1761" t="s">
        <v>1290</v>
      </c>
      <c r="B19" s="1762" t="s">
        <v>1291</v>
      </c>
      <c r="C19" s="134">
        <f ca="1">SUMIF(INDIRECT("'"&amp;C4&amp;"'"&amp;"!A:A"),结果表!B19,INDIRECT("'"&amp;C4&amp;"'"&amp;"!B:B"))</f>
        <v>162.8759</v>
      </c>
      <c r="D19" s="135">
        <f ca="1">SUMIF(INDIRECT("'"&amp;D4&amp;"'"&amp;"!A:A"),结果表!B19,INDIRECT("'"&amp;D4&amp;"'"&amp;"!B:B"))</f>
        <v>109.4508</v>
      </c>
      <c r="E19" s="1761" t="s">
        <v>1292</v>
      </c>
      <c r="F19" s="1762" t="s">
        <v>1291</v>
      </c>
      <c r="G19" s="136">
        <f ca="1">ROUND(C19*$C$18+D19*$D$18,0)</f>
        <v>147</v>
      </c>
      <c r="H19" s="1763" t="s">
        <v>1293</v>
      </c>
      <c r="I19" s="129"/>
      <c r="J19" s="725">
        <v>162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20329</v>
      </c>
      <c r="D20" s="138">
        <f ca="1">SUMIF(INDIRECT("'"&amp;D4&amp;"'"&amp;"!A:A"),结果表!B20,INDIRECT("'"&amp;D4&amp;"'"&amp;"!B:B"))</f>
        <v>13661</v>
      </c>
      <c r="E20" s="1764"/>
      <c r="F20" s="1026" t="s">
        <v>1295</v>
      </c>
      <c r="G20" s="139">
        <f ca="1">ROUND(C20*$C$18+D20*$D$18,0)</f>
        <v>18329</v>
      </c>
      <c r="H20" s="808" t="s">
        <v>1296</v>
      </c>
      <c r="I20" s="129"/>
      <c r="J20" s="725">
        <v>20261</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0.4881197761916769</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18329</v>
      </c>
      <c r="D32" s="1775" t="s">
        <v>3422</v>
      </c>
      <c r="E32" s="129"/>
      <c r="F32" s="129"/>
      <c r="G32" s="129"/>
      <c r="H32" s="129"/>
      <c r="I32" s="129"/>
    </row>
    <row r="33" spans="1:15" ht="15">
      <c r="A33" s="786" t="s">
        <v>1306</v>
      </c>
      <c r="B33" s="1776"/>
      <c r="C33" s="1777" t="s">
        <v>3423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147</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45449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0" t="s">
        <v>1340</v>
      </c>
      <c r="L48" s="3560"/>
      <c r="M48" s="3563">
        <f ca="1">H101</f>
        <v>147</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147</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8</v>
      </c>
      <c r="E52" s="2334" t="s">
        <v>1354</v>
      </c>
      <c r="F52" s="2554">
        <f>'数据-取费表'!B41</f>
        <v>5.5000000000000007E-2</v>
      </c>
      <c r="G52" s="2555"/>
      <c r="H52" s="2544"/>
      <c r="I52" s="1807"/>
      <c r="J52" s="2523">
        <v>1</v>
      </c>
      <c r="K52" s="3585" t="s">
        <v>1355</v>
      </c>
      <c r="L52" s="3585"/>
      <c r="M52" s="2525" t="b">
        <f>D48</f>
        <v>0</v>
      </c>
      <c r="N52" s="2523" t="str">
        <f>E48</f>
        <v>销售额×税（费）率</v>
      </c>
      <c r="O52" s="2526">
        <f>F48</f>
        <v>5.5000000000000007E-2</v>
      </c>
    </row>
    <row r="53" spans="1:35" ht="12" customHeight="1">
      <c r="A53" s="2335" t="s">
        <v>1356</v>
      </c>
      <c r="B53" s="3609" t="s">
        <v>2291</v>
      </c>
      <c r="C53" s="3610"/>
      <c r="D53" s="1087">
        <f ca="1">ROUND(D45*'数据-取费表'!B41/(1+'数据-取费表'!C42),0)</f>
        <v>8</v>
      </c>
      <c r="E53" s="2334" t="s">
        <v>1354</v>
      </c>
      <c r="F53" s="2554">
        <f>'数据-取费表'!B41</f>
        <v>5.5000000000000007E-2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8</v>
      </c>
      <c r="E54" s="327" t="s">
        <v>1359</v>
      </c>
      <c r="F54" s="2554">
        <f>'数据-取费表'!B41</f>
        <v>5.5000000000000007E-2</v>
      </c>
      <c r="G54" s="2555"/>
      <c r="H54" s="2556"/>
      <c r="I54" s="1807"/>
      <c r="J54" s="2523">
        <v>3</v>
      </c>
      <c r="K54" s="3585" t="s">
        <v>1360</v>
      </c>
      <c r="L54" s="3585"/>
      <c r="M54" s="2525">
        <f t="shared" ca="1" si="0"/>
        <v>83</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1</v>
      </c>
      <c r="N55" s="2040" t="str">
        <f>E59</f>
        <v>差额计税</v>
      </c>
      <c r="O55" s="2529">
        <f>F59</f>
        <v>0.01</v>
      </c>
    </row>
    <row r="56" spans="1:35" ht="24.75">
      <c r="A56" s="3645" t="s">
        <v>1363</v>
      </c>
      <c r="B56" s="3623"/>
      <c r="C56" s="3623"/>
      <c r="D56" s="2324">
        <f ca="1">IF(H56="个人住宅",D57,D58)</f>
        <v>83</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84</v>
      </c>
      <c r="O57" s="2533"/>
      <c r="P57" s="2690">
        <f ca="1">N57/M49</f>
        <v>0.5714285714285714</v>
      </c>
    </row>
    <row r="58" spans="1:35" ht="24.75">
      <c r="A58" s="2335" t="s">
        <v>1352</v>
      </c>
      <c r="B58" s="3609" t="s">
        <v>1369</v>
      </c>
      <c r="C58" s="3608"/>
      <c r="D58" s="2324">
        <f ca="1">IF(H58="转让取得",C81,C97)</f>
        <v>83</v>
      </c>
      <c r="E58" s="2334" t="s">
        <v>1364</v>
      </c>
      <c r="F58" s="302" t="s">
        <v>28</v>
      </c>
      <c r="G58" s="2555"/>
      <c r="H58" s="2558"/>
      <c r="I58" s="1808"/>
      <c r="J58" s="3585"/>
      <c r="K58" s="3585"/>
      <c r="L58" s="2530" t="s">
        <v>1370</v>
      </c>
      <c r="M58" s="2534"/>
      <c r="N58" s="2535" t="str">
        <f ca="1">NUMBERSTRING(INT(N57*10000),2)&amp;"元整"</f>
        <v>捌拾肆万元整</v>
      </c>
      <c r="O58" s="2536"/>
    </row>
    <row r="59" spans="1:35" ht="24.75" thickBot="1">
      <c r="A59" s="3589" t="s">
        <v>1371</v>
      </c>
      <c r="B59" s="3590"/>
      <c r="C59" s="3590"/>
      <c r="D59" s="2560">
        <f ca="1">IF(H59="非个人房产","——",IF(H59="个人住宅（满五唯一有凭证）",0,IF(H59="个人其他（无凭证）",ROUND(D45*F59,0),ROUND(C67*F59,0))))</f>
        <v>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63</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陆拾叁万元整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7863</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140</v>
      </c>
      <c r="D63" s="167"/>
      <c r="E63" s="168"/>
      <c r="F63" s="1808"/>
      <c r="G63" s="1808"/>
      <c r="H63" s="1810"/>
      <c r="I63" s="129"/>
      <c r="J63" s="3568" t="s">
        <v>1379</v>
      </c>
      <c r="K63" s="1332" t="s">
        <v>1380</v>
      </c>
      <c r="L63" s="1332">
        <f ca="1">IF(M49&gt;10000,M49*0.5%,IF(AND(M49&gt;1000,M49&lt;=10000),M49*1%,IF(AND(M49&gt;100,M49&lt;=1000),M49*3%,IF(AND(M49&gt;10,M49&lt;=100),M49*5%,M49*8%))))</f>
        <v>4.41</v>
      </c>
      <c r="M63" s="302">
        <f ca="1">ROUND(L63,1)</f>
        <v>4.4000000000000004</v>
      </c>
      <c r="N63" s="2543"/>
      <c r="Z63" s="1752"/>
      <c r="AI63" s="1753"/>
    </row>
    <row r="64" spans="1:35" ht="14.25" customHeight="1">
      <c r="A64" s="169" t="s">
        <v>325</v>
      </c>
      <c r="B64" s="170" t="s">
        <v>1381</v>
      </c>
      <c r="C64" s="2565">
        <f ca="1">D45</f>
        <v>147</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1.3230000000000002</v>
      </c>
      <c r="M64" s="302">
        <f t="shared" ref="M64:M65" ca="1" si="1">ROUND(L64,1)</f>
        <v>1.3</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1.47</v>
      </c>
      <c r="M65" s="302">
        <f t="shared" ca="1" si="1"/>
        <v>1.5</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0.73499999999999999</v>
      </c>
      <c r="M66" s="302">
        <f ca="1">IF(L66&gt;0.5,0.5,ROUND(L66,0))</f>
        <v>0.5</v>
      </c>
      <c r="N66" s="2544" t="s">
        <v>1388</v>
      </c>
      <c r="Z66" s="1752"/>
      <c r="AI66" s="1753"/>
    </row>
    <row r="67" spans="1:35" ht="14.25" customHeight="1">
      <c r="A67" s="173" t="s">
        <v>328</v>
      </c>
      <c r="B67" s="174" t="s">
        <v>1389</v>
      </c>
      <c r="C67" s="2568">
        <f ca="1">C63-C66</f>
        <v>140</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0.61750000000000005</v>
      </c>
      <c r="M67" s="302">
        <f ca="1">ROUND(L67*0.9,1)</f>
        <v>0.6</v>
      </c>
      <c r="N67" s="2543"/>
      <c r="Z67" s="1752"/>
      <c r="AI67" s="1753"/>
    </row>
    <row r="68" spans="1:35" ht="14.25" customHeight="1" thickBot="1">
      <c r="A68" s="176" t="s">
        <v>329</v>
      </c>
      <c r="B68" s="177" t="s">
        <v>1391</v>
      </c>
      <c r="C68" s="2569">
        <f ca="1">IF(C67&lt;=0,0,ROUND(C67*D68,0))</f>
        <v>8</v>
      </c>
      <c r="D68" s="2570">
        <f>'数据-取费表'!B41</f>
        <v>5.5000000000000007E-2</v>
      </c>
      <c r="E68" s="178"/>
      <c r="F68" s="1808"/>
      <c r="G68" s="1808"/>
      <c r="H68" s="1810"/>
      <c r="I68" s="129"/>
      <c r="J68" s="3568"/>
      <c r="K68" s="1332" t="s">
        <v>1392</v>
      </c>
      <c r="L68" s="1332">
        <f ca="1">IF(M49&gt;10000,M49*0.5%,IF(AND(M49&gt;5000,M49&lt;=10000),M49*1%,IF(AND(M49&gt;1000,M49&lt;=5000),M49*2%,IF(AND(M49&gt;200,M49&lt;=1000),M49*3%,M49*5%))))</f>
        <v>7.3500000000000005</v>
      </c>
      <c r="M68" s="302">
        <f ca="1">ROUND(L68,1)</f>
        <v>7.4</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16</v>
      </c>
      <c r="N69" s="2545">
        <f ca="1">M69/M49</f>
        <v>0.10884353741496598</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139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139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147</v>
      </c>
      <c r="I101" s="129"/>
    </row>
    <row r="102" spans="1:35" ht="18.75" customHeight="1">
      <c r="A102" s="3596" t="s">
        <v>1433</v>
      </c>
      <c r="B102" s="2584" t="s">
        <v>1432</v>
      </c>
      <c r="C102" s="2585">
        <f ca="1">IF(D32="楼面单价",ROUND(C19,0),C19)</f>
        <v>163</v>
      </c>
      <c r="D102" s="2586">
        <f ca="1">IF(D32="楼面单价",ROUND(D19,0),D19)</f>
        <v>109</v>
      </c>
      <c r="E102" s="3564"/>
      <c r="F102" s="3565"/>
      <c r="G102" s="1827" t="s">
        <v>1434</v>
      </c>
      <c r="H102" s="2555">
        <f ca="1">I118</f>
        <v>18329</v>
      </c>
      <c r="I102" s="129"/>
    </row>
    <row r="103" spans="1:35" ht="42.75" customHeight="1">
      <c r="A103" s="3596"/>
      <c r="B103" s="2584" t="s">
        <v>1434</v>
      </c>
      <c r="C103" s="2587">
        <f ca="1">C20</f>
        <v>20329</v>
      </c>
      <c r="D103" s="2588">
        <f ca="1">D20</f>
        <v>13661</v>
      </c>
      <c r="E103" s="3557" t="s">
        <v>1435</v>
      </c>
      <c r="F103" s="3558"/>
      <c r="G103" s="1828" t="s">
        <v>1436</v>
      </c>
      <c r="H103" s="2595">
        <f>IF(D36="正常操作",H104+H105+H106,H105+H106)</f>
        <v>0</v>
      </c>
      <c r="I103" s="129"/>
    </row>
    <row r="104" spans="1:35" ht="18.75" customHeight="1">
      <c r="A104" s="3596" t="s">
        <v>1437</v>
      </c>
      <c r="B104" s="2589" t="s">
        <v>1432</v>
      </c>
      <c r="C104" s="2590">
        <f ca="1">H118</f>
        <v>147</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18329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147</v>
      </c>
      <c r="I107" s="129"/>
    </row>
    <row r="108" spans="1:35" ht="18.75" customHeight="1">
      <c r="A108" s="129"/>
      <c r="B108" s="129"/>
      <c r="C108" s="129"/>
      <c r="D108" s="129"/>
      <c r="E108" s="3597"/>
      <c r="F108" s="3565"/>
      <c r="G108" s="1827" t="s">
        <v>1434</v>
      </c>
      <c r="H108" s="2555">
        <f ca="1">IF(H107=H101,H102,ROUND(H107*10000/'数据-汇总表'!E3,0))</f>
        <v>18329</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80.12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147</v>
      </c>
      <c r="I118" s="2329">
        <f ca="1">ROUND(IF(D32="楼面单价",C32,H118*10000/B118),0)</f>
        <v>18329</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壹佰肆拾柒万元整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147</v>
      </c>
      <c r="E122" s="3574"/>
      <c r="F122" s="3574"/>
      <c r="G122" s="3574"/>
      <c r="H122" s="3574"/>
      <c r="I122" s="3575"/>
      <c r="AA122" s="725"/>
    </row>
    <row r="123" spans="1:27" ht="18.75" customHeight="1">
      <c r="A123" s="3572" t="s">
        <v>1452</v>
      </c>
      <c r="B123" s="3572"/>
      <c r="C123" s="3572"/>
      <c r="D123" s="3578" t="str">
        <f ca="1">NUMBERSTRING(INT(D122*10000),2)&amp;"元整"</f>
        <v>壹佰肆拾柒万元整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80.12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80.12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80.12</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27</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26.295200000000001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16024</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16024</v>
      </c>
      <c r="D8" s="222"/>
      <c r="E8" s="220"/>
      <c r="F8" s="221"/>
      <c r="G8" s="1856" t="s">
        <v>3420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16024</v>
      </c>
      <c r="D10" s="845">
        <f ca="1">IF(B1="",'数据-汇总表'!E6,IF(INDIRECT("'数据-取费表'!c"&amp;$G$1)="住宅",INDIRECT("'数据-取费表'!s"&amp;$G$1),INDIRECT("'数据-取费表'!k"&amp;$G$1)+INDIRECT("'数据-取费表'!s"&amp;$G$1)))</f>
        <v>80.12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80.12</v>
      </c>
      <c r="E19" s="211">
        <f>'数据-取费表'!B31</f>
        <v>200</v>
      </c>
      <c r="F19" s="231"/>
      <c r="G19" s="1856" t="s">
        <v>3421</v>
      </c>
    </row>
    <row r="20" spans="1:7" s="214" customFormat="1" ht="13.5" customHeight="1">
      <c r="A20" s="255" t="s">
        <v>1574</v>
      </c>
      <c r="B20" s="210" t="s">
        <v>1575</v>
      </c>
      <c r="C20" s="232">
        <f ca="1">ROUND((C5+C19)*F20,0)</f>
        <v>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2452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2452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268402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240360</v>
      </c>
      <c r="D34" s="217"/>
      <c r="E34" s="220"/>
      <c r="F34" s="257"/>
      <c r="G34" s="219"/>
    </row>
    <row r="35" spans="1:7" ht="13.5" customHeight="1">
      <c r="A35" s="780" t="s">
        <v>351</v>
      </c>
      <c r="B35" s="215" t="s">
        <v>1527</v>
      </c>
      <c r="C35" s="220">
        <f ca="1">ROUND(C34*F35,0)</f>
        <v>7211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16024</v>
      </c>
      <c r="D37" s="217">
        <f ca="1">D19</f>
        <v>80.12</v>
      </c>
      <c r="E37" s="249">
        <f>'数据-取费表'!B35</f>
        <v>200</v>
      </c>
      <c r="F37" s="259"/>
      <c r="G37" s="261"/>
    </row>
    <row r="38" spans="1:7" ht="13.5" customHeight="1">
      <c r="A38" s="780" t="s">
        <v>354</v>
      </c>
      <c r="B38" s="215" t="s">
        <v>1533</v>
      </c>
      <c r="C38" s="220">
        <f ca="1">ROUND(C34*F38,0)</f>
        <v>4807</v>
      </c>
      <c r="D38" s="220"/>
      <c r="E38" s="220"/>
      <c r="F38" s="259">
        <f>'数据-取费表'!B36</f>
        <v>0.02</v>
      </c>
      <c r="G38" s="219" t="s">
        <v>1528</v>
      </c>
    </row>
    <row r="39" spans="1:7" s="214" customFormat="1" ht="13.5" customHeight="1">
      <c r="A39" s="255" t="s">
        <v>1534</v>
      </c>
      <c r="B39" s="210" t="s">
        <v>1535</v>
      </c>
      <c r="C39" s="232">
        <f ca="1">ROUND(C33*F20,0)</f>
        <v>5368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4723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4630</v>
      </c>
      <c r="D42" s="238"/>
      <c r="E42" s="238"/>
      <c r="F42" s="239"/>
      <c r="G42" s="3651" t="s">
        <v>1591</v>
      </c>
    </row>
    <row r="43" spans="1:7" ht="13.5" customHeight="1">
      <c r="A43" s="780" t="s">
        <v>347</v>
      </c>
      <c r="B43" s="215" t="s">
        <v>1545</v>
      </c>
      <c r="C43" s="238">
        <f ca="1">ROUND(IF('数据-取费表'!B22&lt;=1,C39*F22*'数据-取费表'!B20/2,C39*(POWER((1+F22),'数据-取费表'!B20/2)-1)),0)</f>
        <v>93</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41066</v>
      </c>
      <c r="D45" s="235">
        <f ca="1">C47</f>
        <v>3.0000000000000001E-3</v>
      </c>
      <c r="E45" s="236" t="s">
        <v>1539</v>
      </c>
      <c r="F45" s="246">
        <f ca="1">F27</f>
        <v>0.15</v>
      </c>
      <c r="G45" s="247" t="s">
        <v>1548</v>
      </c>
    </row>
    <row r="46" spans="1:7" s="214" customFormat="1" ht="13.5" customHeight="1">
      <c r="A46" s="780" t="s">
        <v>346</v>
      </c>
      <c r="B46" s="248" t="s">
        <v>1549</v>
      </c>
      <c r="C46" s="249">
        <f ca="1">ROUND((C33+C39)*F27,0)</f>
        <v>41066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345731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242012</v>
      </c>
      <c r="D51" s="232"/>
      <c r="E51" s="232"/>
      <c r="F51" s="264"/>
      <c r="G51" s="234" t="s">
        <v>1560</v>
      </c>
    </row>
    <row r="52" spans="1:7" s="208" customFormat="1" ht="16.5" thickBot="1">
      <c r="A52" s="265" t="s">
        <v>1561</v>
      </c>
      <c r="B52" s="266"/>
      <c r="C52" s="267">
        <f ca="1">C31+C51</f>
        <v>262952</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80.12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80.12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80.12</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3407</v>
      </c>
      <c r="D1" s="1362" t="s">
        <v>43</v>
      </c>
      <c r="E1" s="1363" t="s">
        <v>678</v>
      </c>
      <c r="F1" s="1062">
        <f ca="1">J53</f>
        <v>20.04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109.4508</v>
      </c>
      <c r="C2" s="1387" t="s">
        <v>879</v>
      </c>
      <c r="D2" s="1471">
        <f ca="1">C40+J29+L46</f>
        <v>1094508</v>
      </c>
      <c r="E2" s="1388" t="s">
        <v>880</v>
      </c>
      <c r="F2" s="1389"/>
      <c r="G2" s="2706"/>
      <c r="H2" s="2695"/>
      <c r="I2" s="2695"/>
      <c r="J2" s="2695"/>
      <c r="K2" s="2696"/>
      <c r="L2" s="2695"/>
      <c r="M2" s="2695"/>
    </row>
    <row r="3" spans="1:37" ht="18" customHeight="1" thickBot="1">
      <c r="A3" s="1390" t="s">
        <v>881</v>
      </c>
      <c r="B3" s="1391">
        <f ca="1">IF(ISERROR(D2/F43),0,ROUND(D2/F43,0))</f>
        <v>13661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84327</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84222</v>
      </c>
      <c r="D6" s="155" t="s">
        <v>2106</v>
      </c>
      <c r="E6" s="302" t="s">
        <v>696</v>
      </c>
      <c r="F6" s="303">
        <f ca="1">INDIRECT("'数据-取费表'!u"&amp;$G$1)</f>
        <v>3.2</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80.12</v>
      </c>
      <c r="G7" s="1384"/>
      <c r="H7" s="304"/>
      <c r="I7" s="3657"/>
      <c r="J7" s="306"/>
      <c r="K7" s="307"/>
      <c r="L7" s="302" t="s">
        <v>697</v>
      </c>
      <c r="M7" s="303">
        <f ca="1">F7</f>
        <v>80.12</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105</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242012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240360</v>
      </c>
      <c r="D14" s="1345" t="s">
        <v>708</v>
      </c>
      <c r="E14" s="1342"/>
      <c r="F14" s="319"/>
      <c r="G14" s="1384"/>
      <c r="H14" s="982" t="s">
        <v>398</v>
      </c>
      <c r="I14" s="302" t="s">
        <v>709</v>
      </c>
      <c r="J14" s="21">
        <f ca="1">C29</f>
        <v>345731</v>
      </c>
      <c r="K14" s="12"/>
      <c r="L14" s="807"/>
      <c r="M14" s="808"/>
    </row>
    <row r="15" spans="1:37" s="1397" customFormat="1" ht="18" customHeight="1" thickBot="1">
      <c r="A15" s="982" t="s">
        <v>399</v>
      </c>
      <c r="B15" s="302" t="s">
        <v>710</v>
      </c>
      <c r="C15" s="21">
        <f ca="1">ROUND(C14*F15,0)</f>
        <v>7211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1729</v>
      </c>
      <c r="K16" s="1087" t="s">
        <v>715</v>
      </c>
      <c r="L16" s="1088"/>
      <c r="M16" s="1072"/>
    </row>
    <row r="17" spans="1:37" s="1397" customFormat="1" ht="18" customHeight="1">
      <c r="A17" s="982" t="s">
        <v>681</v>
      </c>
      <c r="B17" s="302" t="s">
        <v>716</v>
      </c>
      <c r="C17" s="21">
        <f ca="1">ROUND(F17*(F43+INDIRECT("'数据-取费表'!S"&amp;$G$1)),0)</f>
        <v>16024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4807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268402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5368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1729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4723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-1729</v>
      </c>
      <c r="K25" s="1095" t="s">
        <v>753</v>
      </c>
      <c r="L25" s="1096"/>
      <c r="M25" s="1097"/>
    </row>
    <row r="26" spans="1:37" ht="18" customHeight="1">
      <c r="A26" s="982" t="s">
        <v>397</v>
      </c>
      <c r="B26" s="302" t="s">
        <v>754</v>
      </c>
      <c r="C26" s="21">
        <f ca="1">ROUND((C19+C20)*F26,0)</f>
        <v>41066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345731</v>
      </c>
      <c r="D29" s="1092"/>
      <c r="E29" s="1090"/>
      <c r="F29" s="1093"/>
      <c r="G29" s="1396"/>
      <c r="H29" s="334" t="s">
        <v>396</v>
      </c>
      <c r="I29" s="335" t="s">
        <v>768</v>
      </c>
      <c r="J29" s="336">
        <f ca="1">ROUND(J26/(1+F40)^F41,0)</f>
        <v>0</v>
      </c>
      <c r="K29" s="337" t="s">
        <v>769</v>
      </c>
      <c r="L29" s="338"/>
      <c r="M29" s="339">
        <f ca="1">INDIRECT("'数据-取费表'!k"&amp;$G$1)</f>
        <v>80.12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8429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5615</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1729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242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843</v>
      </c>
      <c r="D38" s="1092" t="s">
        <v>748</v>
      </c>
      <c r="E38" s="1090" t="s">
        <v>744</v>
      </c>
      <c r="F38" s="1086">
        <f ca="1">INDIRECT("'数据-取费表'!Am"&amp;$G$1)</f>
        <v>0.01</v>
      </c>
      <c r="G38" s="1384"/>
      <c r="H38" s="2700">
        <f ca="1">C39/C5</f>
        <v>0.90004387681288323</v>
      </c>
      <c r="I38" s="1398"/>
      <c r="J38" s="1399"/>
      <c r="K38" s="2704"/>
      <c r="L38" s="2700"/>
      <c r="M38" s="2700"/>
    </row>
    <row r="39" spans="1:18" ht="24.6" customHeight="1" thickTop="1">
      <c r="A39" s="1079" t="s">
        <v>394</v>
      </c>
      <c r="B39" s="1094" t="s">
        <v>772</v>
      </c>
      <c r="C39" s="310">
        <f ca="1">C5-C30</f>
        <v>75898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1062046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3458</v>
      </c>
      <c r="F41" s="3466">
        <f ca="1">IF(INDIRECT("'数据-取费表'!af"&amp;$G$1)=0,INDIRECT("'数据-取费表'!ae"&amp;$G$1),INDIRECT("'数据-取费表'!af"&amp;$G$1))</f>
        <v>20.04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13256</v>
      </c>
      <c r="D43" s="337" t="s">
        <v>777</v>
      </c>
      <c r="E43" s="338" t="s">
        <v>778</v>
      </c>
      <c r="F43" s="339">
        <f ca="1">INDIRECT("'数据-取费表'!k"&amp;$G$1)</f>
        <v>80.12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-108.46769999999999</v>
      </c>
      <c r="D45" s="3431" t="s">
        <v>3355</v>
      </c>
      <c r="E45" s="1400"/>
      <c r="F45" s="1400"/>
      <c r="O45" s="1403" t="s">
        <v>808</v>
      </c>
      <c r="P45" s="1461"/>
      <c r="Q45" s="1461"/>
      <c r="R45" s="1461"/>
    </row>
    <row r="46" spans="1:18" s="1384" customFormat="1" ht="13.5" thickBot="1">
      <c r="A46" s="1404" t="s">
        <v>809</v>
      </c>
      <c r="C46" s="1405">
        <f ca="1">ROUND(C45,0)</f>
        <v>-108</v>
      </c>
      <c r="D46" s="1406" t="str">
        <f>C2</f>
        <v>万元</v>
      </c>
      <c r="I46" s="1407" t="s">
        <v>810</v>
      </c>
      <c r="J46" s="1408"/>
      <c r="K46" s="1409"/>
      <c r="L46" s="1410">
        <f ca="1">IF(M47="住宅",0,IF(L48&gt;J51,L60,J60))</f>
        <v>32462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3443</v>
      </c>
      <c r="K47" s="1416" t="s">
        <v>816</v>
      </c>
      <c r="L47" s="1417">
        <f ca="1">INDIRECT("'数据-取费表'!d"&amp;$G$1)</f>
        <v>40</v>
      </c>
      <c r="M47" s="1380" t="str">
        <f>IF(ISNUMBER(FIND("住宅",C1)),"住宅","非住宅")</f>
        <v>非住宅</v>
      </c>
      <c r="O47" s="1418" t="s">
        <v>403</v>
      </c>
      <c r="P47" s="1419" t="s">
        <v>817</v>
      </c>
      <c r="Q47" s="1420">
        <f ca="1">C40+J29</f>
        <v>1062046</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20.04</v>
      </c>
      <c r="O48" s="1418" t="s">
        <v>404</v>
      </c>
      <c r="P48" s="1419" t="s">
        <v>821</v>
      </c>
      <c r="Q48" s="1420">
        <f ca="1">J60</f>
        <v>32462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345731</v>
      </c>
      <c r="R49" s="1420" t="s">
        <v>818</v>
      </c>
    </row>
    <row r="50" spans="1:18" s="1384" customFormat="1" ht="13.5" thickBot="1">
      <c r="A50" s="976"/>
      <c r="B50" s="979"/>
      <c r="C50" s="980"/>
      <c r="D50" s="953"/>
      <c r="E50" s="1056" t="s">
        <v>697</v>
      </c>
      <c r="F50" s="1057">
        <f ca="1">F7</f>
        <v>80.12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946034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20.04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20.04</v>
      </c>
      <c r="K53" s="3654" t="s">
        <v>837</v>
      </c>
      <c r="L53" s="3655"/>
      <c r="O53" s="1418" t="s">
        <v>409</v>
      </c>
      <c r="P53" s="1419" t="s">
        <v>838</v>
      </c>
      <c r="Q53" s="1420">
        <f ca="1">Q47+Q48</f>
        <v>1094508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242012</v>
      </c>
      <c r="D56" s="1447"/>
      <c r="E56" s="1448"/>
      <c r="F56" s="1440"/>
      <c r="I56" s="1449" t="s">
        <v>842</v>
      </c>
      <c r="J56" s="1450" t="s">
        <v>3459</v>
      </c>
      <c r="K56" s="1421" t="s">
        <v>843</v>
      </c>
      <c r="L56" s="1424" t="str">
        <f ca="1">IF(L48&lt;J51,"——",L48-J51)</f>
        <v>——</v>
      </c>
      <c r="O56" s="1418" t="s">
        <v>403</v>
      </c>
      <c r="P56" s="1419" t="s">
        <v>817</v>
      </c>
      <c r="Q56" s="1420">
        <f ca="1">C40+J29</f>
        <v>1062046</v>
      </c>
      <c r="R56" s="1420" t="s">
        <v>818</v>
      </c>
    </row>
    <row r="57" spans="1:18" s="1384" customFormat="1" ht="24.75" thickBot="1">
      <c r="A57" s="1451"/>
      <c r="B57" s="950" t="s">
        <v>767</v>
      </c>
      <c r="C57" s="238">
        <f ca="1">C29</f>
        <v>345731</v>
      </c>
      <c r="D57" s="1452"/>
      <c r="E57" s="1453"/>
      <c r="F57" s="1454"/>
      <c r="I57" s="1455" t="s">
        <v>844</v>
      </c>
      <c r="J57" s="1456">
        <f ca="1">IF(OR(M47="住宅",J51&lt;L48,J56="是"),"——",J51-L48)</f>
        <v>19.96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1971</v>
      </c>
      <c r="D58" s="960" t="s">
        <v>715</v>
      </c>
      <c r="E58" s="961"/>
      <c r="F58" s="962"/>
      <c r="I58" s="1455" t="s">
        <v>848</v>
      </c>
      <c r="J58" s="1457">
        <f ca="1">IF(J55&lt;0.4,0.4,J55)</f>
        <v>0.4</v>
      </c>
      <c r="K58" s="1434" t="s">
        <v>895</v>
      </c>
      <c r="L58" s="1424">
        <f ca="1">ROUND(POWER(1+L52,L47-L48)*(POWER(1+L52,L48)-1)/(POWER(1+L52,L47)-1),4)</f>
        <v>0.74560000000000004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138292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1">
        <f ca="1">ROUND(POWER(1+L52,L47-(J51+'数据-取费表'!B24))*(POWER(1+L52,(J51+'数据-取费表'!B24))-1)/(POWER(1+L52,L47)-1),4)</f>
        <v>1</v>
      </c>
      <c r="N59" s="1381">
        <f ca="1">ROUND(POWER(1+L52,L47-(J51+'数据-取费表'!B20))*(POWER(1+L52,(J51+'数据-取费表'!B20))-1)/(POWER(1+L52,L47)-1),4)</f>
        <v>1.0068999999999999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32462</v>
      </c>
      <c r="K60" s="1460" t="s">
        <v>854</v>
      </c>
      <c r="L60" s="1459">
        <f ca="1">IF(OR(M47="住宅",L48&lt;J51),0,ROUND(L57*(L58/L59-1),0))</f>
        <v>0</v>
      </c>
      <c r="O60" s="1428" t="s">
        <v>407</v>
      </c>
      <c r="P60" s="1419" t="s">
        <v>855</v>
      </c>
      <c r="Q60" s="1420">
        <f ca="1">L58</f>
        <v>0.74560000000000004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1062046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1729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242</v>
      </c>
      <c r="D65" s="964" t="s">
        <v>743</v>
      </c>
      <c r="E65" s="950" t="s">
        <v>744</v>
      </c>
      <c r="F65" s="330">
        <f t="shared" ca="1" si="0"/>
        <v>1E-3</v>
      </c>
      <c r="I65" s="1462" t="s">
        <v>867</v>
      </c>
      <c r="J65" s="1463">
        <v>40</v>
      </c>
      <c r="K65" s="1463">
        <v>30</v>
      </c>
      <c r="L65" s="1463">
        <v>50</v>
      </c>
      <c r="M65" s="1465">
        <v>0.02</v>
      </c>
      <c r="O65" s="1418" t="s">
        <v>403</v>
      </c>
      <c r="P65" s="1419" t="s">
        <v>868</v>
      </c>
      <c r="Q65" s="1420">
        <f ca="1">C40+J29</f>
        <v>1062046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-1971</v>
      </c>
      <c r="D67" s="963" t="s">
        <v>753</v>
      </c>
      <c r="E67" s="968"/>
      <c r="F67" s="969"/>
      <c r="O67" s="1428" t="s">
        <v>405</v>
      </c>
      <c r="P67" s="1419" t="s">
        <v>850</v>
      </c>
      <c r="Q67" s="1466">
        <f ca="1">L51</f>
        <v>946034</v>
      </c>
      <c r="R67" s="1420" t="s">
        <v>870</v>
      </c>
    </row>
    <row r="68" spans="1:18" s="1384" customFormat="1" ht="16.5" thickBot="1">
      <c r="A68" s="947" t="s">
        <v>395</v>
      </c>
      <c r="B68" s="948" t="s">
        <v>774</v>
      </c>
      <c r="C68" s="301">
        <f ca="1">ROUND(C67*(1-((1+F70)/(1+F68))^F69)/(F68-F70),0)</f>
        <v>-22631</v>
      </c>
      <c r="D68" s="965" t="s">
        <v>758</v>
      </c>
      <c r="E68" s="950" t="s">
        <v>759</v>
      </c>
      <c r="F68" s="312">
        <f ca="1">F40</f>
        <v>0.06</v>
      </c>
      <c r="O68" s="1428" t="s">
        <v>406</v>
      </c>
      <c r="P68" s="1467" t="s">
        <v>871</v>
      </c>
      <c r="Q68" s="1420">
        <f ca="1">ROUND(Q69-Q70*Q71,0)</f>
        <v>58957</v>
      </c>
      <c r="R68" s="1420" t="s">
        <v>414</v>
      </c>
    </row>
    <row r="69" spans="1:18" s="1384" customFormat="1" ht="13.5" thickBot="1">
      <c r="A69" s="951"/>
      <c r="B69" s="952"/>
      <c r="C69" s="306"/>
      <c r="D69" s="970" t="s">
        <v>762</v>
      </c>
      <c r="E69" s="950" t="s">
        <v>763</v>
      </c>
      <c r="F69" s="333">
        <f ca="1">F41</f>
        <v>20.04</v>
      </c>
      <c r="O69" s="1428" t="s">
        <v>411</v>
      </c>
      <c r="P69" s="1467" t="s">
        <v>872</v>
      </c>
      <c r="Q69" s="1420">
        <f ca="1">C39</f>
        <v>75898</v>
      </c>
      <c r="R69" s="1420" t="s">
        <v>818</v>
      </c>
    </row>
    <row r="70" spans="1:18" s="1384" customFormat="1" ht="13.5" thickBot="1">
      <c r="A70" s="954"/>
      <c r="B70" s="955"/>
      <c r="C70" s="310"/>
      <c r="D70" s="966"/>
      <c r="E70" s="950" t="s">
        <v>766</v>
      </c>
      <c r="F70" s="1054"/>
      <c r="O70" s="1428" t="s">
        <v>412</v>
      </c>
      <c r="P70" s="1467" t="s">
        <v>873</v>
      </c>
      <c r="Q70" s="1420">
        <f ca="1">C13</f>
        <v>242012</v>
      </c>
      <c r="R70" s="1420" t="s">
        <v>818</v>
      </c>
    </row>
    <row r="71" spans="1:18" s="1384" customFormat="1" ht="13.5" thickBot="1">
      <c r="A71" s="971" t="s">
        <v>396</v>
      </c>
      <c r="B71" s="972" t="s">
        <v>776</v>
      </c>
      <c r="C71" s="336">
        <f ca="1">ROUND(C68/F71,0)</f>
        <v>-282</v>
      </c>
      <c r="D71" s="973" t="s">
        <v>777</v>
      </c>
      <c r="E71" s="974" t="s">
        <v>778</v>
      </c>
      <c r="F71" s="339">
        <f ca="1">F43</f>
        <v>80.12</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0.74560000000000004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16941</v>
      </c>
      <c r="D75" s="1384"/>
      <c r="E75" s="1384"/>
      <c r="F75" s="1384"/>
      <c r="K75" s="1402"/>
      <c r="L75" s="1384"/>
      <c r="O75" s="1418" t="s">
        <v>409</v>
      </c>
      <c r="P75" s="1419" t="s">
        <v>838</v>
      </c>
      <c r="Q75" s="1420">
        <f ca="1">Q65+Q66</f>
        <v>1062046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59" t="s">
        <v>2321</v>
      </c>
      <c r="K2" s="366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1" t="s">
        <v>2331</v>
      </c>
      <c r="K3" s="366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1" t="s">
        <v>2333</v>
      </c>
      <c r="K4" s="366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3" t="s">
        <v>2337</v>
      </c>
      <c r="B6" s="3664"/>
      <c r="C6" s="3665"/>
      <c r="D6" s="2869"/>
      <c r="E6" s="2870"/>
      <c r="F6" s="2871"/>
      <c r="G6" s="2872"/>
      <c r="H6" s="2847"/>
      <c r="I6" s="2848"/>
      <c r="J6" s="3666">
        <v>1</v>
      </c>
      <c r="K6" s="366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6"/>
      <c r="K7" s="366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0" t="s">
        <v>2351</v>
      </c>
      <c r="C8" s="3671"/>
      <c r="D8" s="2888" t="s">
        <v>2352</v>
      </c>
      <c r="E8" s="2889" t="s">
        <v>2353</v>
      </c>
      <c r="F8" s="2890" t="s">
        <v>2354</v>
      </c>
      <c r="G8" s="2891"/>
      <c r="H8" s="2847"/>
      <c r="I8" s="2848"/>
      <c r="J8" s="3666"/>
      <c r="K8" s="366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0" t="s">
        <v>2357</v>
      </c>
      <c r="C9" s="3671"/>
      <c r="D9" s="2888">
        <f>ROUND(D6*E9,0)</f>
        <v>0</v>
      </c>
      <c r="E9" s="2892"/>
      <c r="F9" s="2893" t="s">
        <v>2358</v>
      </c>
      <c r="G9" s="2872"/>
      <c r="H9" s="2847"/>
      <c r="I9" s="2848"/>
      <c r="J9" s="3666"/>
      <c r="K9" s="3668"/>
      <c r="L9" s="2882" t="s">
        <v>2359</v>
      </c>
      <c r="M9" s="2883"/>
      <c r="N9" s="2859"/>
      <c r="O9" s="2884"/>
      <c r="P9" s="2884"/>
      <c r="Q9" s="2885">
        <v>365</v>
      </c>
      <c r="R9" s="2886">
        <f t="shared" si="0"/>
        <v>0</v>
      </c>
      <c r="S9" s="2840"/>
      <c r="T9" s="2840"/>
      <c r="U9" s="2840"/>
      <c r="V9" s="2848"/>
    </row>
    <row r="10" spans="1:22" s="2852" customFormat="1" ht="13.15" customHeight="1">
      <c r="A10" s="2887">
        <v>2</v>
      </c>
      <c r="B10" s="3670" t="s">
        <v>2360</v>
      </c>
      <c r="C10" s="3671"/>
      <c r="D10" s="2888">
        <f>ROUND(D6*E10,0)</f>
        <v>0</v>
      </c>
      <c r="E10" s="2892"/>
      <c r="F10" s="2893" t="s">
        <v>2361</v>
      </c>
      <c r="G10" s="2872"/>
      <c r="H10" s="2847"/>
      <c r="I10" s="2848"/>
      <c r="J10" s="3666"/>
      <c r="K10" s="3668"/>
      <c r="L10" s="2882" t="s">
        <v>2362</v>
      </c>
      <c r="M10" s="2883"/>
      <c r="N10" s="2859"/>
      <c r="O10" s="2884"/>
      <c r="P10" s="2884"/>
      <c r="Q10" s="2885">
        <v>365</v>
      </c>
      <c r="R10" s="2886">
        <f t="shared" si="0"/>
        <v>0</v>
      </c>
      <c r="S10" s="2840"/>
      <c r="T10" s="2840"/>
      <c r="U10" s="2840"/>
      <c r="V10" s="2848"/>
    </row>
    <row r="11" spans="1:22" s="2852" customFormat="1" ht="13.15" customHeight="1">
      <c r="A11" s="2887">
        <v>3</v>
      </c>
      <c r="B11" s="3670" t="s">
        <v>2363</v>
      </c>
      <c r="C11" s="3671"/>
      <c r="D11" s="2888">
        <f>D12+D14+D15+D16</f>
        <v>0</v>
      </c>
      <c r="E11" s="2894" t="e">
        <f>D11/D6</f>
        <v>#DIV/0!</v>
      </c>
      <c r="F11" s="2890"/>
      <c r="G11" s="2891"/>
      <c r="H11" s="2847"/>
      <c r="I11" s="2848"/>
      <c r="J11" s="3666"/>
      <c r="K11" s="366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2" t="s">
        <v>2366</v>
      </c>
      <c r="C12" s="3673"/>
      <c r="D12" s="2896">
        <f>ROUND(D13*1.2%*(1-30%),0)</f>
        <v>0</v>
      </c>
      <c r="E12" s="2897">
        <v>1.2E-2</v>
      </c>
      <c r="F12" s="2890" t="s">
        <v>2367</v>
      </c>
      <c r="G12" s="2891"/>
      <c r="H12" s="2847"/>
      <c r="I12" s="2848"/>
      <c r="J12" s="3666"/>
      <c r="K12" s="366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6"/>
      <c r="K13" s="366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2" t="s">
        <v>2372</v>
      </c>
      <c r="C14" s="3673"/>
      <c r="D14" s="2896">
        <f>ROUND(E14*B5/10000,0)</f>
        <v>0</v>
      </c>
      <c r="E14" s="2885"/>
      <c r="F14" s="2890" t="s">
        <v>2373</v>
      </c>
      <c r="G14" s="2891"/>
      <c r="H14" s="2847"/>
      <c r="I14" s="2848"/>
      <c r="J14" s="3666"/>
      <c r="K14" s="366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2" t="s">
        <v>2376</v>
      </c>
      <c r="C15" s="3673"/>
      <c r="D15" s="2896">
        <f>ROUND(D6*E15,0)</f>
        <v>0</v>
      </c>
      <c r="E15" s="2897">
        <v>5.5E-2</v>
      </c>
      <c r="F15" s="2890" t="s">
        <v>2377</v>
      </c>
      <c r="G15" s="2872"/>
      <c r="H15" s="2847"/>
      <c r="I15" s="2848"/>
      <c r="J15" s="3666">
        <v>2</v>
      </c>
      <c r="K15" s="366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2" t="s">
        <v>2385</v>
      </c>
      <c r="C16" s="3673"/>
      <c r="D16" s="2907">
        <f>D6*E16</f>
        <v>0</v>
      </c>
      <c r="E16" s="2908"/>
      <c r="F16" s="2893" t="s">
        <v>2386</v>
      </c>
      <c r="G16" s="2872"/>
      <c r="H16" s="2847"/>
      <c r="I16" s="2848"/>
      <c r="J16" s="3666"/>
      <c r="K16" s="366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4" t="s">
        <v>2388</v>
      </c>
      <c r="C17" s="3675"/>
      <c r="D17" s="2910">
        <f>ROUND(D6*E17,0)</f>
        <v>0</v>
      </c>
      <c r="E17" s="2911"/>
      <c r="F17" s="2912" t="s">
        <v>2389</v>
      </c>
      <c r="G17" s="2872"/>
      <c r="H17" s="2847"/>
      <c r="I17" s="2848"/>
      <c r="J17" s="3666"/>
      <c r="K17" s="366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6"/>
      <c r="K18" s="366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6"/>
      <c r="K19" s="366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6">
        <v>3</v>
      </c>
      <c r="K20" s="366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6"/>
      <c r="K21" s="366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6"/>
      <c r="K22" s="366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6"/>
      <c r="K23" s="366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6"/>
      <c r="K24" s="366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9" t="s">
        <v>2321</v>
      </c>
      <c r="K32" s="366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1" t="s">
        <v>2331</v>
      </c>
      <c r="K33" s="366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1" t="s">
        <v>2333</v>
      </c>
      <c r="K34" s="36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6">
        <v>1</v>
      </c>
      <c r="K36" s="366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6"/>
      <c r="K37" s="366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6"/>
      <c r="K38" s="366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6"/>
      <c r="K39" s="366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6"/>
      <c r="K40" s="366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109.4508</v>
      </c>
      <c r="C2" s="1872" t="s">
        <v>1651</v>
      </c>
      <c r="D2" s="1873" t="s">
        <v>1652</v>
      </c>
      <c r="E2" s="2607">
        <f>SUM(E6:E13)</f>
        <v>80.12</v>
      </c>
      <c r="F2" s="2707"/>
      <c r="G2" s="1489"/>
      <c r="H2" s="1489"/>
      <c r="I2" s="1489"/>
      <c r="J2" s="1489"/>
      <c r="K2" s="1489"/>
      <c r="L2" s="1489"/>
      <c r="M2" s="1489"/>
      <c r="N2" s="1489"/>
      <c r="O2" s="1489"/>
      <c r="P2" s="1489"/>
      <c r="Q2" s="1489"/>
      <c r="R2" s="1489"/>
      <c r="S2" s="1489"/>
    </row>
    <row r="3" spans="1:22" ht="15.75">
      <c r="A3" s="1870" t="s">
        <v>686</v>
      </c>
      <c r="B3" s="2601">
        <f ca="1">ROUND(B2*10000/E2,0)</f>
        <v>13661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109.4508</v>
      </c>
      <c r="C6" s="1872" t="s">
        <v>1651</v>
      </c>
      <c r="D6" s="2709"/>
      <c r="E6" s="2606">
        <f>IF(OR(A6=0,F6="否"),0,'数据-取费表'!K6+'数据-取费表'!S6)</f>
        <v>80.12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80.12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N38" sqref="N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162.8759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20329</v>
      </c>
      <c r="C3" s="354" t="s">
        <v>1768</v>
      </c>
      <c r="D3" s="353">
        <f>IF(D1="",'数据-汇总表'!E3,SUMIF('数据-汇总表'!$C19:$C33,D1,'数据-汇总表'!$E19:$E33))</f>
        <v>80.12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3468</v>
      </c>
      <c r="D5" s="3692"/>
      <c r="E5" s="3726" t="s">
        <v>3425</v>
      </c>
      <c r="F5" s="3692"/>
      <c r="G5" s="3726" t="s">
        <v>3424</v>
      </c>
      <c r="H5" s="3692"/>
      <c r="I5" s="3726" t="s">
        <v>3425</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3426</v>
      </c>
      <c r="F6" s="3696"/>
      <c r="G6" s="3693" t="s">
        <v>3426</v>
      </c>
      <c r="H6" s="3694"/>
      <c r="I6" s="3693" t="s">
        <v>3426</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3427</v>
      </c>
      <c r="D8" s="365">
        <v>100</v>
      </c>
      <c r="E8" s="368" t="s">
        <v>3427</v>
      </c>
      <c r="F8" s="367">
        <f>SUMIF(61:61,E8,62:62)-SUMIF(61:61,C8,62:62)+100</f>
        <v>100</v>
      </c>
      <c r="G8" s="368" t="s">
        <v>3428</v>
      </c>
      <c r="H8" s="365">
        <f>SUMIF(61:61,G8,62:62)-SUMIF(61:61,C8,62:62)+100</f>
        <v>105</v>
      </c>
      <c r="I8" s="368" t="s">
        <v>3427</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57" t="s">
        <v>3429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3" t="s">
        <v>3430</v>
      </c>
      <c r="D10" s="127">
        <v>100</v>
      </c>
      <c r="E10" s="3433" t="s">
        <v>3430</v>
      </c>
      <c r="F10" s="376">
        <f>SUMIF(65:65,E10,66:66)-SUMIF(65:65,C10,66:66)+100</f>
        <v>100</v>
      </c>
      <c r="G10" s="3433" t="s">
        <v>3430</v>
      </c>
      <c r="H10" s="127">
        <f>SUMIF(65:65,G10,66:66)-SUMIF(65:65,C10,66:66)+100</f>
        <v>100</v>
      </c>
      <c r="I10" s="3433" t="s">
        <v>3430</v>
      </c>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724" t="s">
        <v>1691</v>
      </c>
      <c r="Q15" s="1352" t="str">
        <f t="shared" si="6"/>
        <v>商业繁华度</v>
      </c>
      <c r="R15" s="705" t="s">
        <v>14</v>
      </c>
      <c r="S15" s="706">
        <f t="shared" si="0"/>
        <v>95</v>
      </c>
      <c r="T15" s="705" t="s">
        <v>14</v>
      </c>
      <c r="U15" s="706">
        <f t="shared" si="1"/>
        <v>95</v>
      </c>
      <c r="V15" s="705" t="s">
        <v>14</v>
      </c>
      <c r="W15" s="706">
        <f t="shared" si="2"/>
        <v>95</v>
      </c>
      <c r="X15" s="1355"/>
      <c r="Y15" s="3717"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3431</v>
      </c>
      <c r="D16" s="399"/>
      <c r="E16" s="398" t="s">
        <v>3432</v>
      </c>
      <c r="F16" s="400"/>
      <c r="G16" s="398" t="s">
        <v>3432</v>
      </c>
      <c r="H16" s="401"/>
      <c r="I16" s="398" t="s">
        <v>3432</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725"/>
      <c r="Q19" s="1352" t="str">
        <f>B19</f>
        <v>公共配套设施</v>
      </c>
      <c r="R19" s="705" t="s">
        <v>14</v>
      </c>
      <c r="S19" s="706">
        <f>F19</f>
        <v>95</v>
      </c>
      <c r="T19" s="705" t="s">
        <v>14</v>
      </c>
      <c r="U19" s="706">
        <f>H19</f>
        <v>95</v>
      </c>
      <c r="V19" s="705" t="s">
        <v>14</v>
      </c>
      <c r="W19" s="706">
        <f>J19</f>
        <v>95</v>
      </c>
      <c r="X19" s="1355"/>
      <c r="Y19" s="3718"/>
      <c r="Z19" s="1356" t="str">
        <f>Q19</f>
        <v>公共配套设施</v>
      </c>
      <c r="AA19" s="1353">
        <f t="shared" si="3"/>
        <v>1.0526315789473684</v>
      </c>
      <c r="AB19" s="1353">
        <f t="shared" si="4"/>
        <v>1.0526315789473684</v>
      </c>
      <c r="AC19" s="1353">
        <f t="shared" si="5"/>
        <v>1.0526315789473684</v>
      </c>
    </row>
    <row r="20" spans="1:29" ht="15">
      <c r="A20" s="379"/>
      <c r="B20" s="407"/>
      <c r="C20" s="398" t="s">
        <v>3431</v>
      </c>
      <c r="D20" s="399"/>
      <c r="E20" s="1903" t="s">
        <v>3432</v>
      </c>
      <c r="F20" s="400"/>
      <c r="G20" s="1903" t="s">
        <v>3432</v>
      </c>
      <c r="H20" s="399"/>
      <c r="I20" s="1903" t="s">
        <v>3432</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3432</v>
      </c>
      <c r="D24" s="399"/>
      <c r="E24" s="398" t="s">
        <v>3432</v>
      </c>
      <c r="F24" s="400"/>
      <c r="G24" s="398" t="s">
        <v>3432</v>
      </c>
      <c r="H24" s="399"/>
      <c r="I24" s="398" t="s">
        <v>3432</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3466</v>
      </c>
      <c r="D25" s="386">
        <v>100</v>
      </c>
      <c r="E25" s="565" t="s">
        <v>3436</v>
      </c>
      <c r="F25" s="412">
        <f>SUMIF(86:86,E25,87:87)-SUMIF(86:86,C25,87:87)+100</f>
        <v>103</v>
      </c>
      <c r="G25" s="565" t="s">
        <v>3436</v>
      </c>
      <c r="H25" s="386">
        <f>SUMIF(86:86,G25,87:87)-SUMIF(86:86,C25,87:87)+100</f>
        <v>103</v>
      </c>
      <c r="I25" s="565" t="s">
        <v>3436</v>
      </c>
      <c r="J25" s="386">
        <f>SUMIF(86:86,I25,87:87)-SUMIF(86:86,C25,87:87)+100</f>
        <v>103</v>
      </c>
      <c r="K25" s="561">
        <v>3</v>
      </c>
      <c r="L25" s="2722"/>
      <c r="M25" s="2716"/>
      <c r="N25" s="2716"/>
      <c r="O25" s="2716"/>
      <c r="P25" s="3725"/>
      <c r="Q25" s="1352" t="str">
        <f t="shared" ref="Q25:Q46" si="11">B25</f>
        <v>临街状况</v>
      </c>
      <c r="R25" s="705" t="s">
        <v>14</v>
      </c>
      <c r="S25" s="706">
        <f>F25</f>
        <v>103</v>
      </c>
      <c r="T25" s="705" t="s">
        <v>14</v>
      </c>
      <c r="U25" s="706">
        <f>H25</f>
        <v>103</v>
      </c>
      <c r="V25" s="705" t="s">
        <v>14</v>
      </c>
      <c r="W25" s="706">
        <f>J25</f>
        <v>103</v>
      </c>
      <c r="X25" s="1355"/>
      <c r="Y25" s="3718"/>
      <c r="Z25" s="1356" t="str">
        <f>Q25</f>
        <v>临街状况</v>
      </c>
      <c r="AA25" s="1353">
        <f t="shared" si="3"/>
        <v>0.970873786407767</v>
      </c>
      <c r="AB25" s="1353">
        <f t="shared" si="4"/>
        <v>0.970873786407767</v>
      </c>
      <c r="AC25" s="1353">
        <f t="shared" si="5"/>
        <v>0.970873786407767</v>
      </c>
    </row>
    <row r="26" spans="1:29" ht="15">
      <c r="A26" s="379"/>
      <c r="B26" s="1133" t="s">
        <v>1781</v>
      </c>
      <c r="C26" s="3460" t="s">
        <v>3467</v>
      </c>
      <c r="D26" s="386">
        <v>100</v>
      </c>
      <c r="E26" s="3460" t="s">
        <v>3449</v>
      </c>
      <c r="F26" s="412">
        <f>SUMIF(88:88,E26,89:89)-SUMIF(88:88,C26,89:89)+100</f>
        <v>103</v>
      </c>
      <c r="G26" s="3460" t="s">
        <v>3449</v>
      </c>
      <c r="H26" s="386">
        <f>SUMIF(88:88,G26,89:89)-SUMIF(88:88,C26,89:89)+100</f>
        <v>103</v>
      </c>
      <c r="I26" s="3460" t="s">
        <v>3449</v>
      </c>
      <c r="J26" s="386">
        <f>SUMIF(88:88,I26,89:89)-SUMIF(88:88,C26,89:89)+100</f>
        <v>103</v>
      </c>
      <c r="K26" s="562"/>
      <c r="L26" s="2722"/>
      <c r="M26" s="2716"/>
      <c r="N26" s="2716"/>
      <c r="O26" s="2716"/>
      <c r="P26" s="3725"/>
      <c r="Q26" s="1352" t="str">
        <f t="shared" si="11"/>
        <v>平面位置/可视性</v>
      </c>
      <c r="R26" s="705" t="s">
        <v>14</v>
      </c>
      <c r="S26" s="706">
        <f>F26</f>
        <v>103</v>
      </c>
      <c r="T26" s="705" t="s">
        <v>14</v>
      </c>
      <c r="U26" s="706">
        <f>H26</f>
        <v>103</v>
      </c>
      <c r="V26" s="705" t="s">
        <v>14</v>
      </c>
      <c r="W26" s="706">
        <f>J26</f>
        <v>103</v>
      </c>
      <c r="X26" s="1355"/>
      <c r="Y26" s="3718"/>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3462" t="s">
        <v>3463</v>
      </c>
      <c r="D27" s="413">
        <v>100</v>
      </c>
      <c r="E27" s="3462" t="s">
        <v>3454</v>
      </c>
      <c r="F27" s="415">
        <f>SUMIF(90:90,E27,91:91)-SUMIF(90:90,C27,91:91)+100</f>
        <v>97</v>
      </c>
      <c r="G27" s="3462" t="s">
        <v>3454</v>
      </c>
      <c r="H27" s="413">
        <f>SUMIF(90:90,G27,91:91)-SUMIF(90:90,C27,91:91)+100</f>
        <v>97</v>
      </c>
      <c r="I27" s="3462" t="s">
        <v>3454</v>
      </c>
      <c r="J27" s="413">
        <f>SUMIF(90:90,I27,91:91)-SUMIF(90:90,C27,91:91)+100</f>
        <v>97</v>
      </c>
      <c r="K27" s="561">
        <v>3</v>
      </c>
      <c r="L27" s="2717"/>
      <c r="M27" s="2718"/>
      <c r="N27" s="2718"/>
      <c r="O27" s="2718"/>
      <c r="P27" s="3725"/>
      <c r="Q27" s="1343" t="str">
        <f t="shared" si="11"/>
        <v>人流量</v>
      </c>
      <c r="R27" s="701" t="s">
        <v>14</v>
      </c>
      <c r="S27" s="702">
        <f>F27</f>
        <v>97</v>
      </c>
      <c r="T27" s="701" t="s">
        <v>14</v>
      </c>
      <c r="U27" s="702">
        <f>H27</f>
        <v>97</v>
      </c>
      <c r="V27" s="701" t="s">
        <v>14</v>
      </c>
      <c r="W27" s="702">
        <f>J27</f>
        <v>97</v>
      </c>
      <c r="X27" s="703"/>
      <c r="Y27" s="3718"/>
      <c r="Z27" s="52" t="str">
        <f>Q27</f>
        <v>人流量</v>
      </c>
      <c r="AA27" s="1353">
        <f>D27/F27</f>
        <v>1.0309278350515463</v>
      </c>
      <c r="AB27" s="1353">
        <f>D27/H27</f>
        <v>1.0309278350515463</v>
      </c>
      <c r="AC27" s="1353">
        <f>D27/J27</f>
        <v>1.0309278350515463</v>
      </c>
    </row>
    <row r="28" spans="1:29" ht="15.75" thickBot="1">
      <c r="A28" s="379"/>
      <c r="B28" s="375" t="s">
        <v>1783</v>
      </c>
      <c r="C28" s="565" t="s">
        <v>3460</v>
      </c>
      <c r="D28" s="386">
        <v>100</v>
      </c>
      <c r="E28" s="565" t="s">
        <v>3455</v>
      </c>
      <c r="F28" s="412">
        <f>SUMIF(92:92,E28,93:93)-SUMIF(92:92,C28,93:93)+100</f>
        <v>90</v>
      </c>
      <c r="G28" s="565" t="s">
        <v>3450</v>
      </c>
      <c r="H28" s="386">
        <f>SUMIF(92:92,G28,93:93)-SUMIF(92:92,C28,93:93)+100</f>
        <v>83.3</v>
      </c>
      <c r="I28" s="565" t="s">
        <v>3460</v>
      </c>
      <c r="J28" s="386">
        <f>SUMIF(92:92,I28,93:93)-SUMIF(92:92,C28,93:93)+100</f>
        <v>100</v>
      </c>
      <c r="K28" s="562"/>
      <c r="L28" s="2722"/>
      <c r="M28" s="2716"/>
      <c r="N28" s="2716"/>
      <c r="O28" s="2716"/>
      <c r="P28" s="3725"/>
      <c r="Q28" s="1352" t="str">
        <f t="shared" si="11"/>
        <v>楼层</v>
      </c>
      <c r="R28" s="705" t="s">
        <v>14</v>
      </c>
      <c r="S28" s="706">
        <f t="shared" ref="S28:S46" si="12">F28</f>
        <v>90</v>
      </c>
      <c r="T28" s="705" t="s">
        <v>14</v>
      </c>
      <c r="U28" s="706">
        <f t="shared" ref="U28:U46" si="13">H28</f>
        <v>83.3</v>
      </c>
      <c r="V28" s="705" t="s">
        <v>14</v>
      </c>
      <c r="W28" s="706">
        <f t="shared" ref="W28:W46" si="14">J28</f>
        <v>100</v>
      </c>
      <c r="X28" s="1355"/>
      <c r="Y28" s="3718"/>
      <c r="Z28" s="1356" t="str">
        <f t="shared" ref="Z28:Z46" si="15">Q28</f>
        <v>楼层</v>
      </c>
      <c r="AA28" s="1353">
        <f t="shared" si="3"/>
        <v>1.1111111111111112</v>
      </c>
      <c r="AB28" s="1353">
        <f t="shared" si="4"/>
        <v>1.2004801920768309</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3451</v>
      </c>
      <c r="D32" s="418">
        <v>100</v>
      </c>
      <c r="E32" s="1910" t="s">
        <v>3452</v>
      </c>
      <c r="F32" s="412">
        <f>SUMIF(100:100,E32,101:101)-SUMIF(100:100,C32,101:101)+100</f>
        <v>98</v>
      </c>
      <c r="G32" s="1910" t="s">
        <v>3451</v>
      </c>
      <c r="H32" s="386">
        <f>SUMIF(100:100,G32,101:101)-SUMIF(100:100,C32,101:101)+100</f>
        <v>100</v>
      </c>
      <c r="I32" s="1910" t="s">
        <v>3452</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80.12</v>
      </c>
      <c r="D33" s="127">
        <v>100</v>
      </c>
      <c r="E33" s="381">
        <v>76.66</v>
      </c>
      <c r="F33" s="376">
        <f>LOOKUP(E33,103:103,104:104)-LOOKUP(C33,103:103,104:104)+100</f>
        <v>100</v>
      </c>
      <c r="G33" s="380">
        <v>196.81</v>
      </c>
      <c r="H33" s="127">
        <f>LOOKUP(G33,103:103,104:104)-LOOKUP(C33,103:103,104:104)+100</f>
        <v>99</v>
      </c>
      <c r="I33" s="380">
        <v>668.54</v>
      </c>
      <c r="J33" s="127">
        <f>LOOKUP(I33,103:103,104:104)-LOOKUP(C33,103:103,104:104)+100</f>
        <v>94</v>
      </c>
      <c r="K33" s="562"/>
      <c r="L33" s="2721"/>
      <c r="M33" s="2723"/>
      <c r="N33" s="2723"/>
      <c r="O33" s="2723"/>
      <c r="P33" s="3720"/>
      <c r="Q33" s="707" t="str">
        <f t="shared" si="11"/>
        <v>项目建筑规模</v>
      </c>
      <c r="R33" s="708" t="s">
        <v>14</v>
      </c>
      <c r="S33" s="709">
        <f t="shared" si="12"/>
        <v>100</v>
      </c>
      <c r="T33" s="708" t="s">
        <v>14</v>
      </c>
      <c r="U33" s="709">
        <f t="shared" si="13"/>
        <v>99</v>
      </c>
      <c r="V33" s="708" t="s">
        <v>14</v>
      </c>
      <c r="W33" s="709">
        <f t="shared" si="14"/>
        <v>94</v>
      </c>
      <c r="X33" s="710"/>
      <c r="Y33" s="3722"/>
      <c r="Z33" s="711" t="str">
        <f t="shared" si="15"/>
        <v>项目建筑规模</v>
      </c>
      <c r="AA33" s="1353">
        <f t="shared" si="3"/>
        <v>1</v>
      </c>
      <c r="AB33" s="1353">
        <f t="shared" si="4"/>
        <v>1.0101010101010102</v>
      </c>
      <c r="AC33" s="1353">
        <f t="shared" si="5"/>
        <v>1.0638297872340425</v>
      </c>
    </row>
    <row r="34" spans="1:29" ht="15">
      <c r="A34" s="423"/>
      <c r="B34" s="375" t="s">
        <v>1698</v>
      </c>
      <c r="C34" s="1912" t="s">
        <v>3443</v>
      </c>
      <c r="D34" s="386">
        <v>100</v>
      </c>
      <c r="E34" s="1912" t="s">
        <v>3443</v>
      </c>
      <c r="F34" s="412">
        <f>SUMIF(105:105,E34,106:106)-SUMIF(105:105,C34,106:106)+100</f>
        <v>100</v>
      </c>
      <c r="G34" s="1912" t="s">
        <v>3443</v>
      </c>
      <c r="H34" s="386">
        <f>SUMIF(105:105,G34,106:106)-SUMIF(105:105,C34,106:106)+100</f>
        <v>100</v>
      </c>
      <c r="I34" s="1912" t="s">
        <v>3443</v>
      </c>
      <c r="J34" s="386">
        <f>SUMIF(105:105,I34,106:106)-SUMIF(105:105,C34,106:106)+100</f>
        <v>100</v>
      </c>
      <c r="K34" s="561">
        <v>2</v>
      </c>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t="s">
        <v>3442</v>
      </c>
      <c r="D35" s="386">
        <v>100</v>
      </c>
      <c r="E35" s="1906" t="s">
        <v>3441</v>
      </c>
      <c r="F35" s="412">
        <f>SUMIF(107:107,E35,108:108)-SUMIF(107:107,C35,108:108)+100</f>
        <v>101</v>
      </c>
      <c r="G35" s="1906" t="s">
        <v>3442</v>
      </c>
      <c r="H35" s="386">
        <f>SUMIF(107:107,G35,108:108)-SUMIF(107:107,C35,108:108)+100</f>
        <v>100</v>
      </c>
      <c r="I35" s="1906" t="s">
        <v>3442</v>
      </c>
      <c r="J35" s="386">
        <f>SUMIF(107:107,I35,108:108)-SUMIF(107:107,C35,108:108)+100</f>
        <v>100</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100</v>
      </c>
      <c r="X35" s="1355"/>
      <c r="Y35" s="3722"/>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720"/>
      <c r="Q36" s="1352" t="str">
        <f t="shared" si="11"/>
        <v>成新度</v>
      </c>
      <c r="R36" s="705" t="s">
        <v>14</v>
      </c>
      <c r="S36" s="706">
        <f t="shared" si="12"/>
        <v>102</v>
      </c>
      <c r="T36" s="705" t="s">
        <v>14</v>
      </c>
      <c r="U36" s="706">
        <f t="shared" si="13"/>
        <v>101</v>
      </c>
      <c r="V36" s="705" t="s">
        <v>14</v>
      </c>
      <c r="W36" s="706">
        <f t="shared" si="14"/>
        <v>102</v>
      </c>
      <c r="X36" s="1355"/>
      <c r="Y36" s="3722"/>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3445</v>
      </c>
      <c r="D38" s="386">
        <v>100</v>
      </c>
      <c r="E38" s="1906" t="s">
        <v>3446</v>
      </c>
      <c r="F38" s="412">
        <f>SUMIF(114:114,E38,115:115)-SUMIF(114:114,C38,115:115)+100</f>
        <v>97</v>
      </c>
      <c r="G38" s="1906" t="s">
        <v>3445</v>
      </c>
      <c r="H38" s="386">
        <f>SUMIF(114:114,G38,115:115)-SUMIF(114:114,C38,115:115)+100</f>
        <v>100</v>
      </c>
      <c r="I38" s="1906" t="s">
        <v>3446</v>
      </c>
      <c r="J38" s="386">
        <f>SUMIF(114:114,I38,115:115)-SUMIF(114:114,C38,115:115)+100</f>
        <v>97</v>
      </c>
      <c r="K38" s="561">
        <v>3</v>
      </c>
      <c r="L38" s="2722"/>
      <c r="M38" s="2716"/>
      <c r="N38" s="2716"/>
      <c r="O38" s="2716"/>
      <c r="P38" s="3720" t="s">
        <v>1696</v>
      </c>
      <c r="Q38" s="1352" t="str">
        <f t="shared" si="11"/>
        <v>业态</v>
      </c>
      <c r="R38" s="705" t="s">
        <v>14</v>
      </c>
      <c r="S38" s="706">
        <f t="shared" si="12"/>
        <v>97</v>
      </c>
      <c r="T38" s="705" t="s">
        <v>14</v>
      </c>
      <c r="U38" s="706">
        <f t="shared" si="13"/>
        <v>100</v>
      </c>
      <c r="V38" s="705" t="s">
        <v>14</v>
      </c>
      <c r="W38" s="706">
        <f t="shared" si="14"/>
        <v>97</v>
      </c>
      <c r="X38" s="1355"/>
      <c r="Y38" s="3722" t="s">
        <v>1696</v>
      </c>
      <c r="Z38" s="1356" t="str">
        <f t="shared" si="15"/>
        <v>业态</v>
      </c>
      <c r="AA38" s="1353">
        <f t="shared" si="3"/>
        <v>1.0309278350515463</v>
      </c>
      <c r="AB38" s="1353">
        <f t="shared" si="4"/>
        <v>1</v>
      </c>
      <c r="AC38" s="1353">
        <f t="shared" si="5"/>
        <v>1.0309278350515463</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3453</v>
      </c>
      <c r="D42" s="386">
        <v>100</v>
      </c>
      <c r="E42" s="1906" t="s">
        <v>3453</v>
      </c>
      <c r="F42" s="412">
        <f>SUMIF(122:122,E42,123:123)-SUMIF(122:122,C42,123:123)+100</f>
        <v>100</v>
      </c>
      <c r="G42" s="1906" t="s">
        <v>3442</v>
      </c>
      <c r="H42" s="386">
        <f>SUMIF(122:122,G42,123:123)-SUMIF(122:122,C42,123:123)+100</f>
        <v>102</v>
      </c>
      <c r="I42" s="1906" t="s">
        <v>3453</v>
      </c>
      <c r="J42" s="386">
        <f>SUMIF(122:122,I42,123:123)-SUMIF(122:122,C42,123:123)+100</f>
        <v>100</v>
      </c>
      <c r="K42" s="561">
        <v>1</v>
      </c>
      <c r="L42" s="2722"/>
      <c r="M42" s="2716"/>
      <c r="N42" s="2716"/>
      <c r="O42" s="2716"/>
      <c r="P42" s="3720"/>
      <c r="Q42" s="1352" t="str">
        <f t="shared" si="11"/>
        <v>内部装修</v>
      </c>
      <c r="R42" s="705" t="s">
        <v>14</v>
      </c>
      <c r="S42" s="706">
        <f t="shared" si="12"/>
        <v>100</v>
      </c>
      <c r="T42" s="705" t="s">
        <v>14</v>
      </c>
      <c r="U42" s="706">
        <f t="shared" si="13"/>
        <v>102</v>
      </c>
      <c r="V42" s="705" t="s">
        <v>14</v>
      </c>
      <c r="W42" s="706">
        <f t="shared" si="14"/>
        <v>100</v>
      </c>
      <c r="X42" s="1355"/>
      <c r="Y42" s="3722"/>
      <c r="Z42" s="1356" t="str">
        <f t="shared" si="15"/>
        <v>内部装修</v>
      </c>
      <c r="AA42" s="1353">
        <f t="shared" si="3"/>
        <v>1</v>
      </c>
      <c r="AB42" s="1353">
        <f t="shared" si="4"/>
        <v>0.98039215686274506</v>
      </c>
      <c r="AC42" s="1353">
        <f t="shared" si="5"/>
        <v>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20329</v>
      </c>
      <c r="D48" s="2317" t="s">
        <v>2138</v>
      </c>
      <c r="E48" s="1161">
        <f>R48</f>
        <v>20768</v>
      </c>
      <c r="F48" s="2318"/>
      <c r="G48" s="1160">
        <f>T48</f>
        <v>20640</v>
      </c>
      <c r="H48" s="2318"/>
      <c r="I48" s="1161">
        <f>V48</f>
        <v>19579</v>
      </c>
      <c r="J48" s="2318"/>
      <c r="K48" s="2320">
        <f>F48+H48+J48</f>
        <v>0</v>
      </c>
      <c r="L48" s="2724"/>
      <c r="M48" s="2725"/>
      <c r="N48" s="2716"/>
      <c r="O48" s="2725"/>
      <c r="P48" s="3715" t="str">
        <f>A48</f>
        <v>比较价值（元/平方米）</v>
      </c>
      <c r="Q48" s="3715"/>
      <c r="R48" s="3716">
        <f>IF(F1="售价",ROUND(PRODUCT(R47,AA7:AA46),0),ROUND(PRODUCT(R47,AA7:AA46),1))</f>
        <v>20768</v>
      </c>
      <c r="S48" s="3716"/>
      <c r="T48" s="3716">
        <f>IF(F1="售价",ROUND(PRODUCT(T47,AB7:AB46),0),ROUND(PRODUCT(T47,AB7:AB46),1))</f>
        <v>20640</v>
      </c>
      <c r="U48" s="3716"/>
      <c r="V48" s="3716">
        <f>IF(F1="售价",ROUND(PRODUCT(V47,AC7:AC46),0),ROUND(PRODUCT(V47,AC7:AC46),1))</f>
        <v>19579</v>
      </c>
      <c r="W48" s="3716"/>
      <c r="X48" s="690"/>
      <c r="Y48" s="690"/>
      <c r="Z48" s="690"/>
      <c r="AA48" s="690"/>
      <c r="AB48" s="690"/>
      <c r="AC48" s="690"/>
    </row>
    <row r="49" spans="1:29" ht="15.75" thickBot="1">
      <c r="A49" s="441" t="s">
        <v>1794</v>
      </c>
      <c r="B49" s="442"/>
      <c r="C49" s="1163">
        <f>R49</f>
        <v>20329</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20329</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0.22164705882352931</v>
      </c>
      <c r="F52" s="449" t="str">
        <f>IF(OR(E52&gt;=0.3,E52&lt;=-0.3),"超过30%","")</f>
        <v/>
      </c>
      <c r="G52" s="448">
        <f>IF(G47&lt;G48,G48/G47-1,G47/G48-1)</f>
        <v>0.2070175438596491</v>
      </c>
      <c r="H52" s="449" t="str">
        <f>IF(OR(G52&gt;=0.3,G52&lt;=-0.3),"超过30%","")</f>
        <v/>
      </c>
      <c r="I52" s="448">
        <f>IF(I47&lt;I48,I48/I47-1,I47/I48-1)</f>
        <v>0.18137935195800403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6.2015503875969546E-3</v>
      </c>
      <c r="F53" s="449" t="str">
        <f>IF(OR(E53&gt;=0.2,E53&lt;=-0.2),"超过20%","")</f>
        <v/>
      </c>
      <c r="G53" s="448">
        <f>IF(G48&lt;I48,I48/G48-1,G48/I48-1)</f>
        <v>5.4190714541090035E-2</v>
      </c>
      <c r="H53" s="449" t="str">
        <f>IF(OR(G53&gt;=0.2,G53&lt;=-0.2),"超过20%","")</f>
        <v/>
      </c>
      <c r="I53" s="448">
        <f>IF(I48&lt;E48,E48/I48-1,I48/E48-1)</f>
        <v>6.0728331375453193E-2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3434</v>
      </c>
      <c r="D86" s="3458" t="s">
        <v>3435</v>
      </c>
      <c r="E86" s="3458" t="s">
        <v>3437</v>
      </c>
      <c r="F86" s="3458" t="s">
        <v>3438</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3439</v>
      </c>
      <c r="D90" s="3458" t="s">
        <v>3440</v>
      </c>
      <c r="E90" s="3458" t="s">
        <v>3464</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3469</v>
      </c>
      <c r="D92" s="529" t="s">
        <v>3470</v>
      </c>
      <c r="E92" s="529" t="s">
        <v>3471</v>
      </c>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3454">
        <v>83.3</v>
      </c>
      <c r="D93" s="3454">
        <v>90</v>
      </c>
      <c r="E93" s="3454">
        <v>100</v>
      </c>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3451</v>
      </c>
      <c r="D100" s="3461" t="s">
        <v>3452</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3443</v>
      </c>
      <c r="D105" s="3458" t="s">
        <v>3444</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3441</v>
      </c>
      <c r="D107" s="3458" t="s">
        <v>3442</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3445</v>
      </c>
      <c r="D114" s="3458" t="s">
        <v>3446</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3441</v>
      </c>
      <c r="D122" s="3458" t="s">
        <v>3442</v>
      </c>
      <c r="E122" s="3458" t="s">
        <v>3447</v>
      </c>
      <c r="F122" s="3459" t="s">
        <v>3448</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80.12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80.12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80.12</v>
      </c>
      <c r="F56" s="886" t="e">
        <f t="shared" ref="F56:F64" si="15">ROUND(B56*E56/10000,0)</f>
        <v>#DIV/0!</v>
      </c>
      <c r="G56" s="3697"/>
      <c r="H56" s="3715"/>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80.12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80.12</v>
      </c>
      <c r="F51" s="639" t="e">
        <f t="shared" ref="F51:F60" si="15">ROUND(B51*E51/10000,0)</f>
        <v>#DIV/0!</v>
      </c>
      <c r="G51" s="3697"/>
      <c r="H51" s="3715"/>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80.12</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80.12</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80.12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3409</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3414</v>
      </c>
      <c r="I20" s="3325" t="s">
        <v>3415</v>
      </c>
      <c r="J20" s="3326" t="s">
        <v>3416</v>
      </c>
      <c r="K20" s="2047" t="s">
        <v>3417</v>
      </c>
      <c r="L20" s="2047" t="s">
        <v>3418</v>
      </c>
      <c r="M20" s="2047" t="s">
        <v>3419</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3411</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20.04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80.12</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3431</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3432</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3431</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3431</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3456</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3431</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3431</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3432</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3431</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26959</v>
      </c>
      <c r="C2" s="2" t="s">
        <v>106</v>
      </c>
      <c r="D2" s="199"/>
      <c r="E2" s="199"/>
      <c r="F2" s="199"/>
      <c r="G2" s="199"/>
    </row>
    <row r="3" spans="1:7" s="200" customFormat="1" ht="18" customHeight="1" thickBot="1">
      <c r="A3" s="203" t="s">
        <v>58</v>
      </c>
      <c r="B3" s="204">
        <f ca="1">ROUND(B2*10000/'数据-汇总表'!E3,0)</f>
        <v>3364828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80.12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80.12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80.12</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26959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147</v>
      </c>
      <c r="E5" s="1491"/>
    </row>
    <row r="6" spans="1:5" ht="15.75">
      <c r="A6" s="1491"/>
      <c r="B6" s="3470"/>
      <c r="C6" s="1494" t="s">
        <v>911</v>
      </c>
      <c r="D6" s="850" t="str">
        <f ca="1">NUMBERSTRING(INT(D5*10000),2)&amp;"元整"</f>
        <v>壹佰肆拾柒万元整</v>
      </c>
      <c r="E6" s="1491"/>
    </row>
    <row r="7" spans="1:5" ht="15.75">
      <c r="A7" s="1491"/>
      <c r="B7" s="3475"/>
      <c r="C7" s="1495" t="s">
        <v>912</v>
      </c>
      <c r="D7" s="851">
        <f ca="1">结果表!H102</f>
        <v>18329</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147</v>
      </c>
      <c r="E13" s="1491"/>
    </row>
    <row r="14" spans="1:5" ht="15.75">
      <c r="A14" s="1491"/>
      <c r="B14" s="3470"/>
      <c r="C14" s="1494" t="s">
        <v>911</v>
      </c>
      <c r="D14" s="850" t="str">
        <f ca="1">NUMBERSTRING(INT(D13*10000),2)&amp;"元整"</f>
        <v>壹佰肆拾柒万元整</v>
      </c>
      <c r="E14" s="1491"/>
    </row>
    <row r="15" spans="1:5" ht="15">
      <c r="A15" s="1491"/>
      <c r="B15" s="3475"/>
      <c r="C15" s="1495" t="s">
        <v>921</v>
      </c>
      <c r="D15" s="859">
        <f ca="1">结果表!H108</f>
        <v>18329</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80.12</v>
      </c>
      <c r="C4" s="854">
        <f>项目基本情况!C18</f>
        <v>0</v>
      </c>
      <c r="D4" s="854">
        <f>结果表!D118</f>
        <v>0</v>
      </c>
      <c r="E4" s="854">
        <f>结果表!E118</f>
        <v>0</v>
      </c>
      <c r="F4" s="854">
        <f>结果表!F118</f>
        <v>0</v>
      </c>
      <c r="G4" s="854">
        <f>结果表!G118</f>
        <v>0</v>
      </c>
      <c r="H4" s="854">
        <f ca="1">结果表!H118</f>
        <v>147</v>
      </c>
      <c r="I4" s="854">
        <f ca="1">结果表!I118</f>
        <v>18329</v>
      </c>
    </row>
    <row r="5" spans="1:9" ht="30" customHeight="1">
      <c r="A5" s="3481" t="s">
        <v>927</v>
      </c>
      <c r="B5" s="3481"/>
      <c r="C5" s="3481"/>
      <c r="D5" s="3481" t="str">
        <f>结果表!D119</f>
        <v>零元整</v>
      </c>
      <c r="E5" s="3481"/>
      <c r="F5" s="3481" t="str">
        <f>结果表!F119</f>
        <v>零元整</v>
      </c>
      <c r="G5" s="3481"/>
      <c r="H5" s="3481" t="str">
        <f ca="1">结果表!H119</f>
        <v>壹佰肆拾柒万元整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147</v>
      </c>
      <c r="E8" s="3482"/>
      <c r="F8" s="3482"/>
      <c r="G8" s="3482"/>
      <c r="H8" s="3482"/>
      <c r="I8" s="3482"/>
    </row>
    <row r="9" spans="1:9" ht="15">
      <c r="A9" s="3481" t="s">
        <v>927</v>
      </c>
      <c r="B9" s="3481"/>
      <c r="C9" s="3481"/>
      <c r="D9" s="3481" t="str">
        <f ca="1">结果表!D123</f>
        <v>壹佰肆拾柒万元整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2024-06-07T02:17:09Z</dcterms:modified>
</cp:coreProperties>
</file>