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燕保房屋清单"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14">燕保房屋清单!$A$1:$L$14</definedName>
    <definedName name="_xlnm.Print_Titles" localSheetId="14">燕保房屋清单!$2:$2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8" i="31" l="1"/>
  <c r="C17" i="31"/>
  <c r="D17" i="31"/>
  <c r="E17" i="31"/>
  <c r="D4" i="31"/>
  <c r="E4" i="31"/>
  <c r="F4" i="31"/>
  <c r="G4" i="31"/>
  <c r="C4" i="31"/>
  <c r="D3" i="31"/>
  <c r="E3" i="31"/>
  <c r="F3" i="31"/>
  <c r="G3" i="31"/>
  <c r="C3" i="31"/>
  <c r="B36" i="31"/>
  <c r="B26" i="31"/>
  <c r="B27" i="31"/>
  <c r="B28" i="31"/>
  <c r="B30" i="31"/>
  <c r="B31" i="31"/>
  <c r="B32" i="31"/>
  <c r="B33" i="31"/>
  <c r="B34" i="31"/>
  <c r="B35" i="31"/>
  <c r="B25" i="31"/>
  <c r="B24" i="31"/>
  <c r="D74" i="83"/>
  <c r="G37" i="34"/>
  <c r="I37" i="34"/>
  <c r="E37" i="34"/>
  <c r="C34" i="34" l="1"/>
  <c r="D67" i="34"/>
  <c r="E67" i="34" s="1"/>
  <c r="F67" i="34" s="1"/>
  <c r="G67" i="34" s="1"/>
  <c r="H67" i="34" s="1"/>
  <c r="I67" i="34" s="1"/>
  <c r="J67" i="34" s="1"/>
  <c r="N19" i="1" l="1"/>
  <c r="N6" i="1" s="1"/>
  <c r="C37" i="34" s="1"/>
  <c r="I13" i="3"/>
  <c r="B14" i="74" s="1"/>
  <c r="I15" i="80"/>
  <c r="K14" i="80"/>
  <c r="G14" i="80"/>
  <c r="K13" i="80"/>
  <c r="G13" i="80"/>
  <c r="K12" i="80"/>
  <c r="G12" i="80"/>
  <c r="K11" i="80"/>
  <c r="G11" i="80"/>
  <c r="K10" i="80"/>
  <c r="G10" i="80"/>
  <c r="K9" i="80"/>
  <c r="G9" i="80"/>
  <c r="K8" i="80"/>
  <c r="G8" i="80"/>
  <c r="K7" i="80"/>
  <c r="G7" i="80"/>
  <c r="K6" i="80"/>
  <c r="G6" i="80"/>
  <c r="K5" i="80"/>
  <c r="G5" i="80"/>
  <c r="K4" i="80"/>
  <c r="G4" i="80"/>
  <c r="K3" i="80"/>
  <c r="G3" i="80"/>
  <c r="F19" i="6"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P24" i="71"/>
  <c r="O24" i="71"/>
  <c r="C24" i="71" s="1"/>
  <c r="C23" i="71" s="1"/>
  <c r="Q25" i="71"/>
  <c r="F23"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s="1"/>
  <c r="F56" i="71"/>
  <c r="V56" i="71" s="1"/>
  <c r="P53" i="71"/>
  <c r="E54" i="71" s="1"/>
  <c r="O53" i="71"/>
  <c r="C54" i="71" s="1"/>
  <c r="C55" i="71" s="1"/>
  <c r="D55"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P39" i="71"/>
  <c r="AA39" i="71"/>
  <c r="O39" i="71"/>
  <c r="Y39" i="71"/>
  <c r="Z39" i="71" s="1"/>
  <c r="N39" i="71"/>
  <c r="Q38" i="71"/>
  <c r="P38" i="71"/>
  <c r="AA38" i="71" s="1"/>
  <c r="O38" i="71"/>
  <c r="N38" i="71"/>
  <c r="X38" i="71" s="1"/>
  <c r="Q37" i="71"/>
  <c r="F38" i="71" s="1"/>
  <c r="P37" i="71"/>
  <c r="O37" i="71"/>
  <c r="N37" i="71"/>
  <c r="X35" i="71" s="1"/>
  <c r="D37" i="71"/>
  <c r="Q36" i="71"/>
  <c r="P36" i="71"/>
  <c r="O36" i="71"/>
  <c r="Y36" i="71" s="1"/>
  <c r="Z36" i="71" s="1"/>
  <c r="N36" i="71"/>
  <c r="Q35" i="71"/>
  <c r="P35" i="71"/>
  <c r="O35" i="71"/>
  <c r="N35" i="71"/>
  <c r="Q34" i="71"/>
  <c r="P34" i="71"/>
  <c r="O34" i="71"/>
  <c r="N34" i="71"/>
  <c r="X34" i="71" s="1"/>
  <c r="Q33" i="71"/>
  <c r="F34" i="71" s="1"/>
  <c r="P33" i="71"/>
  <c r="O33" i="71"/>
  <c r="N33" i="71"/>
  <c r="X28" i="71" s="1"/>
  <c r="D33" i="71"/>
  <c r="Q32" i="71"/>
  <c r="AB28" i="71" s="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B34" i="71"/>
  <c r="B35" i="71" s="1"/>
  <c r="B36" i="71" s="1"/>
  <c r="S36" i="71" s="1"/>
  <c r="N68" i="71"/>
  <c r="C30" i="71"/>
  <c r="C34" i="71"/>
  <c r="C35" i="71"/>
  <c r="D35" i="71" s="1"/>
  <c r="C38" i="71"/>
  <c r="F51" i="71"/>
  <c r="F52" i="71" s="1"/>
  <c r="V52" i="71" s="1"/>
  <c r="B28" i="71"/>
  <c r="B27" i="71" s="1"/>
  <c r="B26" i="71" s="1"/>
  <c r="C31" i="71"/>
  <c r="D30" i="71"/>
  <c r="D34" i="71"/>
  <c r="D42" i="71"/>
  <c r="C51" i="71"/>
  <c r="D51" i="71" s="1"/>
  <c r="P28" i="71"/>
  <c r="E55" i="71"/>
  <c r="E56" i="71"/>
  <c r="U56" i="71" s="1"/>
  <c r="E59" i="71"/>
  <c r="E60" i="71" s="1"/>
  <c r="U60" i="71" s="1"/>
  <c r="E63" i="71"/>
  <c r="E64" i="71" s="1"/>
  <c r="U64" i="71" s="1"/>
  <c r="U68" i="71"/>
  <c r="Q28" i="71"/>
  <c r="F28" i="71" s="1"/>
  <c r="D54" i="71"/>
  <c r="D58" i="71"/>
  <c r="T68" i="71"/>
  <c r="O68" i="71"/>
  <c r="D68" i="71"/>
  <c r="C67" i="71"/>
  <c r="O67" i="71" s="1"/>
  <c r="Q68" i="71"/>
  <c r="C71" i="71"/>
  <c r="D71" i="71" s="1"/>
  <c r="C75" i="71"/>
  <c r="C74" i="71" s="1"/>
  <c r="D74" i="71" s="1"/>
  <c r="D76" i="71"/>
  <c r="C79" i="71"/>
  <c r="C83" i="71"/>
  <c r="S28" i="71"/>
  <c r="E28" i="71"/>
  <c r="E27" i="71" s="1"/>
  <c r="E26" i="71" s="1"/>
  <c r="C66" i="71"/>
  <c r="D67" i="71"/>
  <c r="D75" i="71"/>
  <c r="C70" i="71"/>
  <c r="D70" i="71" s="1"/>
  <c r="C56" i="71"/>
  <c r="C52" i="71"/>
  <c r="C44" i="71"/>
  <c r="T44" i="71" s="1"/>
  <c r="D43" i="71"/>
  <c r="C36" i="71"/>
  <c r="C32" i="71"/>
  <c r="T32" i="71" s="1"/>
  <c r="D31" i="71"/>
  <c r="D32"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C22" i="20"/>
  <c r="B57" i="43"/>
  <c r="S25" i="40"/>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E83" i="21"/>
  <c r="F83" i="21" s="1"/>
  <c r="G83" i="21"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J5" i="3" s="1"/>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BD554" i="3"/>
  <c r="BE554" i="3"/>
  <c r="BF554" i="3"/>
  <c r="BG554" i="3"/>
  <c r="BG5" i="3" s="1"/>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D114" i="34"/>
  <c r="E114" i="34" s="1"/>
  <c r="F38" i="34"/>
  <c r="S38" i="34" s="1"/>
  <c r="D112" i="34"/>
  <c r="F40" i="33"/>
  <c r="J41" i="33"/>
  <c r="W41" i="33" s="1"/>
  <c r="D113" i="33"/>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B108" i="37"/>
  <c r="C23" i="37"/>
  <c r="C19" i="37"/>
  <c r="C17" i="37"/>
  <c r="C15" i="37"/>
  <c r="B112" i="37"/>
  <c r="J40" i="37" s="1"/>
  <c r="AC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B71" i="36"/>
  <c r="D70" i="36"/>
  <c r="H22" i="36"/>
  <c r="AB22" i="36" s="1"/>
  <c r="D68" i="36"/>
  <c r="E68" i="36" s="1"/>
  <c r="F68" i="36" s="1"/>
  <c r="G68" i="36" s="1"/>
  <c r="D64" i="36"/>
  <c r="E64" i="36"/>
  <c r="F64" i="36" s="1"/>
  <c r="G64" i="36" s="1"/>
  <c r="J16" i="36"/>
  <c r="W16" i="36"/>
  <c r="D62" i="36"/>
  <c r="E62" i="36"/>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F47" i="34" s="1"/>
  <c r="S47" i="34" s="1"/>
  <c r="B129" i="34"/>
  <c r="B127" i="34"/>
  <c r="B99" i="34"/>
  <c r="B97" i="34"/>
  <c r="H31" i="34" s="1"/>
  <c r="AB31" i="34" s="1"/>
  <c r="B95" i="34"/>
  <c r="B93" i="34"/>
  <c r="B75" i="34"/>
  <c r="B73" i="34"/>
  <c r="J13" i="34" s="1"/>
  <c r="W13" i="34" s="1"/>
  <c r="B71" i="34"/>
  <c r="B130" i="33"/>
  <c r="B128" i="33"/>
  <c r="B126" i="33"/>
  <c r="J44" i="33" s="1"/>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S8" i="34" s="1"/>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J26" i="21"/>
  <c r="W26" i="21" s="1"/>
  <c r="F26" i="21"/>
  <c r="S26" i="21" s="1"/>
  <c r="S41" i="21"/>
  <c r="F45" i="39"/>
  <c r="S45" i="39" s="1"/>
  <c r="J45" i="39"/>
  <c r="J44" i="39"/>
  <c r="AC44" i="39" s="1"/>
  <c r="F36" i="39"/>
  <c r="H36" i="39"/>
  <c r="J36" i="39"/>
  <c r="U9" i="39"/>
  <c r="W25" i="37"/>
  <c r="U30" i="37"/>
  <c r="W31" i="37"/>
  <c r="E103" i="37"/>
  <c r="F103" i="37" s="1"/>
  <c r="G103" i="37" s="1"/>
  <c r="H103" i="37" s="1"/>
  <c r="I103" i="37" s="1"/>
  <c r="J103" i="37" s="1"/>
  <c r="K103" i="37" s="1"/>
  <c r="L103" i="37" s="1"/>
  <c r="M103" i="37" s="1"/>
  <c r="F39" i="37"/>
  <c r="U14" i="37"/>
  <c r="F29" i="36"/>
  <c r="AA29" i="36" s="1"/>
  <c r="F16" i="36"/>
  <c r="AA16" i="36" s="1"/>
  <c r="W28" i="36"/>
  <c r="H22" i="35"/>
  <c r="AB22" i="35" s="1"/>
  <c r="AC27" i="35"/>
  <c r="U31" i="35"/>
  <c r="W22" i="35"/>
  <c r="F36" i="34"/>
  <c r="AA36" i="34" s="1"/>
  <c r="J35" i="34"/>
  <c r="U34" i="34"/>
  <c r="H39" i="33"/>
  <c r="AB39" i="33" s="1"/>
  <c r="F26" i="33"/>
  <c r="U33" i="33"/>
  <c r="S40" i="33"/>
  <c r="W33" i="33"/>
  <c r="W39" i="33"/>
  <c r="S27" i="35"/>
  <c r="F11" i="40"/>
  <c r="AA11" i="40"/>
  <c r="H11" i="40"/>
  <c r="AB11" i="40"/>
  <c r="AC9" i="40"/>
  <c r="S34" i="40"/>
  <c r="S38" i="40"/>
  <c r="F42" i="39"/>
  <c r="AA42" i="39" s="1"/>
  <c r="F41" i="39"/>
  <c r="S41" i="39" s="1"/>
  <c r="H40" i="39"/>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c r="F27" i="39"/>
  <c r="F11" i="21"/>
  <c r="S11" i="21" s="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C12" i="34"/>
  <c r="AA12" i="34"/>
  <c r="AB12" i="35"/>
  <c r="W32" i="40"/>
  <c r="S44" i="39"/>
  <c r="F37" i="39"/>
  <c r="AA37" i="39"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14" i="35"/>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28" i="34"/>
  <c r="F25" i="34"/>
  <c r="S25" i="34" s="1"/>
  <c r="J23" i="34"/>
  <c r="W23" i="34" s="1"/>
  <c r="F19" i="34"/>
  <c r="AA19" i="34" s="1"/>
  <c r="H17" i="34"/>
  <c r="U17" i="34" s="1"/>
  <c r="F15" i="34"/>
  <c r="S15" i="34" s="1"/>
  <c r="J15" i="34"/>
  <c r="H15" i="34"/>
  <c r="AB15" i="34" s="1"/>
  <c r="J28" i="34"/>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J43" i="34"/>
  <c r="AC43" i="34" s="1"/>
  <c r="AB42" i="34"/>
  <c r="J40" i="34"/>
  <c r="AC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AA15" i="34"/>
  <c r="F113" i="33"/>
  <c r="G113" i="33" s="1"/>
  <c r="H113" i="33" s="1"/>
  <c r="I113" i="33" s="1"/>
  <c r="J113" i="33" s="1"/>
  <c r="K113" i="33" s="1"/>
  <c r="L113" i="33" s="1"/>
  <c r="M113" i="33" s="1"/>
  <c r="H37" i="33"/>
  <c r="AB37" i="33" s="1"/>
  <c r="H15" i="33"/>
  <c r="AB15" i="33" s="1"/>
  <c r="H11" i="33"/>
  <c r="AB11" i="33" s="1"/>
  <c r="F28" i="40"/>
  <c r="AA28" i="40" s="1"/>
  <c r="AA42" i="34"/>
  <c r="S42" i="34"/>
  <c r="AA38" i="34"/>
  <c r="J11" i="33"/>
  <c r="W11" i="33" s="1"/>
  <c r="U23" i="40"/>
  <c r="J42" i="21"/>
  <c r="AC42" i="21"/>
  <c r="H42" i="21"/>
  <c r="U42" i="21"/>
  <c r="F44" i="34"/>
  <c r="AA44" i="34" s="1"/>
  <c r="J10" i="35"/>
  <c r="AC10" i="35" s="1"/>
  <c r="BL587" i="3"/>
  <c r="F14" i="21"/>
  <c r="S14" i="21" s="1"/>
  <c r="H28" i="21"/>
  <c r="AB28" i="21" s="1"/>
  <c r="F28" i="21"/>
  <c r="AA28" i="21" s="1"/>
  <c r="J28" i="21"/>
  <c r="F30" i="21"/>
  <c r="S30" i="21" s="1"/>
  <c r="F44" i="21"/>
  <c r="AA44"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U31" i="33" s="1"/>
  <c r="F31" i="33"/>
  <c r="H45" i="33"/>
  <c r="J45" i="33"/>
  <c r="W45" i="33" s="1"/>
  <c r="F45" i="33"/>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J37" i="37"/>
  <c r="AC37" i="37" s="1"/>
  <c r="H37" i="37"/>
  <c r="U37" i="37" s="1"/>
  <c r="H40" i="37"/>
  <c r="U40" i="37" s="1"/>
  <c r="F40" i="37"/>
  <c r="AA40" i="37" s="1"/>
  <c r="F14" i="33"/>
  <c r="H30" i="33"/>
  <c r="AB30" i="33" s="1"/>
  <c r="F30" i="33"/>
  <c r="H44" i="33"/>
  <c r="AB44" i="33" s="1"/>
  <c r="F44" i="33"/>
  <c r="F46" i="33"/>
  <c r="AA46" i="33" s="1"/>
  <c r="H13" i="34"/>
  <c r="F13" i="34"/>
  <c r="AA13" i="34" s="1"/>
  <c r="F29" i="34"/>
  <c r="S29" i="34" s="1"/>
  <c r="J31" i="34"/>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H25" i="36"/>
  <c r="AB25" i="36" s="1"/>
  <c r="F13" i="37"/>
  <c r="S13" i="37" s="1"/>
  <c r="J13" i="37"/>
  <c r="W13" i="37" s="1"/>
  <c r="F28" i="37"/>
  <c r="AA28" i="37" s="1"/>
  <c r="J28" i="37"/>
  <c r="AC28" i="37" s="1"/>
  <c r="H28" i="37"/>
  <c r="U28" i="37" s="1"/>
  <c r="H38" i="37"/>
  <c r="AB38" i="37" s="1"/>
  <c r="J38" i="37"/>
  <c r="AC38" i="37" s="1"/>
  <c r="F38" i="37"/>
  <c r="S38" i="37" s="1"/>
  <c r="H43" i="39"/>
  <c r="AB43" i="39" s="1"/>
  <c r="J14" i="39"/>
  <c r="AC14" i="39" s="1"/>
  <c r="F14" i="39"/>
  <c r="AA14" i="39" s="1"/>
  <c r="H14" i="39"/>
  <c r="AB14" i="39"/>
  <c r="H30" i="40"/>
  <c r="AB30" i="40"/>
  <c r="F33" i="40"/>
  <c r="AA33" i="40"/>
  <c r="H33" i="40"/>
  <c r="U33" i="40"/>
  <c r="J35" i="40"/>
  <c r="AC35" i="40"/>
  <c r="J37" i="40"/>
  <c r="AC37" i="40"/>
  <c r="H13" i="40"/>
  <c r="U13" i="40"/>
  <c r="J13" i="40"/>
  <c r="W13" i="40"/>
  <c r="F13" i="40"/>
  <c r="AA13" i="40"/>
  <c r="F14" i="37"/>
  <c r="S14" i="37"/>
  <c r="J13" i="39"/>
  <c r="W13" i="39" s="1"/>
  <c r="H14" i="40"/>
  <c r="AB14" i="40" s="1"/>
  <c r="F14" i="40"/>
  <c r="J14" i="37"/>
  <c r="AC14" i="37" s="1"/>
  <c r="J27" i="37"/>
  <c r="AC27" i="37" s="1"/>
  <c r="U31" i="34"/>
  <c r="J36" i="37"/>
  <c r="AC36" i="37" s="1"/>
  <c r="G105" i="37"/>
  <c r="J10" i="36"/>
  <c r="AC10" i="36" s="1"/>
  <c r="AA14" i="37"/>
  <c r="AC13" i="36"/>
  <c r="W13" i="36"/>
  <c r="S11" i="36"/>
  <c r="AB31" i="33"/>
  <c r="S44" i="34"/>
  <c r="BA585" i="3"/>
  <c r="F17" i="21"/>
  <c r="AA17" i="21" s="1"/>
  <c r="H17" i="21"/>
  <c r="AB17" i="21" s="1"/>
  <c r="F15" i="21"/>
  <c r="S15" i="21" s="1"/>
  <c r="J41" i="39"/>
  <c r="W41" i="39" s="1"/>
  <c r="W44" i="39"/>
  <c r="G540" i="3"/>
  <c r="G535" i="3"/>
  <c r="G531" i="3"/>
  <c r="G527" i="3"/>
  <c r="G518" i="3"/>
  <c r="G510" i="3"/>
  <c r="G504" i="3"/>
  <c r="G496" i="3"/>
  <c r="G580" i="3"/>
  <c r="G572" i="3"/>
  <c r="BL576" i="3"/>
  <c r="BL568" i="3"/>
  <c r="BL560" i="3"/>
  <c r="BL546" i="3"/>
  <c r="BL538" i="3"/>
  <c r="AZ538" i="3" s="1"/>
  <c r="BL530" i="3"/>
  <c r="BL522" i="3"/>
  <c r="BL512" i="3"/>
  <c r="BL502" i="3"/>
  <c r="BL494" i="3"/>
  <c r="BL578" i="3"/>
  <c r="BL570" i="3"/>
  <c r="BL562" i="3"/>
  <c r="BL540" i="3"/>
  <c r="G533" i="3"/>
  <c r="G529" i="3"/>
  <c r="G525" i="3"/>
  <c r="BL518" i="3"/>
  <c r="BL510" i="3"/>
  <c r="BL500" i="3"/>
  <c r="G493" i="3"/>
  <c r="BA578" i="3"/>
  <c r="BA574" i="3"/>
  <c r="BA570" i="3"/>
  <c r="AZ570" i="3" s="1"/>
  <c r="BA566" i="3"/>
  <c r="BA558" i="3"/>
  <c r="BA546" i="3"/>
  <c r="AZ546" i="3" s="1"/>
  <c r="BA538" i="3"/>
  <c r="BA528" i="3"/>
  <c r="BA524" i="3"/>
  <c r="BA520" i="3"/>
  <c r="BA516" i="3"/>
  <c r="BA512" i="3"/>
  <c r="AZ512" i="3" s="1"/>
  <c r="BA510" i="3"/>
  <c r="AZ510" i="3" s="1"/>
  <c r="BA508" i="3"/>
  <c r="BA504" i="3"/>
  <c r="BA502" i="3"/>
  <c r="BA498" i="3"/>
  <c r="BA496" i="3"/>
  <c r="BA587" i="3"/>
  <c r="AZ587" i="3" s="1"/>
  <c r="BA579" i="3"/>
  <c r="BA575" i="3"/>
  <c r="BA571" i="3"/>
  <c r="BA567" i="3"/>
  <c r="BA553" i="3"/>
  <c r="BA547" i="3"/>
  <c r="BA543" i="3"/>
  <c r="AZ543" i="3" s="1"/>
  <c r="BA539" i="3"/>
  <c r="BA535" i="3"/>
  <c r="AZ535" i="3" s="1"/>
  <c r="BA531" i="3"/>
  <c r="BA527" i="3"/>
  <c r="AZ527" i="3" s="1"/>
  <c r="BA523" i="3"/>
  <c r="BA517" i="3"/>
  <c r="BA513" i="3"/>
  <c r="BA507" i="3"/>
  <c r="AZ507" i="3" s="1"/>
  <c r="BA503" i="3"/>
  <c r="BA499" i="3"/>
  <c r="BA495" i="3"/>
  <c r="G583" i="3"/>
  <c r="G579" i="3"/>
  <c r="G575" i="3"/>
  <c r="G571" i="3"/>
  <c r="G567" i="3"/>
  <c r="AC557" i="3"/>
  <c r="BQ557" i="3"/>
  <c r="BQ583" i="3"/>
  <c r="BQ581" i="3"/>
  <c r="BL581" i="3"/>
  <c r="BQ579" i="3"/>
  <c r="BL579" i="3"/>
  <c r="BQ577" i="3"/>
  <c r="BQ575" i="3"/>
  <c r="BQ573" i="3"/>
  <c r="BL573" i="3" s="1"/>
  <c r="BQ571" i="3"/>
  <c r="BL571" i="3"/>
  <c r="BQ569" i="3"/>
  <c r="BQ567" i="3"/>
  <c r="BQ565" i="3"/>
  <c r="BQ563" i="3"/>
  <c r="BQ561" i="3"/>
  <c r="BQ559" i="3"/>
  <c r="G553" i="3"/>
  <c r="G547" i="3"/>
  <c r="G543" i="3"/>
  <c r="G539" i="3"/>
  <c r="BQ555" i="3"/>
  <c r="BQ553" i="3"/>
  <c r="BQ551" i="3"/>
  <c r="BL551" i="3"/>
  <c r="BQ549" i="3"/>
  <c r="BQ547" i="3"/>
  <c r="BL547" i="3" s="1"/>
  <c r="BQ545" i="3"/>
  <c r="BQ543" i="3"/>
  <c r="BL543" i="3" s="1"/>
  <c r="BQ541" i="3"/>
  <c r="BQ539" i="3"/>
  <c r="BL539" i="3" s="1"/>
  <c r="BQ537" i="3"/>
  <c r="BQ535" i="3"/>
  <c r="BL535" i="3" s="1"/>
  <c r="BQ533" i="3"/>
  <c r="BQ531" i="3"/>
  <c r="BL531" i="3" s="1"/>
  <c r="BQ529" i="3"/>
  <c r="BQ527" i="3"/>
  <c r="BL527" i="3" s="1"/>
  <c r="BQ525" i="3"/>
  <c r="BQ523" i="3"/>
  <c r="BL523" i="3" s="1"/>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BQ505" i="3"/>
  <c r="BQ503" i="3"/>
  <c r="BL503" i="3" s="1"/>
  <c r="BQ501" i="3"/>
  <c r="BQ499" i="3"/>
  <c r="BQ497" i="3"/>
  <c r="BQ495" i="3"/>
  <c r="BQ493" i="3"/>
  <c r="BQ5" i="3" s="1"/>
  <c r="F28" i="6" s="1"/>
  <c r="S505" i="31"/>
  <c r="S503" i="31"/>
  <c r="S501" i="31"/>
  <c r="S499" i="31"/>
  <c r="O27" i="31"/>
  <c r="O28" i="31"/>
  <c r="O26" i="31"/>
  <c r="M27" i="31"/>
  <c r="M28" i="31"/>
  <c r="M26" i="31"/>
  <c r="I26" i="31"/>
  <c r="I25" i="31"/>
  <c r="K26" i="31"/>
  <c r="I27" i="31"/>
  <c r="K27" i="31"/>
  <c r="I28" i="31"/>
  <c r="K28" i="31"/>
  <c r="S21" i="40"/>
  <c r="H25" i="21"/>
  <c r="U25" i="21" s="1"/>
  <c r="F25" i="21"/>
  <c r="S25" i="21" s="1"/>
  <c r="J25" i="21"/>
  <c r="AC25" i="21" s="1"/>
  <c r="H43" i="33"/>
  <c r="H17" i="37"/>
  <c r="U17" i="37"/>
  <c r="U32" i="33"/>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c r="F123" i="33"/>
  <c r="G123" i="33"/>
  <c r="H123" i="33" s="1"/>
  <c r="I123" i="33" s="1"/>
  <c r="J123" i="33" s="1"/>
  <c r="K123" i="33" s="1"/>
  <c r="L123" i="33" s="1"/>
  <c r="M123" i="33" s="1"/>
  <c r="H42" i="33"/>
  <c r="AB42" i="33"/>
  <c r="J43" i="33"/>
  <c r="AC43" i="33" s="1"/>
  <c r="U14" i="40"/>
  <c r="U35" i="35"/>
  <c r="AA12" i="35"/>
  <c r="W14" i="37"/>
  <c r="AB28" i="37"/>
  <c r="U33" i="37"/>
  <c r="U26" i="37"/>
  <c r="AA13" i="33"/>
  <c r="AC45" i="33"/>
  <c r="U11" i="33"/>
  <c r="U19" i="21"/>
  <c r="U26" i="21"/>
  <c r="AB38" i="21"/>
  <c r="F43" i="33"/>
  <c r="AA43" i="33" s="1"/>
  <c r="W16" i="35"/>
  <c r="W40" i="37"/>
  <c r="H37" i="21"/>
  <c r="U37" i="21" s="1"/>
  <c r="S42" i="21"/>
  <c r="H19" i="34"/>
  <c r="AB19" i="34" s="1"/>
  <c r="F36" i="35"/>
  <c r="S36" i="35"/>
  <c r="J9" i="37"/>
  <c r="W9" i="37" s="1"/>
  <c r="H9" i="37"/>
  <c r="U9" i="37" s="1"/>
  <c r="F9" i="37"/>
  <c r="S9" i="37" s="1"/>
  <c r="J12" i="37"/>
  <c r="H12" i="37"/>
  <c r="AB12" i="37" s="1"/>
  <c r="F12" i="37"/>
  <c r="S12" i="37" s="1"/>
  <c r="E71" i="37"/>
  <c r="F15" i="37"/>
  <c r="AA15" i="37" s="1"/>
  <c r="F31" i="37"/>
  <c r="S31" i="37" s="1"/>
  <c r="F12" i="39"/>
  <c r="S12" i="39" s="1"/>
  <c r="J42" i="39"/>
  <c r="AC42" i="39" s="1"/>
  <c r="H21" i="40"/>
  <c r="AB21" i="40" s="1"/>
  <c r="H31" i="37"/>
  <c r="U31" i="37" s="1"/>
  <c r="F71" i="37"/>
  <c r="G71" i="37" s="1"/>
  <c r="J15" i="37"/>
  <c r="W15" i="37" s="1"/>
  <c r="AT6" i="3"/>
  <c r="H5" i="3"/>
  <c r="AA25" i="21"/>
  <c r="H19" i="40"/>
  <c r="U19" i="40" s="1"/>
  <c r="F88" i="40"/>
  <c r="G88" i="40" s="1"/>
  <c r="F19" i="40"/>
  <c r="S19" i="40" s="1"/>
  <c r="AC13" i="40"/>
  <c r="AB33" i="40"/>
  <c r="W23" i="39"/>
  <c r="U45" i="39"/>
  <c r="AB44" i="39"/>
  <c r="U44"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G4" i="4"/>
  <c r="I4" i="4"/>
  <c r="A2" i="9"/>
  <c r="F61" i="43"/>
  <c r="H64" i="43" s="1"/>
  <c r="AZ24" i="3"/>
  <c r="AZ28"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AZ200" i="3" s="1"/>
  <c r="G201" i="3"/>
  <c r="BA203" i="3"/>
  <c r="AZ203" i="3" s="1"/>
  <c r="BL204" i="3"/>
  <c r="AZ204" i="3" s="1"/>
  <c r="AZ39" i="3"/>
  <c r="AZ43" i="3"/>
  <c r="AZ47" i="3"/>
  <c r="AZ59" i="3"/>
  <c r="AZ63" i="3"/>
  <c r="AZ71" i="3"/>
  <c r="AZ79" i="3"/>
  <c r="AZ83" i="3"/>
  <c r="AZ136" i="3"/>
  <c r="AZ152" i="3"/>
  <c r="AZ160" i="3"/>
  <c r="AZ168" i="3"/>
  <c r="AZ184" i="3"/>
  <c r="AZ192" i="3"/>
  <c r="AZ85" i="3"/>
  <c r="AZ93" i="3"/>
  <c r="AZ97" i="3"/>
  <c r="AZ101" i="3"/>
  <c r="AZ105" i="3"/>
  <c r="AZ109" i="3"/>
  <c r="AZ120" i="3"/>
  <c r="G534" i="3"/>
  <c r="G522" i="3"/>
  <c r="G512" i="3"/>
  <c r="G498"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1" i="3"/>
  <c r="AZ245"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91" i="3"/>
  <c r="BO5" i="3"/>
  <c r="BF5" i="3"/>
  <c r="AZ309" i="3"/>
  <c r="AZ325" i="3"/>
  <c r="AZ341" i="3"/>
  <c r="AC5" i="3"/>
  <c r="G548" i="3"/>
  <c r="G520" i="3"/>
  <c r="BS5" i="3"/>
  <c r="BK5" i="3"/>
  <c r="BC5" i="3"/>
  <c r="G17" i="3"/>
  <c r="BA17" i="3"/>
  <c r="AZ17" i="3" s="1"/>
  <c r="AZ350" i="3"/>
  <c r="AZ356" i="3"/>
  <c r="AZ364" i="3"/>
  <c r="BA15" i="3"/>
  <c r="AZ380" i="3"/>
  <c r="AZ388" i="3"/>
  <c r="G509" i="3"/>
  <c r="AZ491" i="3"/>
  <c r="AZ390" i="3"/>
  <c r="U36" i="40"/>
  <c r="F83" i="43"/>
  <c r="H85" i="43" s="1"/>
  <c r="F50" i="43"/>
  <c r="H54" i="43" s="1"/>
  <c r="F72" i="43"/>
  <c r="H75" i="43" s="1"/>
  <c r="U17" i="39"/>
  <c r="U43" i="21"/>
  <c r="AC35" i="21"/>
  <c r="G8" i="1"/>
  <c r="G10" i="1"/>
  <c r="AC11" i="39"/>
  <c r="W37" i="37"/>
  <c r="S15" i="37"/>
  <c r="J37" i="33"/>
  <c r="W37" i="33" s="1"/>
  <c r="G106" i="33"/>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c r="F20" i="35"/>
  <c r="AA20" i="35"/>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86" i="3"/>
  <c r="C40" i="11"/>
  <c r="AZ223" i="3"/>
  <c r="AZ232" i="3"/>
  <c r="AZ235" i="3"/>
  <c r="AZ240" i="3"/>
  <c r="AZ243" i="3"/>
  <c r="AZ256" i="3"/>
  <c r="AZ259" i="3"/>
  <c r="AZ268" i="3"/>
  <c r="AZ296" i="3"/>
  <c r="AZ114" i="3"/>
  <c r="AZ130" i="3"/>
  <c r="AZ21" i="3"/>
  <c r="AZ37" i="3"/>
  <c r="AZ42" i="3"/>
  <c r="AZ45" i="3"/>
  <c r="AZ58" i="3"/>
  <c r="AZ61"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AC12" i="39"/>
  <c r="W12" i="39"/>
  <c r="AC39" i="40"/>
  <c r="W39" i="40"/>
  <c r="W12" i="33"/>
  <c r="AC12" i="33"/>
  <c r="AA32" i="36"/>
  <c r="S32" i="36"/>
  <c r="AZ408" i="3"/>
  <c r="AZ437" i="3"/>
  <c r="AZ441" i="3"/>
  <c r="AA39" i="34"/>
  <c r="BL14" i="3"/>
  <c r="AZ266" i="3"/>
  <c r="U30" i="33"/>
  <c r="AC13" i="34"/>
  <c r="AA47" i="34"/>
  <c r="W28" i="37"/>
  <c r="S19" i="39"/>
  <c r="F12" i="33"/>
  <c r="H12" i="39"/>
  <c r="AB12" i="39" s="1"/>
  <c r="F39" i="40"/>
  <c r="AA39" i="40" s="1"/>
  <c r="BA14" i="3"/>
  <c r="AZ367" i="3"/>
  <c r="AZ224" i="3"/>
  <c r="AZ234" i="3"/>
  <c r="AZ254" i="3"/>
  <c r="AZ281" i="3"/>
  <c r="AZ149" i="3"/>
  <c r="AZ165" i="3"/>
  <c r="AZ181" i="3"/>
  <c r="AZ197" i="3"/>
  <c r="AZ19" i="3"/>
  <c r="AZ26" i="3"/>
  <c r="AZ35" i="3"/>
  <c r="AZ41" i="3"/>
  <c r="B12" i="1"/>
  <c r="E12" i="1" s="1"/>
  <c r="B10" i="1"/>
  <c r="E10" i="1" s="1"/>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S28" i="40"/>
  <c r="U21" i="40"/>
  <c r="U37" i="39"/>
  <c r="S37" i="39"/>
  <c r="F32" i="39"/>
  <c r="AA32" i="39" s="1"/>
  <c r="F106" i="39"/>
  <c r="G106" i="39" s="1"/>
  <c r="H106" i="39" s="1"/>
  <c r="I106" i="39" s="1"/>
  <c r="J106" i="39" s="1"/>
  <c r="K106" i="39" s="1"/>
  <c r="L106" i="39" s="1"/>
  <c r="M106" i="39" s="1"/>
  <c r="U25" i="39"/>
  <c r="U31" i="39"/>
  <c r="J21" i="39"/>
  <c r="W21" i="39" s="1"/>
  <c r="F21" i="39"/>
  <c r="AA21" i="39" s="1"/>
  <c r="G94" i="39"/>
  <c r="H21" i="39"/>
  <c r="AB21" i="39" s="1"/>
  <c r="W19" i="39"/>
  <c r="U19" i="39"/>
  <c r="S15" i="39"/>
  <c r="AA12" i="39"/>
  <c r="S9" i="39"/>
  <c r="U14" i="39"/>
  <c r="AC13" i="39"/>
  <c r="S23" i="36"/>
  <c r="U13" i="36"/>
  <c r="U26" i="36"/>
  <c r="AA26" i="36"/>
  <c r="AC26" i="36"/>
  <c r="AA22" i="36"/>
  <c r="W14" i="36"/>
  <c r="AB14" i="36"/>
  <c r="U22" i="36"/>
  <c r="S16" i="36"/>
  <c r="AA25" i="36"/>
  <c r="U24" i="36"/>
  <c r="U23" i="36"/>
  <c r="AB20" i="36"/>
  <c r="U16" i="36"/>
  <c r="S14" i="36"/>
  <c r="AA25"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S32" i="37"/>
  <c r="W30" i="37"/>
  <c r="AA38" i="37"/>
  <c r="U32" i="37"/>
  <c r="W38" i="37"/>
  <c r="AC35" i="37"/>
  <c r="S37" i="37"/>
  <c r="J17" i="37"/>
  <c r="W17" i="37" s="1"/>
  <c r="G73" i="37"/>
  <c r="F17" i="37"/>
  <c r="AA17" i="37" s="1"/>
  <c r="AB17" i="37"/>
  <c r="F75" i="37"/>
  <c r="F19" i="37"/>
  <c r="F79" i="37"/>
  <c r="G79" i="37" s="1"/>
  <c r="F23" i="37"/>
  <c r="S23" i="37" s="1"/>
  <c r="U23" i="37"/>
  <c r="U15" i="37"/>
  <c r="AC13" i="37"/>
  <c r="H10" i="37"/>
  <c r="AB10" i="37" s="1"/>
  <c r="F63" i="37"/>
  <c r="F11" i="37"/>
  <c r="S11" i="37" s="1"/>
  <c r="W25" i="34"/>
  <c r="AB8" i="34"/>
  <c r="AA33" i="34"/>
  <c r="U43" i="34"/>
  <c r="AC39" i="34"/>
  <c r="U39"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U43" i="39"/>
  <c r="AB11" i="39"/>
  <c r="U11" i="39"/>
  <c r="AA27" i="39"/>
  <c r="S27" i="39"/>
  <c r="W17" i="39"/>
  <c r="W31" i="39"/>
  <c r="AC31" i="39"/>
  <c r="S23" i="39"/>
  <c r="AA45" i="39"/>
  <c r="AB39" i="39"/>
  <c r="U38" i="39"/>
  <c r="S8" i="39"/>
  <c r="S20" i="36"/>
  <c r="U32" i="36"/>
  <c r="W29" i="36"/>
  <c r="AC20" i="36"/>
  <c r="U25" i="36"/>
  <c r="AB28" i="36"/>
  <c r="AA13" i="36"/>
  <c r="W22" i="36"/>
  <c r="W23" i="36"/>
  <c r="AB20" i="35"/>
  <c r="U25" i="35"/>
  <c r="S24" i="35"/>
  <c r="W35" i="35"/>
  <c r="AA16" i="35"/>
  <c r="AA35" i="37"/>
  <c r="S28" i="37"/>
  <c r="W32" i="37"/>
  <c r="U36" i="37"/>
  <c r="S40" i="37"/>
  <c r="U38" i="37"/>
  <c r="AB37" i="37"/>
  <c r="AB35" i="37"/>
  <c r="AA31" i="37"/>
  <c r="U19" i="37"/>
  <c r="AA29" i="37"/>
  <c r="U8" i="37"/>
  <c r="AA31" i="34"/>
  <c r="AA30" i="34"/>
  <c r="AB47" i="34"/>
  <c r="AC14" i="34"/>
  <c r="AC32" i="34"/>
  <c r="W46" i="34"/>
  <c r="AC46" i="34"/>
  <c r="S32" i="34"/>
  <c r="AA32" i="34"/>
  <c r="U30" i="34"/>
  <c r="AB30" i="34"/>
  <c r="S19" i="34"/>
  <c r="S36" i="34"/>
  <c r="AA8" i="34"/>
  <c r="U9" i="34"/>
  <c r="S46" i="34"/>
  <c r="AA46" i="34"/>
  <c r="U32" i="34"/>
  <c r="AB32" i="34"/>
  <c r="U14" i="34"/>
  <c r="AB14" i="34"/>
  <c r="AC23" i="34"/>
  <c r="AC35" i="34"/>
  <c r="W35" i="34"/>
  <c r="U12" i="34"/>
  <c r="AB12" i="34"/>
  <c r="AC37" i="33"/>
  <c r="U39" i="33"/>
  <c r="U38" i="33"/>
  <c r="S33" i="33"/>
  <c r="AB34" i="33"/>
  <c r="U44" i="33"/>
  <c r="S30" i="33"/>
  <c r="AA30" i="33"/>
  <c r="AC30" i="33"/>
  <c r="W30" i="33"/>
  <c r="S31" i="33"/>
  <c r="AA31" i="33"/>
  <c r="W13" i="33"/>
  <c r="AC13" i="33"/>
  <c r="U15" i="33"/>
  <c r="S11" i="33"/>
  <c r="U37" i="33"/>
  <c r="W9" i="33"/>
  <c r="W8" i="33"/>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c r="J17" i="21"/>
  <c r="AC17" i="21" s="1"/>
  <c r="AC19" i="21"/>
  <c r="W39"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U27" i="21"/>
  <c r="AB25" i="21"/>
  <c r="AA30" i="21"/>
  <c r="W13" i="21"/>
  <c r="W42" i="21"/>
  <c r="AC45" i="21"/>
  <c r="F10" i="21"/>
  <c r="AA10" i="21" s="1"/>
  <c r="K145" i="21"/>
  <c r="W17" i="21"/>
  <c r="W25" i="21"/>
  <c r="AA29" i="21"/>
  <c r="W31"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S32" i="39"/>
  <c r="U21" i="39"/>
  <c r="S21" i="39"/>
  <c r="S17" i="37"/>
  <c r="J19" i="37"/>
  <c r="G75" i="37"/>
  <c r="S19" i="37"/>
  <c r="AA19" i="37"/>
  <c r="AA23" i="37"/>
  <c r="J23" i="37"/>
  <c r="W23" i="37" s="1"/>
  <c r="J10" i="37"/>
  <c r="W10" i="37" s="1"/>
  <c r="G63" i="37"/>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B23" i="33"/>
  <c r="U23" i="33"/>
  <c r="F23" i="33"/>
  <c r="AA23" i="33" s="1"/>
  <c r="AC23" i="33"/>
  <c r="W23" i="33"/>
  <c r="AA19" i="33"/>
  <c r="H19" i="33"/>
  <c r="G81" i="33"/>
  <c r="H17" i="33"/>
  <c r="AB17" i="33" s="1"/>
  <c r="F17" i="33"/>
  <c r="S17" i="33" s="1"/>
  <c r="W17" i="33"/>
  <c r="AC17" i="33"/>
  <c r="S37" i="21"/>
  <c r="AA23" i="21"/>
  <c r="AB15" i="21"/>
  <c r="J23" i="21"/>
  <c r="W23" i="21" s="1"/>
  <c r="F85" i="21"/>
  <c r="G85" i="21" s="1"/>
  <c r="H23" i="21"/>
  <c r="AB23" i="21" s="1"/>
  <c r="S13" i="21"/>
  <c r="D6" i="52"/>
  <c r="AP7" i="1"/>
  <c r="AB45" i="2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AC27" i="33"/>
  <c r="W25" i="33"/>
  <c r="AC25" i="33"/>
  <c r="S23" i="33"/>
  <c r="AB19" i="33"/>
  <c r="U19" i="33"/>
  <c r="AA17" i="33"/>
  <c r="U17" i="33"/>
  <c r="U23" i="21"/>
  <c r="AC23" i="21"/>
  <c r="H109" i="9"/>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Y20" i="71"/>
  <c r="Z20" i="71" s="1"/>
  <c r="X3" i="71"/>
  <c r="C21" i="71"/>
  <c r="D21" i="71" s="1"/>
  <c r="E12" i="76"/>
  <c r="D20" i="9"/>
  <c r="D4" i="73"/>
  <c r="D5" i="73"/>
  <c r="F13" i="15"/>
  <c r="F26" i="67"/>
  <c r="F42" i="67"/>
  <c r="F42" i="15"/>
  <c r="M8" i="15"/>
  <c r="F6" i="73"/>
  <c r="F7" i="73"/>
  <c r="B12" i="76"/>
  <c r="D7" i="73"/>
  <c r="F5" i="73"/>
  <c r="F20" i="31"/>
  <c r="F7" i="15"/>
  <c r="F38" i="15"/>
  <c r="M9" i="67"/>
  <c r="F7" i="67"/>
  <c r="B8" i="76"/>
  <c r="J15" i="15"/>
  <c r="M6" i="15"/>
  <c r="C76" i="15"/>
  <c r="E11" i="76"/>
  <c r="D19" i="9"/>
  <c r="E9" i="76"/>
  <c r="C20" i="9"/>
  <c r="M26" i="15"/>
  <c r="F36" i="15"/>
  <c r="D34" i="9"/>
  <c r="F9" i="15"/>
  <c r="F16" i="67"/>
  <c r="E7" i="76"/>
  <c r="F8" i="67"/>
  <c r="M6" i="67"/>
  <c r="F40" i="67"/>
  <c r="B10" i="76"/>
  <c r="M23" i="67"/>
  <c r="J15" i="67"/>
  <c r="E2" i="68"/>
  <c r="M23" i="15"/>
  <c r="B13" i="76"/>
  <c r="F37" i="15"/>
  <c r="M29" i="67"/>
  <c r="D3" i="73"/>
  <c r="D35" i="9"/>
  <c r="E13" i="76"/>
  <c r="B9" i="76"/>
  <c r="F26" i="15"/>
  <c r="F3" i="73"/>
  <c r="M24" i="15"/>
  <c r="F38" i="67"/>
  <c r="F36" i="67"/>
  <c r="F4" i="73"/>
  <c r="F9" i="67"/>
  <c r="F43" i="15"/>
  <c r="M29" i="15"/>
  <c r="M22" i="15"/>
  <c r="M22" i="67"/>
  <c r="M26" i="67"/>
  <c r="F40" i="15"/>
  <c r="F16" i="15"/>
  <c r="B7" i="76"/>
  <c r="C19" i="9"/>
  <c r="F37" i="67"/>
  <c r="M28" i="15"/>
  <c r="E10" i="76"/>
  <c r="E2" i="69"/>
  <c r="M8" i="67"/>
  <c r="F6" i="67"/>
  <c r="L48" i="15"/>
  <c r="C76" i="67"/>
  <c r="F13" i="67"/>
  <c r="M28" i="67"/>
  <c r="F8" i="15"/>
  <c r="L48" i="67"/>
  <c r="F6" i="15"/>
  <c r="F43" i="67"/>
  <c r="L47" i="15"/>
  <c r="D6" i="73"/>
  <c r="M24" i="67"/>
  <c r="L47" i="67"/>
  <c r="E8" i="76"/>
  <c r="B11" i="76"/>
  <c r="AO13" i="1"/>
  <c r="M9" i="15"/>
  <c r="AZ563" i="3" l="1"/>
  <c r="C20" i="71"/>
  <c r="AZ558" i="3"/>
  <c r="U46" i="34"/>
  <c r="AB46" i="34"/>
  <c r="S14" i="34"/>
  <c r="AA14" i="34"/>
  <c r="AA45" i="33"/>
  <c r="S45" i="33"/>
  <c r="U45" i="33"/>
  <c r="AB45" i="33"/>
  <c r="AC29" i="33"/>
  <c r="W29" i="33"/>
  <c r="AB33" i="35"/>
  <c r="U33" i="35"/>
  <c r="S39" i="37"/>
  <c r="AA39" i="37"/>
  <c r="AB31" i="36"/>
  <c r="U31" i="36"/>
  <c r="AC26" i="37"/>
  <c r="W26" i="37"/>
  <c r="H25" i="37"/>
  <c r="F25" i="37"/>
  <c r="F13" i="39"/>
  <c r="H13" i="39"/>
  <c r="J31" i="40"/>
  <c r="H31" i="40"/>
  <c r="W38" i="34"/>
  <c r="AC38" i="34"/>
  <c r="S34" i="37"/>
  <c r="AA34" i="37"/>
  <c r="AA31" i="35"/>
  <c r="S31" i="35"/>
  <c r="H35" i="39"/>
  <c r="F35" i="39"/>
  <c r="BA583" i="3"/>
  <c r="BA565" i="3"/>
  <c r="BL563" i="3"/>
  <c r="BL561" i="3"/>
  <c r="AZ561" i="3" s="1"/>
  <c r="BA561" i="3"/>
  <c r="BA559" i="3"/>
  <c r="BA557" i="3"/>
  <c r="BL556" i="3"/>
  <c r="BA556" i="3"/>
  <c r="BL554" i="3"/>
  <c r="AZ554" i="3" s="1"/>
  <c r="BL552" i="3"/>
  <c r="BA552" i="3"/>
  <c r="AC17" i="37"/>
  <c r="AA31" i="21"/>
  <c r="S44" i="21"/>
  <c r="U38" i="34"/>
  <c r="AC34" i="37"/>
  <c r="W36" i="37"/>
  <c r="S35" i="35"/>
  <c r="AC25" i="35"/>
  <c r="AC25" i="36"/>
  <c r="W34" i="39"/>
  <c r="S46" i="33"/>
  <c r="S23" i="34"/>
  <c r="AC42" i="34"/>
  <c r="AA13" i="37"/>
  <c r="AC15" i="37"/>
  <c r="S30" i="37"/>
  <c r="S36" i="37"/>
  <c r="AB31" i="37"/>
  <c r="U29" i="37"/>
  <c r="S26" i="37"/>
  <c r="S24" i="36"/>
  <c r="S33" i="36"/>
  <c r="U12" i="39"/>
  <c r="S17" i="39"/>
  <c r="AB27" i="39"/>
  <c r="AB19" i="40"/>
  <c r="AA27" i="40"/>
  <c r="AA19" i="40"/>
  <c r="AZ14" i="3"/>
  <c r="AC33" i="40"/>
  <c r="BB5" i="3"/>
  <c r="BN5" i="3"/>
  <c r="AZ305" i="3"/>
  <c r="W12" i="37"/>
  <c r="AC12" i="37"/>
  <c r="AC30" i="34"/>
  <c r="U34" i="37"/>
  <c r="S29" i="35"/>
  <c r="AA29" i="35"/>
  <c r="W28" i="34"/>
  <c r="AC28" i="34"/>
  <c r="W15" i="34"/>
  <c r="AC15" i="34"/>
  <c r="AA28" i="34"/>
  <c r="S28" i="34"/>
  <c r="AC40" i="40"/>
  <c r="AA26" i="33"/>
  <c r="S26" i="33"/>
  <c r="J35" i="39"/>
  <c r="S36" i="39"/>
  <c r="AA36" i="39"/>
  <c r="W45" i="39"/>
  <c r="AC45" i="39"/>
  <c r="J27" i="21"/>
  <c r="F27" i="21"/>
  <c r="H30" i="21"/>
  <c r="J30" i="21"/>
  <c r="H44" i="21"/>
  <c r="J44" i="21"/>
  <c r="H46" i="21"/>
  <c r="F46" i="21"/>
  <c r="J46" i="21"/>
  <c r="B72" i="43"/>
  <c r="C15" i="39"/>
  <c r="B101" i="43"/>
  <c r="B79" i="43"/>
  <c r="C25" i="39"/>
  <c r="B97" i="43"/>
  <c r="B75" i="43"/>
  <c r="AC23" i="35"/>
  <c r="W23" i="35"/>
  <c r="AC28" i="35"/>
  <c r="W28" i="35"/>
  <c r="AB34" i="35"/>
  <c r="U34" i="35"/>
  <c r="J24" i="35"/>
  <c r="H24" i="35"/>
  <c r="J34" i="35"/>
  <c r="F34" i="35"/>
  <c r="AC8" i="40"/>
  <c r="W8" i="40"/>
  <c r="AB9" i="40"/>
  <c r="U9" i="40"/>
  <c r="AB34" i="40"/>
  <c r="U34" i="40"/>
  <c r="F40" i="40"/>
  <c r="AA14" i="40"/>
  <c r="S14" i="40"/>
  <c r="AC47" i="34"/>
  <c r="W47" i="34"/>
  <c r="AC31" i="34"/>
  <c r="W31" i="34"/>
  <c r="AC36" i="39"/>
  <c r="W36" i="39"/>
  <c r="H34" i="36"/>
  <c r="J34" i="36"/>
  <c r="W34" i="36" s="1"/>
  <c r="F34" i="36"/>
  <c r="H33" i="36"/>
  <c r="J33" i="36"/>
  <c r="AC33" i="36" s="1"/>
  <c r="U8" i="39"/>
  <c r="AB8" i="39"/>
  <c r="AC40" i="39"/>
  <c r="W40" i="39"/>
  <c r="AB40" i="40"/>
  <c r="U40" i="40"/>
  <c r="W31" i="35"/>
  <c r="AC31" i="35"/>
  <c r="W30" i="36"/>
  <c r="AC30" i="36"/>
  <c r="BL584" i="3"/>
  <c r="AZ584" i="3" s="1"/>
  <c r="BA584" i="3"/>
  <c r="BL582" i="3"/>
  <c r="AZ582" i="3" s="1"/>
  <c r="BL564" i="3"/>
  <c r="BA564" i="3"/>
  <c r="AZ564" i="3" s="1"/>
  <c r="BA562" i="3"/>
  <c r="AZ562" i="3" s="1"/>
  <c r="BA560" i="3"/>
  <c r="AZ560" i="3" s="1"/>
  <c r="BL555" i="3"/>
  <c r="BA555" i="3"/>
  <c r="AZ343" i="3"/>
  <c r="AA11" i="39"/>
  <c r="S11" i="39"/>
  <c r="G7" i="34"/>
  <c r="I7" i="34"/>
  <c r="E7" i="34"/>
  <c r="AB43" i="33"/>
  <c r="U43" i="33"/>
  <c r="BL553" i="3"/>
  <c r="AZ553" i="3" s="1"/>
  <c r="BL565" i="3"/>
  <c r="AZ565" i="3" s="1"/>
  <c r="BL583" i="3"/>
  <c r="AZ583" i="3" s="1"/>
  <c r="G557" i="3"/>
  <c r="AZ503" i="3"/>
  <c r="AZ523" i="3"/>
  <c r="AZ531" i="3"/>
  <c r="AZ539" i="3"/>
  <c r="AZ547" i="3"/>
  <c r="AZ502" i="3"/>
  <c r="AZ578" i="3"/>
  <c r="U13" i="34"/>
  <c r="AB13" i="34"/>
  <c r="S44" i="33"/>
  <c r="AA44" i="33"/>
  <c r="S14" i="33"/>
  <c r="AA14" i="33"/>
  <c r="W31" i="33"/>
  <c r="AC31" i="33"/>
  <c r="W28" i="21"/>
  <c r="AC28" i="21"/>
  <c r="AA41" i="33"/>
  <c r="S41" i="33"/>
  <c r="AA14" i="35"/>
  <c r="S14" i="35"/>
  <c r="AB40" i="39"/>
  <c r="U40" i="39"/>
  <c r="AB36" i="39"/>
  <c r="U36" i="39"/>
  <c r="AB12" i="21"/>
  <c r="U12" i="21"/>
  <c r="AB35" i="21"/>
  <c r="U35" i="21"/>
  <c r="BA586" i="3"/>
  <c r="S12" i="21"/>
  <c r="AA12" i="21"/>
  <c r="J14" i="21"/>
  <c r="H14" i="21"/>
  <c r="AA40" i="21"/>
  <c r="S40" i="21"/>
  <c r="B94" i="43"/>
  <c r="B73" i="43"/>
  <c r="B99" i="43"/>
  <c r="B76" i="43"/>
  <c r="C27" i="39"/>
  <c r="U12" i="33"/>
  <c r="AB12" i="33"/>
  <c r="AB35" i="33"/>
  <c r="U35" i="33"/>
  <c r="AC40" i="33"/>
  <c r="W40" i="33"/>
  <c r="H28" i="33"/>
  <c r="F28" i="33"/>
  <c r="J28" i="33"/>
  <c r="J26" i="33"/>
  <c r="H26" i="33"/>
  <c r="E80" i="34"/>
  <c r="F80" i="34" s="1"/>
  <c r="G80" i="34" s="1"/>
  <c r="J17" i="34"/>
  <c r="W17" i="34" s="1"/>
  <c r="E86" i="34"/>
  <c r="F86" i="34" s="1"/>
  <c r="G86" i="34" s="1"/>
  <c r="H23" i="34"/>
  <c r="U23" i="34" s="1"/>
  <c r="J27" i="34"/>
  <c r="F27" i="34"/>
  <c r="E126" i="34"/>
  <c r="F126" i="34" s="1"/>
  <c r="G126" i="34" s="1"/>
  <c r="J44" i="34"/>
  <c r="E90" i="34"/>
  <c r="D18" i="31"/>
  <c r="AC36" i="35"/>
  <c r="W36" i="35"/>
  <c r="H14" i="33"/>
  <c r="J14" i="33"/>
  <c r="AC44" i="33"/>
  <c r="W44" i="33"/>
  <c r="J46" i="33"/>
  <c r="H46" i="33"/>
  <c r="AB46" i="33" s="1"/>
  <c r="J29" i="34"/>
  <c r="H29" i="34"/>
  <c r="H45" i="34"/>
  <c r="U45" i="34" s="1"/>
  <c r="F45" i="34"/>
  <c r="S45" i="34" s="1"/>
  <c r="F13" i="35"/>
  <c r="S13" i="35" s="1"/>
  <c r="H13" i="35"/>
  <c r="H23" i="35"/>
  <c r="F23" i="35"/>
  <c r="AB9" i="36"/>
  <c r="U9" i="36"/>
  <c r="J9" i="36"/>
  <c r="F9" i="36"/>
  <c r="J12" i="36"/>
  <c r="H12" i="36"/>
  <c r="F12" i="36"/>
  <c r="AC24" i="36"/>
  <c r="W24" i="36"/>
  <c r="AB13" i="37"/>
  <c r="U13" i="37"/>
  <c r="H27" i="37"/>
  <c r="F27" i="37"/>
  <c r="J39" i="37"/>
  <c r="H39" i="37"/>
  <c r="J43" i="39"/>
  <c r="F43" i="39"/>
  <c r="S9" i="40"/>
  <c r="AA9" i="40"/>
  <c r="J12" i="40"/>
  <c r="F12" i="40"/>
  <c r="H12" i="40"/>
  <c r="U41" i="21"/>
  <c r="AB41" i="21"/>
  <c r="E112" i="34"/>
  <c r="BA581" i="3"/>
  <c r="AZ581" i="3" s="1"/>
  <c r="BL580" i="3"/>
  <c r="BA580" i="3"/>
  <c r="AZ580" i="3" s="1"/>
  <c r="BA577" i="3"/>
  <c r="BA576" i="3"/>
  <c r="BL575" i="3"/>
  <c r="BL574" i="3"/>
  <c r="AZ574" i="3" s="1"/>
  <c r="BA573" i="3"/>
  <c r="AZ573" i="3" s="1"/>
  <c r="BL572" i="3"/>
  <c r="BA572" i="3"/>
  <c r="BA569" i="3"/>
  <c r="BA568" i="3"/>
  <c r="BL567" i="3"/>
  <c r="BL566" i="3"/>
  <c r="AZ566" i="3" s="1"/>
  <c r="BA551" i="3"/>
  <c r="AZ551" i="3" s="1"/>
  <c r="BL549" i="3"/>
  <c r="BA549" i="3"/>
  <c r="AZ549" i="3" s="1"/>
  <c r="BL548" i="3"/>
  <c r="BA548" i="3"/>
  <c r="AZ548" i="3" s="1"/>
  <c r="BL545" i="3"/>
  <c r="BA545" i="3"/>
  <c r="BL544" i="3"/>
  <c r="BA544" i="3"/>
  <c r="AZ544" i="3" s="1"/>
  <c r="BL542" i="3"/>
  <c r="BA542" i="3"/>
  <c r="AZ542" i="3" s="1"/>
  <c r="BL541" i="3"/>
  <c r="BA541" i="3"/>
  <c r="BA540" i="3"/>
  <c r="AZ540" i="3" s="1"/>
  <c r="BL537" i="3"/>
  <c r="AZ537" i="3" s="1"/>
  <c r="BA537" i="3"/>
  <c r="BL536" i="3"/>
  <c r="BA536" i="3"/>
  <c r="BL534" i="3"/>
  <c r="BA534" i="3"/>
  <c r="BL533" i="3"/>
  <c r="AZ533" i="3" s="1"/>
  <c r="BA533" i="3"/>
  <c r="BL532" i="3"/>
  <c r="BA532" i="3"/>
  <c r="BA530" i="3"/>
  <c r="AZ530" i="3" s="1"/>
  <c r="BL529" i="3"/>
  <c r="BA529" i="3"/>
  <c r="BL528" i="3"/>
  <c r="AZ528" i="3" s="1"/>
  <c r="BL526" i="3"/>
  <c r="BA526" i="3"/>
  <c r="BL525" i="3"/>
  <c r="AZ525" i="3" s="1"/>
  <c r="BA525" i="3"/>
  <c r="BL524" i="3"/>
  <c r="AZ524" i="3" s="1"/>
  <c r="BA522" i="3"/>
  <c r="AZ522" i="3" s="1"/>
  <c r="BL520" i="3"/>
  <c r="AZ520" i="3" s="1"/>
  <c r="BA519" i="3"/>
  <c r="AZ519" i="3" s="1"/>
  <c r="BA518" i="3"/>
  <c r="AZ518" i="3" s="1"/>
  <c r="BL516" i="3"/>
  <c r="AZ516" i="3" s="1"/>
  <c r="BA515" i="3"/>
  <c r="BL514" i="3"/>
  <c r="BA514" i="3"/>
  <c r="AZ514" i="3" s="1"/>
  <c r="BL513" i="3"/>
  <c r="BA511" i="3"/>
  <c r="AZ511" i="3" s="1"/>
  <c r="BA509" i="3"/>
  <c r="AZ509" i="3" s="1"/>
  <c r="BL508" i="3"/>
  <c r="AZ508" i="3" s="1"/>
  <c r="BL506" i="3"/>
  <c r="BA506" i="3"/>
  <c r="AZ506" i="3" s="1"/>
  <c r="BL505" i="3"/>
  <c r="BA505" i="3"/>
  <c r="BL504" i="3"/>
  <c r="AZ504" i="3" s="1"/>
  <c r="BL501" i="3"/>
  <c r="BA501" i="3"/>
  <c r="BA500" i="3"/>
  <c r="AZ500" i="3" s="1"/>
  <c r="BL499" i="3"/>
  <c r="AZ499" i="3" s="1"/>
  <c r="BL498" i="3"/>
  <c r="AZ498" i="3" s="1"/>
  <c r="BL497" i="3"/>
  <c r="BA497" i="3"/>
  <c r="AZ497" i="3" s="1"/>
  <c r="BL496" i="3"/>
  <c r="AZ496" i="3" s="1"/>
  <c r="BT5" i="3"/>
  <c r="BR5" i="3"/>
  <c r="BL495" i="3"/>
  <c r="BM5" i="3"/>
  <c r="BH5" i="3"/>
  <c r="BD5" i="3"/>
  <c r="BA494" i="3"/>
  <c r="AZ494" i="3" s="1"/>
  <c r="BP5" i="3"/>
  <c r="BL493" i="3"/>
  <c r="BI5" i="3"/>
  <c r="BE5" i="3"/>
  <c r="BA493" i="3"/>
  <c r="AZ361" i="3"/>
  <c r="AZ347" i="3"/>
  <c r="AZ344" i="3"/>
  <c r="AZ313" i="3"/>
  <c r="AZ378" i="3"/>
  <c r="AZ327" i="3"/>
  <c r="BL515" i="3"/>
  <c r="AZ515" i="3" s="1"/>
  <c r="BL559" i="3"/>
  <c r="AZ559" i="3" s="1"/>
  <c r="BL569" i="3"/>
  <c r="AZ569" i="3" s="1"/>
  <c r="BL577" i="3"/>
  <c r="AZ577" i="3" s="1"/>
  <c r="BL557" i="3"/>
  <c r="BL586" i="3"/>
  <c r="BL585" i="3"/>
  <c r="AZ585" i="3" s="1"/>
  <c r="G570" i="3"/>
  <c r="G556" i="3"/>
  <c r="BL550" i="3"/>
  <c r="BA550" i="3"/>
  <c r="G526" i="3"/>
  <c r="AZ438" i="3"/>
  <c r="AZ443" i="3"/>
  <c r="B88" i="43"/>
  <c r="C25" i="40"/>
  <c r="AA21" i="21"/>
  <c r="S21" i="21"/>
  <c r="AA18" i="36"/>
  <c r="S18" i="36"/>
  <c r="D66" i="71"/>
  <c r="O65" i="71"/>
  <c r="O66" i="71"/>
  <c r="C78" i="71"/>
  <c r="D78" i="71" s="1"/>
  <c r="D79" i="71"/>
  <c r="Y32" i="71"/>
  <c r="Z32" i="71" s="1"/>
  <c r="Y29" i="71"/>
  <c r="Z29" i="71" s="1"/>
  <c r="E34" i="71"/>
  <c r="E35" i="71" s="1"/>
  <c r="E36" i="71" s="1"/>
  <c r="U36" i="71" s="1"/>
  <c r="AA33" i="71"/>
  <c r="AA25" i="71"/>
  <c r="AA32" i="71"/>
  <c r="AA27" i="71"/>
  <c r="C63" i="71"/>
  <c r="D62" i="71"/>
  <c r="N67" i="71"/>
  <c r="B66" i="71"/>
  <c r="U72" i="71"/>
  <c r="E71" i="71"/>
  <c r="E70" i="71" s="1"/>
  <c r="U80" i="71"/>
  <c r="E79" i="71"/>
  <c r="E78" i="71" s="1"/>
  <c r="AB27" i="71"/>
  <c r="F27" i="71"/>
  <c r="F26" i="71" s="1"/>
  <c r="Y26" i="71"/>
  <c r="Z26" i="71" s="1"/>
  <c r="AB26" i="71"/>
  <c r="AB25" i="71"/>
  <c r="BL15" i="3"/>
  <c r="BL5" i="3" s="1"/>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T52" i="71"/>
  <c r="D52" i="71"/>
  <c r="D38" i="71"/>
  <c r="C39" i="71"/>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G230" i="3"/>
  <c r="BL230" i="3"/>
  <c r="G232" i="3"/>
  <c r="G233" i="3"/>
  <c r="G234" i="3"/>
  <c r="G235" i="3"/>
  <c r="G236" i="3"/>
  <c r="BL236" i="3"/>
  <c r="BL238" i="3"/>
  <c r="AZ238"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G5" i="3" s="1"/>
  <c r="B3" i="3" s="1"/>
  <c r="BL18" i="3"/>
  <c r="AZ18" i="3" s="1"/>
  <c r="BL20" i="3"/>
  <c r="AZ20" i="3" s="1"/>
  <c r="G23" i="3"/>
  <c r="BL23" i="3"/>
  <c r="AZ23" i="3" s="1"/>
  <c r="G26" i="3"/>
  <c r="G27" i="3"/>
  <c r="BL27" i="3"/>
  <c r="BL29" i="3"/>
  <c r="AZ29" i="3" s="1"/>
  <c r="BA30" i="3"/>
  <c r="AZ30" i="3" s="1"/>
  <c r="BA31" i="3"/>
  <c r="AZ31" i="3" s="1"/>
  <c r="BA32" i="3"/>
  <c r="AZ32" i="3" s="1"/>
  <c r="BA33" i="3"/>
  <c r="AZ33" i="3" s="1"/>
  <c r="B100" i="43"/>
  <c r="B77" i="43"/>
  <c r="B68" i="43"/>
  <c r="C29" i="39"/>
  <c r="T36" i="71"/>
  <c r="D36" i="71"/>
  <c r="T56" i="71"/>
  <c r="D56" i="71"/>
  <c r="D83" i="71"/>
  <c r="C82" i="71"/>
  <c r="D82" i="71" s="1"/>
  <c r="AB36" i="71"/>
  <c r="AB35" i="71"/>
  <c r="AA37" i="71"/>
  <c r="E38" i="71"/>
  <c r="E39" i="71" s="1"/>
  <c r="E40" i="71" s="1"/>
  <c r="U40" i="71" s="1"/>
  <c r="G37" i="3"/>
  <c r="G38" i="3"/>
  <c r="BL38" i="3"/>
  <c r="AZ38" i="3" s="1"/>
  <c r="G41" i="3"/>
  <c r="G42" i="3"/>
  <c r="G43" i="3"/>
  <c r="G44" i="3"/>
  <c r="BL44" i="3"/>
  <c r="G47" i="3"/>
  <c r="G48" i="3"/>
  <c r="BL48" i="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A3" i="71"/>
  <c r="C28" i="71"/>
  <c r="Y28" i="71"/>
  <c r="Z28" i="71" s="1"/>
  <c r="X26" i="71"/>
  <c r="X29" i="71"/>
  <c r="X30" i="71"/>
  <c r="AA30" i="71"/>
  <c r="Y34" i="71"/>
  <c r="Z34" i="71" s="1"/>
  <c r="Y30" i="71"/>
  <c r="Z30" i="71" s="1"/>
  <c r="X33" i="71"/>
  <c r="X36" i="71"/>
  <c r="Y38" i="71"/>
  <c r="Z38" i="71" s="1"/>
  <c r="Y37" i="71"/>
  <c r="Z37" i="71" s="1"/>
  <c r="B47" i="71"/>
  <c r="B48" i="71" s="1"/>
  <c r="S48" i="71" s="1"/>
  <c r="C47" i="71"/>
  <c r="D47" i="71" s="1"/>
  <c r="D46" i="71"/>
  <c r="C59" i="71"/>
  <c r="P68" i="71"/>
  <c r="E67" i="71"/>
  <c r="T72" i="71"/>
  <c r="D72" i="71"/>
  <c r="U76" i="71"/>
  <c r="E75" i="71"/>
  <c r="E74" i="71" s="1"/>
  <c r="T80" i="71"/>
  <c r="D80" i="71"/>
  <c r="D88" i="71"/>
  <c r="C87" i="71"/>
  <c r="E23" i="71"/>
  <c r="E22" i="71" s="1"/>
  <c r="E21" i="71" s="1"/>
  <c r="E20" i="71" s="1"/>
  <c r="V24" i="71"/>
  <c r="F22" i="71"/>
  <c r="F21" i="71" s="1"/>
  <c r="F20" i="71" s="1"/>
  <c r="F19" i="71" s="1"/>
  <c r="F18" i="71" s="1"/>
  <c r="F17" i="71" s="1"/>
  <c r="AB30" i="71"/>
  <c r="AA31" i="71"/>
  <c r="F35" i="71"/>
  <c r="F36" i="71" s="1"/>
  <c r="V36" i="71" s="1"/>
  <c r="AA34" i="71"/>
  <c r="F39" i="71"/>
  <c r="F40" i="71" s="1"/>
  <c r="V40" i="71" s="1"/>
  <c r="B51" i="71"/>
  <c r="B52" i="71" s="1"/>
  <c r="S52" i="71" s="1"/>
  <c r="U25" i="34"/>
  <c r="AA25" i="34"/>
  <c r="AC45" i="34"/>
  <c r="W40" i="34"/>
  <c r="AB23" i="34"/>
  <c r="AB17" i="34"/>
  <c r="AB45" i="34"/>
  <c r="AA45" i="34"/>
  <c r="AC17" i="34"/>
  <c r="W43" i="34"/>
  <c r="W41" i="34"/>
  <c r="W8" i="34"/>
  <c r="AA41" i="34"/>
  <c r="S17" i="34"/>
  <c r="AB41" i="34"/>
  <c r="AB40" i="34"/>
  <c r="S35" i="34"/>
  <c r="W33" i="34"/>
  <c r="AB35" i="34"/>
  <c r="AB36" i="34"/>
  <c r="S43" i="34"/>
  <c r="U44" i="34"/>
  <c r="AA40" i="34"/>
  <c r="AC36" i="34"/>
  <c r="AB33" i="34"/>
  <c r="AC21" i="34"/>
  <c r="S21" i="34"/>
  <c r="U19" i="34"/>
  <c r="W19" i="34"/>
  <c r="U15" i="34"/>
  <c r="W9" i="34"/>
  <c r="C28" i="67"/>
  <c r="F29" i="6"/>
  <c r="E19" i="71"/>
  <c r="E18" i="71" s="1"/>
  <c r="E17" i="71" s="1"/>
  <c r="E16" i="71" s="1"/>
  <c r="V20" i="71"/>
  <c r="AZ557" i="3"/>
  <c r="AZ495" i="3"/>
  <c r="AZ513" i="3"/>
  <c r="AZ517" i="3"/>
  <c r="AZ567" i="3"/>
  <c r="AZ571" i="3"/>
  <c r="AZ575" i="3"/>
  <c r="AZ579" i="3"/>
  <c r="AZ568" i="3"/>
  <c r="AZ576" i="3"/>
  <c r="D19" i="53"/>
  <c r="B38" i="72" s="1"/>
  <c r="D16" i="53"/>
  <c r="B34" i="72" s="1"/>
  <c r="G28" i="6"/>
  <c r="U46" i="33"/>
  <c r="AA13" i="35"/>
  <c r="AZ439" i="3"/>
  <c r="AZ456" i="3"/>
  <c r="AZ472" i="3"/>
  <c r="AZ475" i="3"/>
  <c r="AZ483" i="3"/>
  <c r="AZ489" i="3"/>
  <c r="AZ316" i="3"/>
  <c r="AZ332" i="3"/>
  <c r="AZ220" i="3"/>
  <c r="AC11" i="35"/>
  <c r="AZ398" i="3"/>
  <c r="AZ405" i="3"/>
  <c r="AZ407" i="3"/>
  <c r="AZ410" i="3"/>
  <c r="AZ415" i="3"/>
  <c r="AZ420" i="3"/>
  <c r="AZ426" i="3"/>
  <c r="AZ431" i="3"/>
  <c r="AZ448" i="3"/>
  <c r="AZ452" i="3"/>
  <c r="AZ461" i="3"/>
  <c r="AZ463" i="3"/>
  <c r="AZ468" i="3"/>
  <c r="AZ470" i="3"/>
  <c r="AZ479" i="3"/>
  <c r="AZ485" i="3"/>
  <c r="AZ385" i="3"/>
  <c r="AZ210" i="3"/>
  <c r="AZ252" i="3"/>
  <c r="AZ272" i="3"/>
  <c r="AZ276" i="3"/>
  <c r="AZ289" i="3"/>
  <c r="AZ294" i="3"/>
  <c r="AZ300" i="3"/>
  <c r="AZ118" i="3"/>
  <c r="AZ121" i="3"/>
  <c r="AZ134" i="3"/>
  <c r="AZ137" i="3"/>
  <c r="AZ145" i="3"/>
  <c r="AZ161" i="3"/>
  <c r="AZ177" i="3"/>
  <c r="AZ193" i="3"/>
  <c r="AZ44" i="3"/>
  <c r="AZ48" i="3"/>
  <c r="H38" i="40"/>
  <c r="J38" i="40"/>
  <c r="H39" i="40"/>
  <c r="AZ230" i="3"/>
  <c r="AZ236" i="3"/>
  <c r="AZ27" i="3"/>
  <c r="AZ73" i="3"/>
  <c r="AZ78" i="3"/>
  <c r="AZ87" i="3"/>
  <c r="AZ91" i="3"/>
  <c r="AZ95" i="3"/>
  <c r="AZ98" i="3"/>
  <c r="AZ100" i="3"/>
  <c r="AZ104" i="3"/>
  <c r="V28" i="71"/>
  <c r="AA28" i="71"/>
  <c r="AA26" i="71"/>
  <c r="Y27" i="71"/>
  <c r="Z27" i="71" s="1"/>
  <c r="Y25" i="71"/>
  <c r="Z25" i="71" s="1"/>
  <c r="AB29" i="71"/>
  <c r="Y31" i="71"/>
  <c r="Z31" i="71" s="1"/>
  <c r="AB31" i="71"/>
  <c r="X31" i="71"/>
  <c r="X32" i="71"/>
  <c r="AB32" i="71"/>
  <c r="AB34" i="71"/>
  <c r="AB33" i="71"/>
  <c r="AA35" i="71"/>
  <c r="AA36" i="71"/>
  <c r="X9" i="71"/>
  <c r="X39" i="71"/>
  <c r="U18" i="36"/>
  <c r="X25" i="71"/>
  <c r="X27" i="71"/>
  <c r="E30" i="71"/>
  <c r="E31" i="71" s="1"/>
  <c r="E32" i="71" s="1"/>
  <c r="U32" i="71" s="1"/>
  <c r="AA29" i="71"/>
  <c r="Y35" i="71"/>
  <c r="Z35" i="71" s="1"/>
  <c r="Y33" i="71"/>
  <c r="Z33" i="71" s="1"/>
  <c r="B38" i="71"/>
  <c r="B39" i="71" s="1"/>
  <c r="B40" i="71" s="1"/>
  <c r="S40" i="71" s="1"/>
  <c r="X37" i="71"/>
  <c r="AB38" i="71"/>
  <c r="AB37" i="71"/>
  <c r="AB9" i="71"/>
  <c r="AB39" i="71"/>
  <c r="X24" i="71"/>
  <c r="AA24" i="71"/>
  <c r="AA23" i="71"/>
  <c r="AA22" i="71"/>
  <c r="AB21" i="71"/>
  <c r="Y18" i="71"/>
  <c r="Z18" i="71" s="1"/>
  <c r="X18" i="71"/>
  <c r="AA18" i="71"/>
  <c r="Y9" i="71"/>
  <c r="Z9" i="71" s="1"/>
  <c r="AA9" i="71"/>
  <c r="AB24" i="71"/>
  <c r="Y24" i="71"/>
  <c r="Z24" i="71" s="1"/>
  <c r="AB23" i="71"/>
  <c r="Y21" i="71"/>
  <c r="Z21" i="71" s="1"/>
  <c r="AA21" i="71"/>
  <c r="X21" i="71"/>
  <c r="X17" i="71"/>
  <c r="Y17" i="71"/>
  <c r="Z17" i="71" s="1"/>
  <c r="AA17" i="71"/>
  <c r="AB18" i="71"/>
  <c r="Y14" i="71"/>
  <c r="Z14" i="71" s="1"/>
  <c r="AB14" i="71"/>
  <c r="Y23" i="71"/>
  <c r="Z23" i="71" s="1"/>
  <c r="Y22" i="71"/>
  <c r="Z22" i="71" s="1"/>
  <c r="X22" i="71"/>
  <c r="X15" i="71"/>
  <c r="AA15" i="71"/>
  <c r="AB10" i="71"/>
  <c r="AB11" i="71"/>
  <c r="Y10" i="71"/>
  <c r="Z10" i="71" s="1"/>
  <c r="Y13" i="71"/>
  <c r="Z13" i="71" s="1"/>
  <c r="X11" i="71"/>
  <c r="X10" i="71"/>
  <c r="X14" i="71"/>
  <c r="AA12" i="71"/>
  <c r="AA13" i="71"/>
  <c r="F67" i="71"/>
  <c r="AB15" i="71"/>
  <c r="AB17" i="71"/>
  <c r="AB12" i="71"/>
  <c r="AB13" i="71"/>
  <c r="Y11" i="71"/>
  <c r="Z11" i="71" s="1"/>
  <c r="Y12" i="71"/>
  <c r="Z12" i="71" s="1"/>
  <c r="X12" i="71"/>
  <c r="X13" i="71"/>
  <c r="AA11" i="71"/>
  <c r="AA10" i="71"/>
  <c r="AA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C16" i="67"/>
  <c r="G1" i="73"/>
  <c r="E329" i="3" l="1"/>
  <c r="E188" i="3"/>
  <c r="E393" i="3"/>
  <c r="E427" i="3"/>
  <c r="E507" i="3"/>
  <c r="E440" i="3"/>
  <c r="E376" i="3"/>
  <c r="J6" i="3"/>
  <c r="E419" i="3"/>
  <c r="E401" i="3"/>
  <c r="E40" i="3"/>
  <c r="E119" i="3"/>
  <c r="E276" i="3"/>
  <c r="E333" i="3"/>
  <c r="L6" i="3"/>
  <c r="E473" i="3"/>
  <c r="E455" i="3"/>
  <c r="E46" i="3"/>
  <c r="E103" i="3"/>
  <c r="E142" i="3"/>
  <c r="E200" i="3"/>
  <c r="E249" i="3"/>
  <c r="E300" i="3"/>
  <c r="E371" i="3"/>
  <c r="E310" i="3"/>
  <c r="E492" i="3"/>
  <c r="E67" i="3"/>
  <c r="E33" i="3"/>
  <c r="E184" i="3"/>
  <c r="E355" i="3"/>
  <c r="E381" i="3"/>
  <c r="E68" i="3"/>
  <c r="E81" i="3"/>
  <c r="E118" i="3"/>
  <c r="E264" i="3"/>
  <c r="E513" i="3"/>
  <c r="E21" i="3"/>
  <c r="E16" i="3"/>
  <c r="E105" i="3"/>
  <c r="E493" i="3"/>
  <c r="E543" i="3"/>
  <c r="E486" i="3"/>
  <c r="E422" i="3"/>
  <c r="E490" i="3"/>
  <c r="AH6" i="3"/>
  <c r="E498" i="3"/>
  <c r="E483" i="3"/>
  <c r="E25" i="3"/>
  <c r="E178" i="3"/>
  <c r="E226" i="3"/>
  <c r="E346" i="3"/>
  <c r="E372" i="3"/>
  <c r="E540" i="3"/>
  <c r="E15" i="3"/>
  <c r="E65" i="3"/>
  <c r="E138" i="3"/>
  <c r="E195" i="3"/>
  <c r="E163" i="3"/>
  <c r="E307" i="3"/>
  <c r="E354" i="3"/>
  <c r="E66" i="3"/>
  <c r="E127" i="3"/>
  <c r="Y6" i="3"/>
  <c r="E19" i="3"/>
  <c r="E179" i="3"/>
  <c r="E323" i="3"/>
  <c r="E248" i="3"/>
  <c r="E386" i="3"/>
  <c r="E584" i="3"/>
  <c r="E24" i="3"/>
  <c r="E250" i="3"/>
  <c r="E341" i="3"/>
  <c r="E51" i="3"/>
  <c r="E373" i="3"/>
  <c r="E309"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12" i="3"/>
  <c r="E428" i="3"/>
  <c r="E94" i="3"/>
  <c r="AL6" i="3"/>
  <c r="E391" i="3"/>
  <c r="E243" i="3"/>
  <c r="E225" i="3"/>
  <c r="E198" i="3"/>
  <c r="E41" i="3"/>
  <c r="E26" i="3"/>
  <c r="E470" i="3"/>
  <c r="E494" i="3"/>
  <c r="E497" i="3"/>
  <c r="E360" i="3"/>
  <c r="E408" i="3"/>
  <c r="E469" i="3"/>
  <c r="E405" i="3"/>
  <c r="E534" i="3"/>
  <c r="E369" i="3"/>
  <c r="E197" i="3"/>
  <c r="E29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64"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452" i="3"/>
  <c r="E13" i="3"/>
  <c r="E556" i="3"/>
  <c r="E451" i="3"/>
  <c r="E512" i="3"/>
  <c r="E456" i="3"/>
  <c r="T6" i="3"/>
  <c r="E525" i="3"/>
  <c r="E173" i="3"/>
  <c r="E140"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87" i="71"/>
  <c r="C86" i="71"/>
  <c r="D86" i="71" s="1"/>
  <c r="E66" i="71"/>
  <c r="P67" i="71"/>
  <c r="D59" i="71"/>
  <c r="C60" i="71"/>
  <c r="E108" i="3"/>
  <c r="E98" i="3"/>
  <c r="E87" i="3"/>
  <c r="E64" i="3"/>
  <c r="E47" i="3"/>
  <c r="E23" i="3"/>
  <c r="E160" i="3"/>
  <c r="E144" i="3"/>
  <c r="E116" i="3"/>
  <c r="E283" i="3"/>
  <c r="E266" i="3"/>
  <c r="E222" i="3"/>
  <c r="D39" i="71"/>
  <c r="C40" i="71"/>
  <c r="AZ454" i="3"/>
  <c r="AZ422" i="3"/>
  <c r="N65" i="71"/>
  <c r="N66" i="71"/>
  <c r="AZ550" i="3"/>
  <c r="AZ501" i="3"/>
  <c r="AZ505" i="3"/>
  <c r="AZ526" i="3"/>
  <c r="AZ529" i="3"/>
  <c r="AZ532" i="3"/>
  <c r="AZ534" i="3"/>
  <c r="AZ536" i="3"/>
  <c r="AZ541" i="3"/>
  <c r="AZ545" i="3"/>
  <c r="AZ572" i="3"/>
  <c r="F112" i="34"/>
  <c r="AA12" i="40"/>
  <c r="S12" i="40"/>
  <c r="AA43" i="39"/>
  <c r="S43" i="39"/>
  <c r="AB39" i="37"/>
  <c r="U39" i="37"/>
  <c r="AA27" i="37"/>
  <c r="S27" i="37"/>
  <c r="AA12" i="36"/>
  <c r="S12" i="36"/>
  <c r="W12" i="36"/>
  <c r="AC12" i="36"/>
  <c r="AC9" i="36"/>
  <c r="W9" i="36"/>
  <c r="U23" i="35"/>
  <c r="AB23" i="35"/>
  <c r="W29" i="34"/>
  <c r="AC29" i="34"/>
  <c r="AC46" i="33"/>
  <c r="W46" i="33"/>
  <c r="U14" i="33"/>
  <c r="AB14" i="33"/>
  <c r="F90" i="34"/>
  <c r="G90" i="34" s="1"/>
  <c r="H90" i="34" s="1"/>
  <c r="I90" i="34" s="1"/>
  <c r="J90" i="34" s="1"/>
  <c r="K90" i="34" s="1"/>
  <c r="L90" i="34" s="1"/>
  <c r="M90" i="34" s="1"/>
  <c r="E18" i="31"/>
  <c r="H27" i="34"/>
  <c r="W27" i="34"/>
  <c r="AC27" i="34"/>
  <c r="W26" i="33"/>
  <c r="AC26" i="33"/>
  <c r="AA28" i="33"/>
  <c r="S28" i="33"/>
  <c r="W14" i="21"/>
  <c r="AC14" i="21"/>
  <c r="AZ555" i="3"/>
  <c r="S34" i="36"/>
  <c r="AA34" i="36"/>
  <c r="AB34" i="36"/>
  <c r="U34" i="36"/>
  <c r="AA40" i="40"/>
  <c r="S40" i="40"/>
  <c r="AC34" i="35"/>
  <c r="W34" i="35"/>
  <c r="AC24" i="35"/>
  <c r="W24" i="35"/>
  <c r="W46" i="21"/>
  <c r="AC46" i="21"/>
  <c r="U46" i="21"/>
  <c r="AB46" i="21"/>
  <c r="U44" i="21"/>
  <c r="AB44" i="21"/>
  <c r="U30" i="21"/>
  <c r="AB30" i="21"/>
  <c r="W27" i="21"/>
  <c r="AC27" i="21"/>
  <c r="G29" i="6"/>
  <c r="BA5" i="3"/>
  <c r="AZ552" i="3"/>
  <c r="AZ556" i="3"/>
  <c r="AB35" i="39"/>
  <c r="U35" i="39"/>
  <c r="AC31" i="40"/>
  <c r="W31" i="40"/>
  <c r="S13" i="39"/>
  <c r="AA13" i="39"/>
  <c r="U25" i="37"/>
  <c r="AB25" i="37"/>
  <c r="AZ15" i="3"/>
  <c r="AZ5" i="3" s="1"/>
  <c r="C19" i="71"/>
  <c r="T20" i="71"/>
  <c r="D20" i="71"/>
  <c r="U20" i="71" s="1"/>
  <c r="C27" i="71"/>
  <c r="T28" i="71"/>
  <c r="D28" i="71"/>
  <c r="U28" i="71" s="1"/>
  <c r="E84" i="3"/>
  <c r="E82" i="3"/>
  <c r="E63" i="3"/>
  <c r="E60" i="3"/>
  <c r="E48" i="3"/>
  <c r="E43" i="3"/>
  <c r="E202" i="3"/>
  <c r="E154" i="3"/>
  <c r="E284" i="3"/>
  <c r="E267" i="3"/>
  <c r="E242" i="3"/>
  <c r="E233" i="3"/>
  <c r="E223" i="3"/>
  <c r="E209" i="3"/>
  <c r="E463" i="3"/>
  <c r="C64" i="71"/>
  <c r="D63" i="71"/>
  <c r="AZ493" i="3"/>
  <c r="AB12" i="40"/>
  <c r="U12" i="40"/>
  <c r="AC12" i="40"/>
  <c r="W12" i="40"/>
  <c r="W43" i="39"/>
  <c r="AC43" i="39"/>
  <c r="AC39" i="37"/>
  <c r="W39" i="37"/>
  <c r="U27" i="37"/>
  <c r="AB27" i="37"/>
  <c r="U12" i="36"/>
  <c r="AB12" i="36"/>
  <c r="AA9" i="36"/>
  <c r="S9" i="36"/>
  <c r="AA23" i="35"/>
  <c r="S23" i="35"/>
  <c r="U13" i="35"/>
  <c r="AB13" i="35"/>
  <c r="AB29" i="34"/>
  <c r="U29" i="34"/>
  <c r="W14" i="33"/>
  <c r="AC14" i="33"/>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7" i="31"/>
  <c r="AC44" i="34"/>
  <c r="W44" i="34"/>
  <c r="AA27" i="34"/>
  <c r="S27" i="34"/>
  <c r="U26" i="33"/>
  <c r="AB26" i="33"/>
  <c r="W28" i="33"/>
  <c r="AC28" i="33"/>
  <c r="AB28" i="33"/>
  <c r="U28" i="33"/>
  <c r="U14" i="21"/>
  <c r="AB14" i="21"/>
  <c r="AZ586" i="3"/>
  <c r="AB33" i="36"/>
  <c r="U33" i="36"/>
  <c r="AA34" i="35"/>
  <c r="S34" i="35"/>
  <c r="AB24" i="35"/>
  <c r="U24" i="35"/>
  <c r="AA46" i="21"/>
  <c r="S46" i="21"/>
  <c r="AC44" i="21"/>
  <c r="W44" i="21"/>
  <c r="AC30" i="21"/>
  <c r="W30" i="21"/>
  <c r="AA27" i="21"/>
  <c r="S27" i="21"/>
  <c r="AC35" i="39"/>
  <c r="W35" i="39"/>
  <c r="AA35" i="39"/>
  <c r="S35" i="39"/>
  <c r="U31" i="40"/>
  <c r="AB31" i="40"/>
  <c r="AB13" i="39"/>
  <c r="U13" i="39"/>
  <c r="AA25" i="37"/>
  <c r="S25" i="37"/>
  <c r="N370" i="46"/>
  <c r="G26" i="43"/>
  <c r="D26" i="43" s="1"/>
  <c r="C25" i="43" s="1"/>
  <c r="B15" i="71"/>
  <c r="B14" i="71" s="1"/>
  <c r="B13" i="71" s="1"/>
  <c r="B12" i="71" s="1"/>
  <c r="S16" i="71"/>
  <c r="F7" i="36"/>
  <c r="J7" i="37"/>
  <c r="AC7" i="37" s="1"/>
  <c r="V42" i="37" s="1"/>
  <c r="I42" i="37" s="1"/>
  <c r="H7" i="36"/>
  <c r="F66" i="71"/>
  <c r="Q67" i="71"/>
  <c r="U39" i="40"/>
  <c r="AB39" i="40"/>
  <c r="AB38" i="40"/>
  <c r="U38" i="40"/>
  <c r="AC38" i="40"/>
  <c r="W38" i="40"/>
  <c r="E15" i="71"/>
  <c r="E14" i="71" s="1"/>
  <c r="E13" i="71" s="1"/>
  <c r="E12" i="71" s="1"/>
  <c r="V16" i="71"/>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3" i="6" l="1"/>
  <c r="E6" i="6" s="1"/>
  <c r="AY6" i="3"/>
  <c r="E29" i="6"/>
  <c r="G30" i="6"/>
  <c r="G31" i="6" s="1"/>
  <c r="AB27" i="34"/>
  <c r="U27" i="34"/>
  <c r="G112" i="34"/>
  <c r="H112" i="34" s="1"/>
  <c r="I112" i="34" s="1"/>
  <c r="J112" i="34" s="1"/>
  <c r="K112" i="34" s="1"/>
  <c r="L112" i="34" s="1"/>
  <c r="M112" i="34" s="1"/>
  <c r="H37" i="34"/>
  <c r="J37" i="34"/>
  <c r="T40" i="71"/>
  <c r="D40" i="71"/>
  <c r="T60" i="71"/>
  <c r="D60" i="71"/>
  <c r="D64" i="71"/>
  <c r="T64" i="71"/>
  <c r="D27" i="71"/>
  <c r="C26" i="71"/>
  <c r="D26" i="71" s="1"/>
  <c r="C18" i="71"/>
  <c r="D19" i="71"/>
  <c r="Q25" i="31"/>
  <c r="Q26" i="31"/>
  <c r="F37" i="34"/>
  <c r="P65" i="71"/>
  <c r="P66" i="71"/>
  <c r="E11" i="71"/>
  <c r="E10" i="71" s="1"/>
  <c r="E9" i="71" s="1"/>
  <c r="E8" i="71" s="1"/>
  <c r="E7" i="71" s="1"/>
  <c r="E6" i="71" s="1"/>
  <c r="E5" i="71" s="1"/>
  <c r="V12" i="71"/>
  <c r="Q66" i="71"/>
  <c r="Q65" i="7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3" i="34"/>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67"/>
  <c r="M27" i="15"/>
  <c r="AC37" i="34" l="1"/>
  <c r="V49" i="34" s="1"/>
  <c r="I49" i="34" s="1"/>
  <c r="W37" i="34"/>
  <c r="T49" i="34"/>
  <c r="G49" i="34" s="1"/>
  <c r="G53" i="34" s="1"/>
  <c r="H53" i="34" s="1"/>
  <c r="K15" i="1"/>
  <c r="K16" i="1" s="1"/>
  <c r="E30" i="6"/>
  <c r="E31" i="6" s="1"/>
  <c r="D3" i="33"/>
  <c r="L18" i="9"/>
  <c r="D14" i="12"/>
  <c r="AA37" i="34"/>
  <c r="R49" i="34" s="1"/>
  <c r="S37" i="34"/>
  <c r="C17" i="71"/>
  <c r="D18" i="71"/>
  <c r="U37" i="34"/>
  <c r="AB37"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7" i="15"/>
  <c r="C17" i="67"/>
  <c r="C14" i="67"/>
  <c r="R50" i="34" l="1"/>
  <c r="E49" i="34"/>
  <c r="I53" i="34"/>
  <c r="J53" i="34" s="1"/>
  <c r="I54" i="34"/>
  <c r="J54" i="34" s="1"/>
  <c r="D17" i="71"/>
  <c r="C16" i="71"/>
  <c r="H25" i="6"/>
  <c r="G54" i="34"/>
  <c r="H54" i="34" s="1"/>
  <c r="R29" i="31"/>
  <c r="S29" i="31" s="1"/>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0" i="34" l="1"/>
  <c r="R24" i="31" s="1"/>
  <c r="C49" i="34"/>
  <c r="D16" i="71"/>
  <c r="U16" i="71" s="1"/>
  <c r="T16" i="71"/>
  <c r="C15" i="71"/>
  <c r="E54" i="34"/>
  <c r="F54" i="34" s="1"/>
  <c r="E53" i="34"/>
  <c r="F53"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5" i="71" l="1"/>
  <c r="C14" i="71"/>
  <c r="R34" i="31"/>
  <c r="S34" i="31" s="1"/>
  <c r="R30" i="31"/>
  <c r="S30" i="31" s="1"/>
  <c r="R26" i="31"/>
  <c r="S26" i="31" s="1"/>
  <c r="R35" i="31"/>
  <c r="S35" i="31" s="1"/>
  <c r="R31" i="31"/>
  <c r="S31" i="31" s="1"/>
  <c r="R25" i="31"/>
  <c r="S25" i="31" s="1"/>
  <c r="R36" i="31"/>
  <c r="S36" i="31" s="1"/>
  <c r="R32" i="31"/>
  <c r="S32" i="31" s="1"/>
  <c r="R28" i="31"/>
  <c r="S28" i="31" s="1"/>
  <c r="S24" i="31"/>
  <c r="R33" i="31"/>
  <c r="S33" i="31" s="1"/>
  <c r="R27" i="31"/>
  <c r="S27" i="31" s="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13" i="71"/>
  <c r="D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15"/>
  <c r="M21" i="67"/>
  <c r="R22" i="31" l="1"/>
  <c r="E10" i="74" s="1"/>
  <c r="B10" i="74" s="1"/>
  <c r="D14" i="74" s="1"/>
  <c r="B20" i="31"/>
  <c r="B21" i="31"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T12" i="71" l="1"/>
  <c r="C11"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1" i="71" l="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9" i="71" l="1"/>
  <c r="D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D9" i="71" l="1"/>
  <c r="C8"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10" i="1"/>
  <c r="AO7" i="1"/>
  <c r="AO11" i="1"/>
  <c r="AO9" i="1"/>
  <c r="AO12" i="1"/>
  <c r="C7" i="71" l="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5" i="71" s="1"/>
  <c r="M24" i="43" s="1"/>
  <c r="D6" i="7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l="1"/>
  <c r="N61" i="9"/>
  <c r="C104" i="9"/>
  <c r="H4" i="52"/>
  <c r="C105" i="9"/>
  <c r="I4" i="52"/>
  <c r="N58" i="9"/>
  <c r="P57" i="9"/>
  <c r="D52" i="9"/>
  <c r="D53" i="9"/>
  <c r="B30" i="72"/>
  <c r="B53" i="72"/>
  <c r="M67" i="9"/>
  <c r="N57" i="9"/>
  <c r="L67" i="9"/>
  <c r="N59" i="9"/>
  <c r="M48" i="9"/>
  <c r="C78" i="9"/>
  <c r="C73" i="9"/>
  <c r="B48" i="72"/>
  <c r="D9" i="52"/>
  <c r="M54" i="9"/>
  <c r="F119" i="9"/>
  <c r="F5" i="52"/>
  <c r="E4" i="52"/>
  <c r="B47" i="72"/>
  <c r="E97" i="9"/>
  <c r="C6" i="74"/>
  <c r="D13" i="53"/>
  <c r="D14" i="53"/>
  <c r="B32" i="72"/>
  <c r="D4" i="52"/>
  <c r="B49" i="72"/>
  <c r="B22" i="72"/>
  <c r="C81" i="9"/>
  <c r="L64" i="9"/>
  <c r="M64" i="9"/>
  <c r="L68" i="9"/>
  <c r="M68" i="9"/>
  <c r="C68" i="9"/>
  <c r="D54" i="9"/>
  <c r="F4" i="52"/>
  <c r="B51" i="72"/>
  <c r="L66" i="9"/>
  <c r="M66" i="9"/>
  <c r="L65" i="9"/>
  <c r="M65" i="9"/>
  <c r="D8" i="52"/>
  <c r="D122" i="9"/>
  <c r="D123" i="9"/>
  <c r="C96" i="9"/>
  <c r="E96" i="9"/>
  <c r="F118" i="9"/>
  <c r="G118" i="9"/>
  <c r="G4" i="52"/>
  <c r="B52" i="72"/>
  <c r="D59" i="9"/>
  <c r="M55" i="9"/>
  <c r="D6" i="53"/>
  <c r="D5" i="53"/>
  <c r="B20" i="72"/>
  <c r="C5" i="74"/>
  <c r="C93" i="9"/>
  <c r="C86" i="9"/>
  <c r="D55" i="9"/>
  <c r="M53" i="9"/>
  <c r="C72" i="9"/>
  <c r="C79" i="9"/>
  <c r="C80" i="9"/>
  <c r="E80" i="9"/>
  <c r="E81" i="9"/>
  <c r="C97" i="9"/>
  <c r="D58" i="9"/>
  <c r="D56" i="9"/>
  <c r="C85" i="9"/>
  <c r="C95" i="9"/>
  <c r="E118" i="9"/>
  <c r="D118" i="9"/>
  <c r="D119" i="9"/>
  <c r="D5" i="52"/>
  <c r="H108" i="9"/>
  <c r="D15" i="53"/>
  <c r="B31" i="72"/>
  <c r="H119" i="9"/>
  <c r="H5" i="52"/>
  <c r="C67" i="9"/>
  <c r="H107" i="9"/>
  <c r="M49" i="9"/>
  <c r="L63" i="9"/>
  <c r="M63" i="9"/>
  <c r="M69" i="9"/>
  <c r="N69" i="9"/>
  <c r="H102" i="9"/>
  <c r="D7" i="53"/>
  <c r="B21" i="7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<sst xmlns="http://schemas.openxmlformats.org/spreadsheetml/2006/main" count="7997" uniqueCount="3525">
  <si>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</si>
  <si>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</si>
  <si>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</si>
  <si>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</si>
  <si>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</si>
  <si>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</si>
  <si>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</si>
  <si>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</si>
  <si>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</si>
  <si>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</si>
  <si>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</si>
  <si>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</si>
  <si>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</si>
  <si>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</si>
  <si>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</si>
  <si>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</si>
  <si>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</si>
  <si>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</si>
  <si>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</si>
  <si>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</si>
  <si>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</si>
  <si>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</si>
  <si>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</si>
  <si>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</si>
  <si>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</si>
  <si>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</si>
  <si>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</si>
  <si>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</si>
  <si>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</si>
  <si>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</si>
  <si>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</si>
  <si>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</si>
  <si>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</si>
  <si>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</si>
  <si>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</si>
  <si>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</si>
  <si>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</si>
  <si>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</si>
  <si>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</si>
  <si>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</si>
  <si>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</si>
  <si>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</si>
  <si>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</si>
  <si>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</si>
  <si>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</si>
  <si>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</si>
  <si>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</si>
  <si>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</si>
  <si>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</si>
  <si>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</si>
  <si>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</si>
  <si>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</si>
  <si>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</si>
  <si>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</si>
  <si>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</si>
  <si>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</si>
  <si>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</si>
  <si>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</si>
  <si>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</si>
  <si>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</si>
  <si>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</si>
  <si>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</si>
  <si>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</si>
  <si>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</si>
  <si>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</si>
  <si>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</si>
  <si>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</si>
  <si>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</si>
  <si>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</si>
  <si>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</si>
  <si>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</si>
  <si>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</si>
  <si>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</si>
  <si>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</si>
  <si>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</si>
  <si>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</si>
  <si>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</si>
  <si>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</si>
  <si>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</si>
  <si>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</si>
  <si>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</si>
  <si>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</si>
  <si>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</si>
  <si>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</si>
  <si>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</si>
  <si>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</si>
  <si>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</si>
  <si>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</si>
  <si>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</si>
  <si>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</si>
  <si>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</si>
  <si>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</si>
  <si>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</si>
  <si>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</si>
  <si>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</si>
  <si>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</si>
  <si>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</si>
  <si>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</si>
  <si>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</si>
  <si>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</si>
  <si>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</si>
  <si>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</si>
  <si>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</si>
  <si>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</si>
  <si>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</si>
  <si>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</si>
  <si>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</si>
  <si>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</si>
  <si>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</si>
  <si>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</si>
  <si>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</si>
  <si>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</si>
  <si>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</si>
  <si>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</si>
  <si>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</si>
  <si>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</si>
  <si>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</si>
  <si>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</si>
  <si>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</si>
  <si>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</si>
  <si>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</si>
  <si>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</si>
  <si>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</si>
  <si>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</si>
  <si>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</si>
  <si>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</si>
  <si>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</si>
  <si>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</si>
  <si>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</si>
  <si>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</si>
  <si>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</si>
  <si>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</si>
  <si>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</si>
  <si>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</si>
  <si>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</si>
  <si>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</si>
  <si>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</si>
  <si>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</si>
  <si>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</si>
  <si>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</si>
  <si>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</si>
  <si>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</si>
  <si>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</si>
  <si>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</si>
  <si>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</si>
  <si>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</si>
  <si>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</si>
  <si>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</si>
  <si>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</si>
  <si>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</si>
  <si>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</si>
  <si>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</si>
  <si>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</si>
  <si>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</si>
  <si>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</si>
  <si>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</si>
  <si>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</si>
  <si>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</si>
  <si>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</si>
  <si>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</si>
  <si>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</si>
  <si>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</si>
  <si>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</si>
  <si>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</si>
  <si>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</si>
  <si>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</si>
  <si>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</si>
  <si>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</si>
  <si>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</si>
  <si>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</si>
  <si>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</si>
  <si>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</si>
  <si>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</si>
  <si>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</si>
  <si>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</si>
  <si>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</si>
  <si>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</si>
  <si>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</si>
  <si>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</si>
  <si>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</si>
  <si>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</si>
  <si>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</si>
  <si>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</si>
  <si>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</si>
  <si>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</si>
  <si>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</si>
  <si>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</si>
  <si>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</si>
  <si>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</si>
  <si>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</si>
  <si>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</si>
  <si>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</si>
  <si>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</si>
  <si>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</si>
  <si>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</si>
  <si>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</si>
  <si>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</si>
  <si>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</si>
  <si>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</si>
  <si>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</si>
  <si>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</si>
  <si>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</si>
  <si>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</si>
  <si>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</si>
  <si>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</si>
  <si>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</si>
  <si>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</si>
  <si>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</si>
  <si>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</si>
  <si>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</si>
  <si>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</si>
  <si>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</si>
  <si>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</si>
  <si>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</si>
  <si>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</si>
  <si>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</si>
  <si>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</si>
  <si>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</si>
  <si>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</si>
  <si>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</si>
  <si>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</si>
  <si>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</si>
  <si>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</si>
  <si>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</si>
  <si>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</si>
  <si>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</si>
  <si>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</si>
  <si>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</si>
  <si>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</si>
  <si>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</si>
  <si>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</si>
  <si>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</si>
  <si>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</si>
  <si>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</si>
  <si>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</si>
  <si>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</si>
  <si>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</si>
  <si>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</si>
  <si>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</si>
  <si>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</si>
  <si>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</si>
  <si>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</si>
  <si>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</si>
  <si>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</si>
  <si>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</si>
  <si>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</si>
  <si>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</si>
  <si>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</si>
  <si>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</si>
  <si>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</si>
  <si>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</si>
  <si>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</si>
  <si>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</si>
  <si>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</si>
  <si>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</si>
  <si>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</si>
  <si>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</si>
  <si>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</si>
  <si>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</si>
  <si>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</si>
  <si>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</si>
  <si>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</si>
  <si>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</si>
  <si>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</si>
  <si>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</si>
  <si>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</si>
  <si>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</si>
  <si>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</si>
  <si>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</si>
  <si>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</si>
  <si>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</si>
  <si>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</si>
  <si>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</si>
  <si>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</si>
  <si>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</si>
  <si>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</si>
  <si>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</si>
  <si>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</si>
  <si>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</si>
  <si>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</si>
  <si>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</si>
  <si>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</si>
  <si>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</si>
  <si>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</si>
  <si>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</si>
  <si>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</si>
  <si>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</si>
  <si>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</si>
  <si>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</si>
  <si>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</si>
  <si>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</si>
  <si>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</si>
  <si>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</si>
  <si>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</si>
  <si>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</si>
  <si>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</si>
  <si>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</si>
  <si>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</si>
  <si>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</si>
  <si>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</si>
  <si>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</si>
  <si>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</si>
  <si>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</si>
  <si>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</si>
  <si>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</si>
  <si>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</si>
  <si>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</si>
  <si>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</si>
  <si>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</si>
  <si>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</si>
  <si>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</si>
  <si>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</si>
  <si>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</si>
  <si>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</si>
  <si>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</si>
  <si>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</si>
  <si>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</si>
  <si>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</si>
  <si>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</si>
  <si>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</si>
  <si>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</si>
  <si>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</si>
  <si>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</si>
  <si>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</si>
  <si>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</si>
  <si>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</si>
  <si>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</si>
  <si>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</si>
  <si>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</si>
  <si>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</si>
  <si>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</si>
  <si>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</si>
  <si>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</si>
  <si>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</si>
  <si>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</si>
  <si>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</si>
  <si>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</si>
  <si>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</si>
  <si>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</si>
  <si>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</si>
  <si>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</si>
  <si>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</si>
  <si>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</si>
  <si>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</si>
  <si>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</si>
  <si>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</si>
  <si>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</si>
  <si>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</si>
  <si>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</si>
  <si>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</si>
  <si>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</si>
  <si>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</si>
  <si>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</si>
  <si>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</si>
  <si>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</si>
  <si>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</si>
  <si>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</si>
  <si>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</si>
  <si>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</si>
  <si>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</si>
  <si>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</si>
  <si>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</si>
  <si>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</si>
  <si>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</si>
  <si>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</si>
  <si>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</si>
  <si>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</si>
  <si>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</si>
  <si>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</si>
  <si>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</si>
  <si>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</si>
  <si>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</si>
  <si>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</si>
  <si>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</si>
  <si>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</si>
  <si>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</si>
  <si>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</si>
  <si>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</si>
  <si>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</si>
  <si>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</si>
  <si>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</si>
  <si>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</si>
  <si>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</si>
  <si>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</si>
  <si>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</si>
  <si>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</si>
  <si>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</si>
  <si>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</si>
  <si>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</si>
  <si>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</si>
  <si>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</si>
  <si>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</si>
  <si>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</si>
  <si>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</si>
  <si>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</si>
  <si>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</si>
  <si>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</si>
  <si>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</si>
  <si>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</si>
  <si>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</si>
  <si>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</si>
  <si>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</si>
  <si>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</si>
  <si>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</si>
  <si>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</si>
  <si>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</si>
  <si>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</si>
  <si>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</si>
  <si>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</si>
  <si>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</si>
  <si>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</si>
  <si>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</si>
  <si>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</si>
  <si>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</si>
  <si>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</si>
  <si>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</si>
  <si>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</si>
  <si>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</si>
  <si>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</si>
  <si>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</si>
  <si>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</si>
  <si>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</si>
  <si>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</si>
  <si>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</si>
  <si>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</si>
  <si>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</si>
  <si>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</si>
  <si>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</si>
  <si>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</si>
  <si>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</si>
  <si>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</si>
  <si>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</si>
  <si>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</si>
  <si>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</si>
  <si>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</si>
  <si>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</si>
  <si>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</si>
  <si>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</si>
  <si>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</si>
  <si>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</si>
  <si>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</si>
  <si>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</si>
  <si>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</si>
  <si>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</si>
  <si>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</si>
  <si>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</si>
  <si>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</si>
  <si>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</si>
  <si>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</si>
  <si>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</si>
  <si>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</si>
  <si>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</si>
  <si>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</si>
  <si>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</si>
  <si>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</si>
  <si>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</si>
  <si>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</si>
  <si>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</si>
  <si>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</si>
  <si>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</si>
  <si>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</si>
  <si>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</si>
  <si>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</si>
  <si>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</si>
  <si>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</si>
  <si>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</si>
  <si>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</si>
  <si>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</si>
  <si>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</si>
  <si>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</si>
  <si>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</si>
  <si>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</si>
  <si>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</si>
  <si>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</si>
  <si>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</si>
  <si>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</si>
  <si>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</si>
  <si>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</si>
  <si>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</si>
  <si>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</si>
  <si>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</si>
  <si>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</si>
  <si>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</si>
  <si>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</si>
  <si>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</si>
  <si>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</si>
  <si>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</si>
  <si>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</si>
  <si>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</si>
  <si>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</si>
  <si>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</si>
  <si>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</si>
  <si>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</si>
  <si>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</si>
  <si>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</si>
  <si>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</si>
  <si>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</si>
  <si>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</si>
  <si>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</si>
  <si>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</si>
  <si>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</si>
  <si>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</si>
  <si>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</si>
  <si>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</si>
  <si>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</si>
  <si>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</si>
  <si>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</si>
  <si>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</si>
  <si>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</si>
  <si>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</si>
  <si>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</si>
  <si>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</si>
  <si>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</si>
  <si>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</si>
  <si>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</si>
  <si>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</si>
  <si>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</si>
  <si>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</si>
  <si>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</si>
  <si>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</si>
  <si>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</si>
  <si>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</si>
  <si>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</si>
  <si>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</si>
  <si>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</si>
  <si>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</si>
  <si>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</si>
  <si>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</si>
  <si>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</si>
  <si>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</si>
  <si>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</si>
  <si>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</si>
  <si>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</si>
  <si>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</si>
  <si>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</si>
  <si>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</si>
  <si>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</si>
  <si>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</si>
  <si>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</si>
  <si>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</si>
  <si>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</si>
  <si>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</si>
  <si>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</si>
  <si>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</si>
  <si>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</si>
  <si>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</si>
  <si>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</si>
  <si>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</si>
  <si>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</si>
  <si>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</si>
  <si>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</si>
  <si>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</si>
  <si>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</si>
  <si>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</si>
  <si>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</si>
  <si>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</si>
  <si>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</si>
  <si>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</si>
  <si>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</si>
  <si>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</si>
  <si>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</si>
  <si>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</si>
  <si>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</si>
  <si>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</si>
  <si>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</si>
  <si>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</si>
  <si>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</si>
  <si>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</si>
  <si>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</si>
  <si>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</si>
  <si>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</si>
  <si>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</si>
  <si>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</si>
  <si>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</si>
  <si>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</si>
  <si>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</si>
  <si>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</si>
  <si>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</si>
  <si>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</si>
  <si>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</si>
  <si>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</si>
  <si>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</si>
  <si>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</si>
  <si>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</si>
  <si>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</si>
  <si>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</si>
  <si>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</si>
  <si>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</si>
  <si>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</si>
  <si>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</si>
  <si>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</si>
  <si>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</si>
  <si>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</si>
  <si>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</si>
  <si>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</si>
  <si>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</si>
  <si>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</si>
  <si>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</si>
  <si>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</si>
  <si>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</si>
  <si>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</si>
  <si>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</si>
  <si>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</si>
  <si>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</si>
  <si>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</si>
  <si>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</si>
  <si>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</si>
  <si>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</si>
  <si>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</si>
  <si>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</si>
  <si>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</si>
  <si>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</si>
  <si>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</si>
  <si>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</si>
  <si>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</si>
  <si>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</si>
  <si>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</si>
  <si>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</si>
  <si>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</si>
  <si>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</si>
  <si>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</si>
  <si>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</si>
  <si>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</si>
  <si>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</si>
  <si>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</si>
  <si>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</si>
  <si>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</si>
  <si>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</si>
  <si>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</si>
  <si>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</si>
  <si>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</si>
  <si>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</si>
  <si>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</si>
  <si>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</si>
  <si>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</si>
  <si>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</si>
  <si>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</si>
  <si>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</si>
  <si>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</si>
  <si>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</si>
  <si>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</si>
  <si>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</si>
  <si>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</si>
  <si>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</si>
  <si>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</si>
  <si>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</si>
  <si>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</si>
  <si>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</si>
  <si>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</si>
  <si>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</si>
  <si>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</si>
  <si>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</si>
  <si>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</si>
  <si>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</si>
  <si>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</si>
  <si>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</si>
  <si>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</si>
  <si>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</si>
  <si>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</si>
  <si>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</si>
  <si>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</si>
  <si>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</si>
  <si>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</si>
  <si>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</si>
  <si>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</si>
  <si>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</si>
  <si>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</si>
  <si>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</si>
  <si>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</si>
  <si>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</si>
  <si>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</si>
  <si>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</si>
  <si>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</si>
  <si>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</si>
  <si>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</si>
  <si>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</si>
  <si>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</si>
  <si>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</si>
  <si>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</si>
  <si>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</si>
  <si>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</si>
  <si>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</si>
  <si>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</si>
  <si>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</si>
  <si>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</si>
  <si>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</si>
  <si>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</si>
  <si>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</si>
  <si>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</si>
  <si>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</si>
  <si>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</si>
  <si>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</si>
  <si>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</si>
  <si>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</si>
  <si>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</si>
  <si>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</si>
  <si>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</si>
  <si>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</si>
  <si>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</si>
  <si>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</si>
  <si>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</si>
  <si>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</si>
  <si>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</si>
  <si>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</si>
  <si>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</si>
  <si>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</si>
  <si>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</si>
  <si>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</si>
  <si>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</si>
  <si>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</si>
  <si>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</si>
  <si>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</si>
  <si>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</si>
  <si>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</si>
  <si>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</si>
  <si>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</si>
  <si>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</si>
  <si>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</si>
  <si>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</si>
  <si>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</si>
  <si>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</si>
  <si>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</si>
  <si>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</si>
  <si>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</si>
  <si>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</si>
  <si>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</si>
  <si>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</si>
  <si>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</si>
  <si>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</si>
  <si>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</si>
  <si>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</si>
  <si>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</si>
  <si>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</si>
  <si>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</si>
  <si>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</si>
  <si>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</si>
  <si>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</si>
  <si>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</si>
  <si>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</si>
  <si>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</si>
  <si>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</si>
  <si>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</si>
  <si>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</si>
  <si>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</si>
  <si>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</si>
  <si>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</si>
  <si>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</si>
  <si>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</si>
  <si>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</si>
  <si>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</si>
  <si>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</si>
  <si>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</si>
  <si>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</si>
  <si>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</si>
  <si>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</si>
  <si>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</si>
  <si>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</si>
  <si>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</si>
  <si>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</si>
  <si>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</si>
  <si>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</si>
  <si>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</si>
  <si>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</si>
  <si>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</si>
  <si>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</si>
  <si>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</si>
  <si>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</si>
  <si>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</si>
  <si>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</si>
  <si>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</si>
  <si>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</si>
  <si>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</si>
  <si>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</si>
  <si>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</si>
  <si>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</si>
  <si>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</si>
  <si>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</si>
  <si>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</si>
  <si>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</si>
  <si>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</si>
  <si>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</si>
  <si>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</si>
  <si>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</si>
  <si>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</si>
  <si>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</si>
  <si>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</si>
  <si>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</si>
  <si>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</si>
  <si>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</si>
  <si>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</si>
  <si>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</si>
  <si>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</si>
  <si>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</si>
  <si>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</si>
  <si>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</si>
  <si>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</si>
  <si>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</si>
  <si>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</si>
  <si>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</si>
  <si>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</si>
  <si>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</si>
  <si>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</si>
  <si>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</si>
  <si>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</si>
  <si>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</si>
  <si>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</si>
  <si>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</si>
  <si>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</si>
  <si>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</si>
  <si>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</si>
  <si>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</si>
  <si>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</si>
  <si>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</si>
  <si>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</si>
  <si>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</si>
  <si>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</si>
  <si>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</si>
  <si>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</si>
  <si>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</si>
  <si>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</si>
  <si>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</si>
  <si>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</si>
  <si>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</si>
  <si>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</si>
  <si>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</si>
  <si>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</si>
  <si>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</si>
  <si>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</si>
  <si>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</si>
  <si>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</si>
  <si>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</si>
  <si>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</si>
  <si>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</si>
  <si>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</si>
  <si>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</si>
  <si>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</si>
  <si>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</si>
  <si>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</si>
  <si>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</si>
  <si>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</si>
  <si>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</si>
  <si>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</si>
  <si>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</si>
  <si>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</si>
  <si>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</si>
  <si>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</si>
  <si>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</si>
  <si>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</si>
  <si>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</si>
  <si>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</si>
  <si>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</si>
  <si>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</si>
  <si>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</si>
  <si>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</si>
  <si>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</si>
  <si>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</si>
  <si>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</si>
  <si>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</si>
  <si>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</si>
  <si>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</si>
  <si>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</si>
  <si>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</si>
  <si>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</si>
  <si>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</si>
  <si>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</si>
  <si>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</si>
  <si>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</si>
  <si>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</si>
  <si>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</si>
  <si>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</si>
  <si>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</si>
  <si>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</si>
  <si>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</si>
  <si>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</si>
  <si>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</si>
  <si>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</si>
  <si>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</si>
  <si>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</si>
  <si>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</si>
  <si>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</si>
  <si>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</si>
  <si>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</si>
  <si>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</si>
  <si>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</si>
  <si>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</si>
  <si>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</si>
  <si>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</si>
  <si>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</si>
  <si>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</si>
  <si>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</si>
  <si>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</si>
  <si>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</si>
  <si>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</si>
  <si>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</si>
  <si>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</si>
  <si>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</si>
  <si>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</si>
  <si>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</si>
  <si>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</si>
  <si>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</si>
  <si>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</si>
  <si>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</si>
  <si>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</si>
  <si>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</si>
  <si>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</si>
  <si>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</si>
  <si>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</si>
  <si>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</si>
  <si>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</si>
  <si>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</si>
  <si>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</si>
  <si>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</si>
  <si>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</si>
  <si>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</si>
  <si>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</si>
  <si>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</si>
  <si>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</si>
  <si>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</si>
  <si>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</si>
  <si>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</si>
  <si>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</si>
  <si>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</si>
  <si>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</si>
  <si>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</si>
  <si>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</si>
  <si>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</si>
  <si>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</si>
  <si>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</si>
  <si>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</si>
  <si>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</si>
  <si>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</si>
  <si>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</si>
  <si>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</si>
  <si>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</si>
  <si>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</si>
  <si>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</si>
  <si>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</si>
  <si>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</si>
  <si>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</si>
  <si>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</si>
  <si>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</si>
  <si>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</si>
  <si>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</si>
  <si>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</si>
  <si>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</si>
  <si>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</si>
  <si>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</si>
  <si>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</si>
  <si>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</si>
  <si>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</si>
  <si>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</si>
  <si>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</si>
  <si>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</si>
  <si>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</si>
  <si>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</si>
  <si>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</si>
  <si>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</si>
  <si>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</si>
  <si>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</si>
  <si>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</si>
  <si>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</si>
  <si>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</si>
  <si>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</si>
  <si>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</si>
  <si>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</si>
  <si>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</si>
  <si>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</si>
  <si>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</si>
  <si>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</si>
  <si>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</si>
  <si>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</si>
  <si>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</si>
  <si>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</si>
  <si>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</si>
  <si>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</si>
  <si>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</si>
  <si>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</si>
  <si>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</si>
  <si>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</si>
  <si>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</si>
  <si>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</si>
  <si>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</si>
  <si>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</si>
  <si>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</si>
  <si>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</si>
  <si>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</si>
  <si>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</si>
  <si>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</si>
  <si>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</si>
  <si>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</si>
  <si>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</si>
  <si>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</si>
  <si>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</si>
  <si>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</si>
  <si>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</si>
  <si>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</si>
  <si>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</si>
  <si>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</si>
  <si>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</si>
  <si>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</si>
  <si>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</si>
  <si>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</si>
  <si>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</si>
  <si>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</si>
  <si>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</si>
  <si>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</si>
  <si>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</si>
  <si>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</si>
  <si>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</si>
  <si>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</si>
  <si>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</si>
  <si>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</si>
  <si>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</si>
  <si>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</si>
  <si>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</si>
  <si>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</si>
  <si>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</si>
  <si>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</si>
  <si>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</si>
  <si>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</si>
  <si>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</si>
  <si>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</si>
  <si>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</si>
  <si>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</si>
  <si>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</si>
  <si>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</si>
  <si>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</si>
  <si>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</si>
  <si>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</si>
  <si>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</si>
  <si>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</si>
  <si>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</si>
  <si>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</si>
  <si>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</si>
  <si>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</si>
  <si>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</si>
  <si>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</si>
  <si>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</si>
  <si>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</si>
  <si>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</si>
  <si>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</si>
  <si>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</si>
  <si>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</si>
  <si>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</si>
  <si>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</si>
  <si>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</si>
  <si>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</si>
  <si>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</si>
  <si>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</si>
  <si>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</si>
  <si>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</si>
  <si>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</si>
  <si>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</si>
  <si>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</si>
  <si>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</si>
  <si>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</si>
  <si>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</si>
  <si>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</si>
  <si>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</si>
  <si>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</si>
  <si>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</si>
  <si>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</si>
  <si>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</si>
  <si>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</si>
  <si>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</si>
  <si>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</si>
  <si>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</si>
  <si>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</si>
  <si>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</si>
  <si>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</si>
  <si>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</si>
  <si>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</si>
  <si>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</si>
  <si>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</si>
  <si>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</si>
  <si>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</si>
  <si>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</si>
  <si>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</si>
  <si>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</si>
  <si>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</si>
  <si>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</si>
  <si>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</si>
  <si>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</si>
  <si>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</si>
  <si>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</si>
  <si>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</si>
  <si>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</si>
  <si>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</si>
  <si>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</si>
  <si>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</si>
  <si>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</si>
  <si>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</si>
  <si>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</si>
  <si>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</si>
  <si>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</si>
  <si>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</si>
  <si>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</si>
  <si>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</si>
  <si>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</si>
  <si>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</si>
  <si>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</si>
  <si>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</si>
  <si>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</si>
  <si>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</si>
  <si>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</si>
  <si>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</si>
  <si>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</si>
  <si>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</si>
  <si>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</si>
  <si>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</si>
  <si>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</si>
  <si>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</si>
  <si>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</si>
  <si>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</si>
  <si>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</si>
  <si>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</si>
  <si>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</si>
  <si>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</si>
  <si>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</si>
  <si>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</si>
  <si>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</si>
  <si>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</si>
  <si>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</si>
  <si>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</si>
  <si>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</si>
  <si>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</si>
  <si>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</si>
  <si>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</si>
  <si>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</si>
  <si>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</si>
  <si>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</si>
  <si>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</si>
  <si>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</si>
  <si>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</si>
  <si>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</si>
  <si>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</si>
  <si>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</si>
  <si>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</si>
  <si>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</si>
  <si>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</si>
  <si>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</si>
  <si>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</si>
  <si>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</si>
  <si>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</si>
  <si>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</si>
  <si>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</si>
  <si>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</si>
  <si>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</si>
  <si>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</si>
  <si>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</si>
  <si>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</si>
  <si>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</si>
  <si>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</si>
  <si>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</si>
  <si>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</si>
  <si>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</si>
  <si>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</si>
  <si>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</si>
  <si>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</si>
  <si>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</si>
  <si>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</si>
  <si>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</si>
  <si>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</si>
  <si>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</si>
  <si>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</si>
  <si>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</si>
  <si>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</si>
  <si>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</si>
  <si>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</si>
  <si>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</si>
  <si>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</si>
  <si>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</si>
  <si>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</si>
  <si>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</si>
  <si>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</si>
  <si>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</si>
  <si>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</si>
  <si>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</si>
  <si>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</si>
  <si>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</si>
  <si>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</si>
  <si>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</si>
  <si>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</si>
  <si>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</si>
  <si>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</si>
  <si>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</si>
  <si>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</si>
  <si>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</si>
  <si>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</si>
  <si>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</si>
  <si>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</si>
  <si>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</si>
  <si>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</si>
  <si>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</si>
  <si>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</si>
  <si>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</si>
  <si>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</si>
  <si>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</si>
  <si>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</si>
  <si>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</si>
  <si>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</si>
  <si>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</si>
  <si>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</si>
  <si>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</si>
  <si>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</si>
  <si>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</si>
  <si>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</si>
  <si>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</si>
  <si>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</si>
  <si>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</si>
  <si>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</si>
  <si>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</si>
  <si>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</si>
  <si>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</si>
  <si>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</si>
  <si>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</si>
  <si>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</si>
  <si>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</si>
  <si>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</si>
  <si>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</si>
  <si>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</si>
  <si>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</si>
  <si>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</si>
  <si>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</si>
  <si>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</si>
  <si>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</si>
  <si>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</si>
  <si>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</si>
  <si>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</si>
  <si>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</si>
  <si>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</si>
  <si>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</si>
  <si>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</si>
  <si>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</si>
  <si>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</si>
  <si>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</si>
  <si>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</si>
  <si>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</si>
  <si>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</si>
  <si>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</si>
  <si>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</si>
  <si>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</si>
  <si>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</si>
  <si>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</si>
  <si>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</si>
  <si>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</si>
  <si>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</si>
  <si>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</si>
  <si>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</si>
  <si>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</si>
  <si>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</si>
  <si>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</si>
  <si>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</si>
  <si>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</si>
  <si>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</si>
  <si>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</si>
  <si>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</si>
  <si>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</si>
  <si>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</si>
  <si>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</si>
  <si>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</si>
  <si>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</si>
  <si>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</si>
  <si>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</si>
  <si>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</si>
  <si>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</si>
  <si>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</si>
  <si>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</si>
  <si>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</si>
  <si>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</si>
  <si>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</si>
  <si>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</si>
  <si>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</si>
  <si>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</si>
  <si>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</si>
  <si>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</si>
  <si>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</si>
  <si>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</si>
  <si>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</si>
  <si>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</si>
  <si>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</si>
  <si>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</si>
  <si>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</si>
  <si>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</si>
  <si>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</si>
  <si>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</si>
  <si>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</si>
  <si>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</si>
  <si>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</si>
  <si>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</si>
  <si>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</si>
  <si>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</si>
  <si>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</si>
  <si>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</si>
  <si>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</si>
  <si>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</si>
  <si>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</si>
  <si>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</si>
  <si>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</si>
  <si>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</si>
  <si>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</si>
  <si>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</si>
  <si>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</si>
  <si>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</si>
  <si>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</si>
  <si>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</si>
  <si>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</si>
  <si>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</si>
  <si>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</si>
  <si>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</si>
  <si>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</si>
  <si>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</si>
  <si>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</si>
  <si>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</si>
  <si>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</si>
  <si>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</si>
  <si>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</si>
  <si>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</si>
  <si>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</si>
  <si>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</si>
  <si>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</si>
  <si>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</si>
  <si>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</si>
  <si>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</si>
  <si>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</si>
  <si>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</si>
  <si>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</si>
  <si>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</si>
  <si>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</si>
  <si>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</si>
  <si>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</si>
  <si>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</si>
  <si>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</si>
  <si>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</si>
  <si>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</si>
  <si>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</si>
  <si>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</si>
  <si>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</si>
  <si>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</si>
  <si>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</si>
  <si>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</si>
  <si>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</si>
  <si>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</si>
  <si>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</si>
  <si>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</si>
  <si>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</si>
  <si>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</si>
  <si>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</si>
  <si>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</si>
  <si>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</si>
  <si>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</si>
  <si>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</si>
  <si>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</si>
  <si>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</si>
  <si>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</si>
  <si>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</si>
  <si>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</si>
  <si>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</si>
  <si>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</si>
  <si>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</si>
  <si>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</si>
  <si>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</si>
  <si>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</si>
  <si>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</si>
  <si>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</si>
  <si>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</si>
  <si>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</si>
  <si>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</si>
  <si>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</si>
  <si>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</si>
  <si>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</si>
  <si>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</si>
  <si>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</si>
  <si>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</si>
  <si>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</si>
  <si>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</si>
  <si>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</si>
  <si>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</si>
  <si>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</si>
  <si>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</si>
  <si>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</si>
  <si>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</si>
  <si>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</si>
  <si>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</si>
  <si>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</si>
  <si>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</si>
  <si>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</si>
  <si>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</si>
  <si>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</si>
  <si>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</si>
  <si>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</si>
  <si>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</si>
  <si>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</si>
  <si>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</si>
  <si>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</si>
  <si>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</si>
  <si>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</si>
  <si>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</si>
  <si>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</si>
  <si>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</si>
  <si>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</si>
  <si>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</si>
  <si>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</si>
  <si>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</si>
  <si>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</si>
  <si>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</si>
  <si>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</si>
  <si>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</si>
  <si>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</si>
  <si>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</si>
  <si>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</si>
  <si>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</si>
  <si>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</si>
  <si>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</si>
  <si>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</si>
  <si>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</si>
  <si>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</si>
  <si>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</si>
  <si>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</si>
  <si>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</si>
  <si>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</si>
  <si>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</si>
  <si>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</si>
  <si>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</si>
  <si>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</si>
  <si>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</si>
  <si>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</si>
  <si>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</si>
  <si>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</si>
  <si>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</si>
  <si>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</si>
  <si>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</si>
  <si>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</si>
  <si>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</si>
  <si>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</si>
  <si>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</si>
  <si>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</si>
  <si>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</si>
  <si>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</si>
  <si>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</si>
  <si>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</si>
  <si>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</si>
  <si>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</si>
  <si>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</si>
  <si>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</si>
  <si>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</si>
  <si>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</si>
  <si>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</si>
  <si>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</si>
  <si>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</si>
  <si>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</si>
  <si>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</si>
  <si>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</si>
  <si>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</si>
  <si>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</si>
  <si>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</si>
  <si>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</si>
  <si>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</si>
  <si>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</si>
  <si>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</si>
  <si>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</si>
  <si>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</si>
  <si>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</si>
  <si>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</si>
  <si>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</si>
  <si>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</si>
  <si>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</si>
  <si>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</si>
  <si>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</si>
  <si>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</si>
  <si>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</si>
  <si>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</si>
  <si>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</si>
  <si>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</si>
  <si>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</si>
  <si>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</si>
  <si>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</si>
  <si>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</si>
  <si>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</si>
  <si>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</si>
  <si>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</si>
  <si>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</si>
  <si>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</si>
  <si>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</si>
  <si>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</si>
  <si>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</si>
  <si>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</si>
  <si>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</si>
  <si>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</si>
  <si>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</si>
  <si>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</si>
  <si>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</si>
  <si>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</si>
  <si>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</si>
  <si>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</si>
  <si>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</si>
  <si>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</si>
  <si>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</si>
  <si>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</si>
  <si>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</si>
  <si>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</si>
  <si>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</si>
  <si>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</si>
  <si>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</si>
  <si>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</si>
  <si>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</si>
  <si>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</si>
  <si>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</si>
  <si>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</si>
  <si>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</si>
  <si>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</si>
  <si>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</si>
  <si>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</si>
  <si>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</si>
  <si>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</si>
  <si>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</si>
  <si>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</si>
  <si>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</si>
  <si>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</si>
  <si>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</si>
  <si>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</si>
  <si>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</si>
  <si>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</si>
  <si>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</si>
  <si>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</si>
  <si>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</si>
  <si>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</si>
  <si>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</si>
  <si>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</si>
  <si>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</si>
  <si>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</si>
  <si>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</si>
  <si>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</si>
  <si>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</si>
  <si>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</si>
  <si>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</si>
  <si>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</si>
  <si>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</si>
  <si>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</si>
  <si>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</si>
  <si>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</si>
  <si>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</si>
  <si>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</si>
  <si>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</si>
  <si>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</si>
  <si>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</si>
  <si>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</si>
  <si>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</si>
  <si>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</si>
  <si>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</si>
  <si>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</si>
  <si>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</si>
  <si>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</si>
  <si>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</si>
  <si>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</si>
  <si>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</si>
  <si>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</si>
  <si>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</si>
  <si>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</si>
  <si>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</si>
  <si>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</si>
  <si>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</si>
  <si>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</si>
  <si>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</si>
  <si>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</si>
  <si>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</si>
  <si>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</si>
  <si>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</si>
  <si>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</si>
  <si>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</si>
  <si>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</si>
  <si>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</si>
  <si>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</si>
  <si>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</si>
  <si>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</si>
  <si>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</si>
  <si>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</si>
  <si>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</si>
  <si>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</si>
  <si>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</si>
  <si>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</si>
  <si>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</si>
  <si>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</si>
  <si>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</si>
  <si>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</si>
  <si>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</si>
  <si>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</si>
  <si>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</si>
  <si>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</si>
  <si>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</si>
  <si>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</si>
  <si>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</si>
  <si>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</si>
  <si>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</si>
  <si>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</si>
  <si>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</si>
  <si>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</si>
  <si>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</si>
  <si>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</si>
  <si>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</si>
  <si>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</si>
  <si>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</si>
  <si>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</si>
  <si>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</si>
  <si>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</si>
  <si>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</si>
  <si>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</si>
  <si>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</si>
  <si>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</si>
  <si>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</si>
  <si>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</si>
  <si>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</si>
  <si>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</si>
  <si>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</si>
  <si>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</si>
  <si>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</si>
  <si>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</si>
  <si>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</si>
  <si>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</si>
  <si>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</si>
  <si>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</si>
  <si>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</si>
  <si>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</si>
  <si>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</si>
  <si>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</si>
  <si>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</si>
  <si>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</si>
  <si>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</si>
  <si>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</si>
  <si>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</si>
  <si>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</si>
  <si>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</si>
  <si>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</si>
  <si>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</si>
  <si>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</si>
  <si>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</si>
  <si>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</si>
  <si>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</si>
  <si>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</si>
  <si>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</si>
  <si>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</si>
  <si>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</si>
  <si>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</si>
  <si>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</si>
  <si>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</si>
  <si>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</si>
  <si>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</si>
  <si>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</si>
  <si>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</si>
  <si>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</si>
  <si>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</si>
  <si>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</si>
  <si>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</si>
  <si>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</si>
  <si>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</si>
  <si>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</si>
  <si>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</si>
  <si>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</si>
  <si>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</si>
  <si>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</si>
  <si>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</si>
  <si>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</si>
  <si>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</si>
  <si>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</si>
  <si>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</si>
  <si>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</si>
  <si>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</si>
  <si>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</si>
  <si>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</si>
  <si>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</si>
  <si>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</si>
  <si>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</si>
  <si>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</si>
  <si>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</si>
  <si>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</si>
  <si>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</si>
  <si>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</si>
  <si>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</si>
  <si>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</si>
  <si>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</si>
  <si>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</si>
  <si>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</si>
  <si>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</si>
  <si>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</si>
  <si>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</si>
  <si>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</si>
  <si>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</si>
  <si>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</si>
  <si>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</si>
  <si>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</si>
  <si>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</si>
  <si>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</si>
  <si>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</si>
  <si>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</si>
  <si>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</si>
  <si>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</si>
  <si>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</si>
  <si>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</si>
  <si>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</si>
  <si>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</si>
  <si>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</si>
  <si>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</si>
  <si>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</si>
  <si>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</si>
  <si>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</si>
  <si>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</si>
  <si>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</si>
  <si>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</si>
  <si>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</si>
  <si>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</si>
  <si>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</si>
  <si>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</si>
  <si>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</si>
  <si>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</si>
  <si>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</si>
  <si>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</si>
  <si>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</si>
  <si>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</si>
  <si>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</si>
  <si>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</si>
  <si>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</si>
  <si>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</si>
  <si>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</si>
  <si>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</si>
  <si>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</si>
  <si>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</si>
  <si>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</si>
  <si>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</si>
  <si>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</si>
  <si>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</si>
  <si>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</si>
  <si>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</si>
  <si>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</si>
  <si>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</si>
  <si>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</si>
  <si>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</si>
  <si>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</si>
  <si>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</si>
  <si>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</si>
  <si>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</si>
  <si>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</si>
  <si>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</si>
  <si>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</si>
  <si>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</si>
  <si>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</si>
  <si>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</si>
  <si>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</si>
  <si>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</si>
  <si>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</si>
  <si>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</si>
  <si>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</si>
  <si>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</si>
  <si>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</si>
  <si>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</si>
  <si>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</si>
  <si>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</si>
  <si>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</si>
  <si>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</si>
  <si>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</si>
  <si>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</si>
  <si>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</si>
  <si>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</si>
  <si>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</si>
  <si>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</si>
  <si>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</si>
  <si>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</si>
  <si>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</si>
  <si>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</si>
  <si>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</si>
  <si>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</si>
  <si>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</si>
  <si>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</si>
  <si>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</si>
  <si>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</si>
  <si>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</si>
  <si>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</si>
  <si>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</si>
  <si>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</si>
  <si>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</si>
  <si>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</si>
  <si>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</si>
  <si>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</si>
  <si>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</si>
  <si>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</si>
  <si>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</si>
  <si>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</si>
  <si>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</si>
  <si>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</si>
  <si>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</si>
  <si>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</si>
  <si>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</si>
  <si>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</si>
  <si>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</si>
  <si>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</si>
  <si>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</si>
  <si>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</si>
  <si>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</si>
  <si>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</si>
  <si>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</si>
  <si>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</si>
  <si>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</si>
  <si>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</si>
  <si>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</si>
  <si>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</si>
  <si>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</si>
  <si>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</si>
  <si>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</si>
  <si>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</si>
  <si>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</si>
  <si>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</si>
  <si>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</si>
  <si>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</si>
  <si>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</si>
  <si>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</si>
  <si>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</si>
  <si>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</si>
  <si>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</si>
  <si>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</si>
  <si>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</si>
  <si>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</si>
  <si>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</si>
  <si>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</si>
  <si>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</si>
  <si>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</si>
  <si>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</si>
  <si>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</si>
  <si>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</si>
  <si>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</si>
  <si>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</si>
  <si>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</si>
  <si>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</si>
  <si>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</si>
  <si>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</si>
  <si>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</si>
  <si>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</si>
  <si>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</si>
  <si>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</si>
  <si>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</si>
  <si>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</si>
  <si>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</si>
  <si>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</si>
  <si>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</si>
  <si>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</si>
  <si>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</si>
  <si>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</si>
  <si>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</si>
  <si>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</si>
  <si>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</si>
  <si>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</si>
  <si>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</si>
  <si>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</si>
  <si>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</si>
  <si>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</si>
  <si>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</si>
  <si>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</si>
  <si>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</si>
  <si>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</si>
  <si>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</si>
  <si>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</si>
  <si>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</si>
  <si>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</si>
  <si>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</si>
  <si>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</si>
  <si>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</si>
  <si>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</si>
  <si>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</si>
  <si>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</si>
  <si>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</si>
  <si>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</si>
  <si>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</si>
  <si>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</si>
  <si>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</si>
  <si>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</si>
  <si>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</si>
  <si>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</si>
  <si>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</si>
  <si>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</si>
  <si>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</si>
  <si>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</si>
  <si>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</si>
  <si>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</si>
  <si>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</si>
  <si>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</si>
  <si>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</si>
  <si>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</si>
  <si>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</si>
  <si>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</si>
  <si>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</si>
  <si>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</si>
  <si>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</si>
  <si>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</si>
  <si>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</si>
  <si>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</si>
  <si>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</si>
  <si>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</si>
  <si>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</si>
  <si>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</si>
  <si>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</si>
  <si>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</si>
  <si>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</si>
  <si>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</si>
  <si>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</si>
  <si>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</si>
  <si>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</si>
  <si>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</si>
  <si>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</si>
  <si>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</si>
  <si>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</si>
  <si>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</si>
  <si>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</si>
  <si>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</si>
  <si>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</si>
  <si>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</si>
  <si>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</si>
  <si>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</si>
  <si>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</si>
  <si>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</si>
  <si>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</si>
  <si>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</si>
  <si>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</si>
  <si>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</si>
  <si>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</si>
  <si>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</si>
  <si>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</si>
  <si>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</si>
  <si>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</si>
  <si>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</si>
  <si>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</si>
  <si>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</si>
  <si>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</si>
  <si>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</si>
  <si>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</si>
  <si>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</si>
  <si>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</si>
  <si>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</si>
  <si>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</si>
  <si>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</si>
  <si>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</si>
  <si>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</si>
  <si>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</si>
  <si>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</si>
  <si>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</si>
  <si>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</si>
  <si>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</si>
  <si>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</si>
  <si>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</si>
  <si>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</si>
  <si>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</si>
  <si>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</si>
  <si>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</si>
  <si>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</si>
  <si>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</si>
  <si>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</si>
  <si>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</si>
  <si>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</si>
  <si>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</si>
  <si>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</si>
  <si>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</si>
  <si>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</si>
  <si>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</si>
  <si>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</si>
  <si>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</si>
  <si>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</si>
  <si>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</si>
  <si>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</si>
  <si>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</si>
  <si>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</si>
  <si>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</si>
  <si>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</si>
  <si>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</si>
  <si>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</si>
  <si>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</si>
  <si>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</si>
  <si>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</si>
  <si>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</si>
  <si>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</si>
  <si>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</si>
  <si>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</si>
  <si>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</si>
  <si>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</si>
  <si>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</si>
  <si>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</si>
  <si>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</si>
  <si>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</si>
  <si>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</si>
  <si>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</si>
  <si>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</si>
  <si>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</si>
  <si>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</si>
  <si>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</si>
  <si>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</si>
  <si>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</si>
  <si>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</si>
  <si>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</si>
  <si>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</si>
  <si>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</si>
  <si>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</si>
  <si>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</si>
  <si>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</si>
  <si>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</si>
  <si>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</si>
  <si>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</si>
  <si>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</si>
  <si>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</si>
  <si>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</si>
  <si>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</si>
  <si>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</si>
  <si>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</si>
  <si>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</si>
  <si>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</si>
  <si>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</si>
  <si>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</si>
  <si>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</si>
  <si>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</si>
  <si>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</si>
  <si>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</si>
  <si>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</si>
  <si>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</si>
  <si>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</si>
  <si>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</si>
  <si>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</si>
  <si>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</si>
  <si>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</si>
  <si>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</si>
  <si>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</si>
  <si>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</si>
  <si>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</si>
  <si>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</si>
  <si>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</si>
  <si>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</si>
  <si>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</si>
  <si>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</si>
  <si>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</si>
  <si>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</si>
  <si>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</si>
  <si>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</si>
  <si>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</si>
  <si>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</si>
  <si>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</si>
  <si>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</si>
  <si>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</si>
  <si>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</si>
  <si>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</si>
  <si>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</si>
  <si>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</si>
  <si>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</si>
  <si>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</si>
  <si>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</si>
  <si>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</si>
  <si>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</si>
  <si>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</si>
  <si>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</si>
  <si>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</si>
  <si>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</si>
  <si>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</si>
  <si>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</si>
  <si>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</si>
  <si>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</si>
  <si>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</si>
  <si>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</si>
  <si>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</si>
  <si>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</si>
  <si>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</si>
  <si>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</si>
  <si>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</si>
  <si>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</si>
  <si>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</si>
  <si>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</si>
  <si>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</si>
  <si>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</si>
  <si>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</si>
  <si>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</si>
  <si>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</si>
  <si>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</si>
  <si>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</si>
  <si>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</si>
  <si>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</si>
  <si>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</si>
  <si>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</si>
  <si>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</si>
  <si>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</si>
  <si>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</si>
  <si>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</si>
  <si>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</si>
  <si>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</si>
  <si>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</si>
  <si>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</si>
  <si>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</si>
  <si>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</si>
  <si>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</si>
  <si>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</si>
  <si>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</si>
  <si>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</si>
  <si>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</si>
  <si>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</si>
  <si>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</si>
  <si>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</si>
  <si>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</si>
  <si>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</si>
  <si>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</si>
  <si>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</si>
  <si>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</si>
  <si>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</si>
  <si>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</si>
  <si>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</si>
  <si>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</si>
  <si>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</si>
  <si>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</si>
  <si>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</si>
  <si>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</si>
  <si>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</si>
  <si>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</si>
  <si>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</si>
  <si>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</si>
  <si>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</si>
  <si>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</si>
  <si>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</si>
  <si>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</si>
  <si>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</si>
  <si>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</si>
  <si>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</si>
  <si>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</si>
  <si>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</si>
  <si>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</si>
  <si>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</si>
  <si>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</si>
  <si>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</si>
  <si>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</si>
  <si>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</si>
  <si>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</si>
  <si>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</si>
  <si>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</si>
  <si>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</si>
  <si>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</si>
  <si>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</si>
  <si>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</si>
  <si>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</si>
  <si>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</si>
  <si>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</si>
  <si>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</si>
  <si>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</si>
  <si>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</si>
  <si>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</si>
  <si>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</si>
  <si>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</si>
  <si>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</si>
  <si>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</si>
  <si>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</si>
  <si>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</si>
  <si>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</si>
  <si>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</si>
  <si>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</si>
  <si>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</si>
  <si>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</si>
  <si>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</si>
  <si>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</si>
  <si>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</si>
  <si>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</si>
  <si>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</si>
  <si>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</si>
  <si>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</si>
  <si>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</si>
  <si>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</si>
  <si>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</si>
  <si>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</si>
  <si>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</si>
  <si>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</si>
  <si>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</si>
  <si>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</si>
  <si>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</si>
  <si>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</si>
  <si>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</si>
  <si>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</si>
  <si>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</si>
  <si>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</si>
  <si>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</si>
  <si>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</si>
  <si>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</si>
  <si>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</si>
  <si>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</si>
  <si>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</si>
  <si>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</si>
  <si>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</si>
  <si>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</si>
  <si>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</si>
  <si>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</si>
  <si>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</si>
  <si>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</si>
  <si>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</si>
  <si>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</si>
  <si>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</si>
  <si>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</si>
  <si>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</si>
  <si>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</si>
  <si>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</si>
  <si>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</si>
  <si>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</si>
  <si>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</si>
  <si>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</si>
  <si>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</si>
  <si>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</si>
  <si>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</si>
  <si>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</si>
  <si>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</si>
  <si>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</si>
  <si>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</si>
  <si>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</si>
  <si>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</si>
  <si>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</si>
  <si>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</si>
  <si>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</si>
  <si>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</si>
  <si>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</si>
  <si>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</si>
  <si>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</si>
  <si>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</si>
  <si>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</si>
  <si>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</si>
  <si>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</si>
  <si>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</si>
  <si>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</si>
  <si>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</si>
  <si>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</si>
  <si>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</si>
  <si>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</si>
  <si>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</si>
  <si>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</si>
  <si>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</si>
  <si>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</si>
  <si>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</si>
  <si>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</si>
  <si>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</si>
  <si>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</si>
  <si>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</si>
  <si>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</si>
  <si>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</si>
  <si>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</si>
  <si>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</si>
  <si>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</si>
  <si>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</si>
  <si>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</si>
  <si>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</si>
  <si>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</si>
  <si>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</si>
  <si>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</si>
  <si>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</si>
  <si>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</si>
  <si>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</si>
  <si>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</si>
  <si>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</si>
  <si>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</si>
  <si>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</si>
  <si>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</si>
  <si>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</si>
  <si>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</si>
  <si>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</si>
  <si>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</si>
  <si>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</si>
  <si>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</si>
  <si>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</si>
  <si>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</si>
  <si>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</si>
  <si>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</si>
  <si>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</si>
  <si>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</si>
  <si>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</si>
  <si>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</si>
  <si>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</si>
  <si>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</si>
  <si>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</si>
  <si>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</si>
  <si>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</si>
  <si>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</si>
  <si>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</si>
  <si>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</si>
  <si>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</si>
  <si>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</si>
  <si>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</si>
  <si>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</si>
  <si>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</si>
  <si>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</si>
  <si>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</si>
  <si>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</si>
  <si>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</si>
  <si>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</si>
  <si>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</si>
  <si>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</si>
  <si>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</si>
  <si>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</si>
  <si>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</si>
  <si>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</si>
  <si>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</si>
  <si>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</si>
  <si>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</si>
  <si>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</si>
  <si>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</si>
  <si>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</si>
  <si>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</si>
  <si>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</si>
  <si>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</si>
  <si>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</si>
  <si>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</si>
  <si>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</si>
  <si>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</si>
  <si>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</si>
  <si>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</si>
  <si>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</si>
  <si>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</si>
  <si>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</si>
  <si>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</si>
  <si>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</si>
  <si>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</si>
  <si>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</si>
  <si>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</si>
  <si>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</si>
  <si>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</si>
  <si>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</si>
  <si>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</si>
  <si>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</si>
  <si>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</si>
  <si>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</si>
  <si>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</si>
  <si>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</si>
  <si>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</si>
  <si>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</si>
  <si>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</si>
  <si>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</si>
  <si>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</si>
  <si>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</si>
  <si>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</si>
  <si>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</si>
  <si>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</si>
  <si>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</si>
  <si>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</si>
  <si>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</si>
  <si>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</si>
  <si>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</si>
  <si>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</si>
  <si>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</si>
  <si>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</si>
  <si>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</si>
  <si>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</si>
  <si>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</si>
  <si>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</si>
  <si>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</si>
  <si>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</si>
  <si>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</si>
  <si>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</si>
  <si>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</si>
  <si>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</si>
  <si>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</si>
  <si>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</si>
  <si>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</si>
  <si>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</si>
  <si>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</si>
  <si>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</si>
  <si>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</si>
  <si>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</si>
  <si>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</si>
  <si>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</si>
  <si>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</si>
  <si>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</si>
  <si>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</si>
  <si>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</si>
  <si>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</si>
  <si>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</si>
  <si>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</si>
  <si>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</si>
  <si>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</si>
  <si>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</si>
  <si>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</si>
  <si>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</si>
  <si>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</si>
  <si>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</si>
  <si>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</si>
  <si>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</si>
  <si>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</si>
  <si>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</si>
  <si>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</si>
  <si>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</si>
  <si>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</si>
  <si>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</si>
  <si>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</si>
  <si>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</si>
  <si>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</si>
  <si>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</si>
  <si>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</si>
  <si>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</si>
  <si>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</si>
  <si>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</si>
  <si>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</si>
  <si>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</si>
  <si>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</si>
  <si>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</si>
  <si>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</si>
  <si>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</si>
  <si>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</si>
  <si>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</si>
  <si>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</si>
  <si>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</si>
  <si>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</si>
  <si>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</si>
  <si>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</si>
  <si>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</si>
  <si>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</si>
  <si>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</si>
  <si>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</si>
  <si>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</si>
  <si>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</si>
  <si>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</si>
  <si>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</si>
  <si>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</si>
  <si>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</si>
  <si>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</si>
  <si>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</si>
  <si>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</si>
  <si>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</si>
  <si>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</si>
  <si>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</si>
  <si>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</si>
  <si>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</si>
  <si>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</si>
  <si>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</si>
  <si>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</si>
  <si>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</si>
  <si>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</si>
  <si>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</si>
  <si>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</si>
  <si>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</si>
  <si>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</si>
  <si>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</si>
  <si>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</si>
  <si>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</si>
  <si>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</si>
  <si>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</si>
  <si>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</si>
  <si>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</si>
  <si>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</si>
  <si>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</si>
  <si>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</si>
  <si>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</si>
  <si>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</si>
  <si>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</si>
  <si>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</si>
  <si>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</si>
  <si>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</si>
  <si>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</si>
  <si>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</si>
  <si>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</si>
  <si>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</si>
  <si>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</si>
  <si>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</si>
  <si>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</si>
  <si>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</si>
  <si>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</si>
  <si>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</si>
  <si>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</si>
  <si>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</si>
  <si>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</si>
  <si>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</si>
  <si>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</si>
  <si>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</si>
  <si>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</si>
  <si>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</si>
  <si>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</si>
  <si>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</si>
  <si>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</si>
  <si>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</si>
  <si>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</si>
  <si>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</si>
  <si>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</si>
  <si>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</si>
  <si>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</si>
  <si>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</si>
  <si>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</si>
  <si>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</si>
  <si>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</si>
  <si>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</si>
  <si>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</si>
  <si>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</si>
  <si>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</si>
  <si>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</si>
  <si>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</si>
  <si>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</si>
  <si>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</si>
  <si>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</si>
  <si>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</si>
  <si>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</si>
  <si>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</si>
  <si>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</si>
  <si>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</si>
  <si>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</si>
  <si>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</si>
  <si>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</si>
  <si>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</si>
  <si>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</si>
  <si>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</si>
  <si>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</si>
  <si>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</si>
  <si>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</si>
  <si>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</si>
  <si>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</si>
  <si>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</si>
  <si>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</si>
  <si>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</si>
  <si>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</si>
  <si>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</si>
  <si>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</si>
  <si>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</si>
  <si>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</si>
  <si>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</si>
  <si>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</si>
  <si>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</si>
  <si>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</si>
  <si>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</si>
  <si>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</si>
  <si>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</si>
  <si>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</si>
  <si>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</si>
  <si>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</si>
  <si>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</si>
  <si>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</si>
  <si>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</si>
  <si>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</si>
  <si>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</si>
  <si>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</si>
  <si>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</si>
  <si>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</si>
  <si>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</si>
  <si>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</si>
  <si>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</si>
  <si>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</si>
  <si>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</si>
  <si>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</si>
  <si>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</si>
  <si>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</si>
  <si>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</si>
  <si>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</si>
  <si>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</si>
  <si>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</si>
  <si>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</si>
  <si>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</si>
  <si>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</si>
  <si>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</si>
  <si>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</si>
  <si>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</si>
  <si>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</si>
  <si>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</si>
  <si>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</si>
  <si>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</si>
  <si>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</si>
  <si>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</si>
  <si>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</si>
  <si>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</si>
  <si>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</si>
  <si>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</si>
  <si>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</si>
  <si>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</si>
  <si>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</si>
  <si>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</si>
  <si>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</si>
  <si>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</si>
  <si>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</si>
  <si>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</si>
  <si>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</si>
  <si>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</si>
  <si>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</si>
  <si>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</si>
  <si>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</si>
  <si>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</si>
  <si>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</si>
  <si>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</si>
  <si>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</si>
  <si>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</si>
  <si>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</si>
  <si>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</si>
  <si>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</si>
  <si>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</si>
  <si>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</si>
  <si>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</si>
  <si>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</si>
  <si>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</si>
  <si>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</si>
  <si>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</si>
  <si>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</si>
  <si>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</si>
  <si>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</si>
  <si>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</si>
  <si>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</si>
  <si>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</si>
  <si>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</si>
  <si>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</si>
  <si>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</si>
  <si>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</si>
  <si>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</si>
  <si>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</si>
  <si>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</si>
  <si>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</si>
  <si>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</si>
  <si>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</si>
  <si>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</si>
  <si>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</si>
  <si>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</si>
  <si>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</si>
  <si>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</si>
  <si>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</si>
  <si>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</si>
  <si>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</si>
  <si>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</si>
  <si>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</si>
  <si>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</si>
  <si>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</si>
  <si>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</si>
  <si>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</si>
  <si>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</si>
  <si>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</si>
  <si>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</si>
  <si>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</si>
  <si>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</si>
  <si>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</si>
  <si>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</si>
  <si>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</si>
  <si>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</si>
  <si>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</si>
  <si>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</si>
  <si>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</si>
  <si>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</si>
  <si>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</si>
  <si>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</si>
  <si>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</si>
  <si>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</si>
  <si>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</si>
  <si>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</si>
  <si>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</si>
  <si>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</si>
  <si>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</si>
  <si>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</si>
  <si>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</si>
  <si>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</si>
  <si>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</si>
  <si>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</si>
  <si>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</si>
  <si>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</si>
  <si>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</si>
  <si>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</si>
  <si>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</si>
  <si>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</si>
  <si>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</si>
  <si>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</si>
  <si>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</si>
  <si>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</si>
  <si>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</si>
  <si>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</si>
  <si>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</si>
  <si>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</si>
  <si>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</si>
  <si>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</si>
  <si>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</si>
  <si>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</si>
  <si>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</si>
  <si>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</si>
  <si>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</si>
  <si>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</si>
  <si>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</si>
  <si>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</si>
  <si>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</si>
  <si>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</si>
  <si>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</si>
  <si>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</si>
  <si>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</si>
  <si>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</si>
  <si>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</si>
  <si>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</si>
  <si>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</si>
  <si>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</si>
  <si>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</si>
  <si>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</si>
  <si>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</si>
  <si>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</si>
  <si>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</si>
  <si>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</si>
  <si>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</si>
  <si>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</si>
  <si>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</si>
  <si>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</si>
  <si>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</si>
  <si>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</si>
  <si>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</si>
  <si>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</si>
  <si>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</si>
  <si>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</si>
  <si>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</si>
  <si>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</si>
  <si>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</si>
  <si>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</si>
  <si>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</si>
  <si>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</si>
  <si>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</si>
  <si>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</si>
  <si>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</si>
  <si>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</si>
  <si>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</si>
  <si>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</si>
  <si>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</si>
  <si>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</si>
  <si>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</si>
  <si>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</si>
  <si>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</si>
  <si>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</si>
  <si>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</si>
  <si>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</si>
  <si>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</si>
  <si>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</si>
  <si>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</si>
  <si>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</si>
  <si>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</si>
  <si>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</si>
  <si>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</si>
  <si>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</si>
  <si>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</si>
  <si>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</si>
  <si>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</si>
  <si>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</si>
  <si>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</si>
  <si>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</si>
  <si>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</si>
  <si>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</si>
  <si>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</si>
  <si>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</si>
  <si>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</si>
  <si>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</si>
  <si>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</si>
  <si>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</si>
  <si>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</si>
  <si>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</si>
  <si>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</si>
  <si>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</si>
  <si>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</si>
  <si>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</si>
  <si>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</si>
  <si>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</si>
  <si>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</si>
  <si>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</si>
  <si>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</si>
  <si>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</si>
  <si>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</si>
  <si>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</si>
  <si>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</si>
  <si>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</si>
  <si>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</si>
  <si>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</si>
  <si>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</si>
  <si>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</si>
  <si>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</si>
  <si>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</si>
  <si>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</si>
  <si>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</si>
  <si>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</si>
  <si>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</si>
  <si>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</si>
  <si>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</si>
  <si>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</si>
  <si>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</si>
  <si>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</si>
  <si>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</si>
  <si>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</si>
  <si>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</si>
  <si>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</si>
  <si>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</si>
  <si>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</si>
  <si>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</si>
  <si>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</si>
  <si>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</si>
  <si>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</si>
  <si>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</si>
  <si>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</si>
  <si>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</si>
  <si>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</si>
  <si>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</si>
  <si>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</si>
  <si>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</si>
  <si>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</si>
  <si>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</si>
  <si>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</si>
  <si>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</si>
  <si>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</si>
  <si>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</si>
  <si>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</si>
  <si>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</si>
  <si>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</si>
  <si>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</si>
  <si>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</si>
  <si>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</si>
  <si>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</si>
  <si>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</si>
  <si>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</si>
  <si>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</si>
  <si>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</si>
  <si>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</si>
  <si>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</si>
  <si>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</si>
  <si>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</si>
  <si>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</si>
  <si>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</si>
  <si>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</si>
  <si>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</si>
  <si>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</si>
  <si>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</si>
  <si>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</si>
  <si>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</si>
  <si>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</si>
  <si>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</si>
  <si>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</si>
  <si>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</si>
  <si>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</si>
  <si>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</si>
  <si>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</si>
  <si>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</si>
  <si>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</si>
  <si>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</si>
  <si>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</si>
  <si>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</si>
  <si>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</si>
  <si>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</si>
  <si>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</si>
  <si>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</si>
  <si>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</si>
  <si>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</si>
  <si>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</si>
  <si>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</si>
  <si>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</si>
  <si>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</si>
  <si>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</si>
  <si>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</si>
  <si>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</si>
  <si>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</si>
  <si>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</si>
  <si>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</si>
  <si>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</si>
  <si>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</si>
  <si>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</si>
  <si>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</si>
  <si>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</si>
  <si>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</si>
  <si>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</si>
  <si>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</si>
  <si>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</si>
  <si>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</si>
  <si>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</si>
  <si>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</si>
  <si>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</si>
  <si>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</si>
  <si>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</si>
  <si>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</si>
  <si>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</si>
  <si>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</si>
  <si>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</si>
  <si>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</si>
  <si>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</si>
  <si>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</si>
  <si>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</si>
  <si>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</si>
  <si>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</si>
  <si>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</si>
  <si>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</si>
  <si>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</si>
  <si>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</si>
  <si>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</si>
  <si>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</si>
  <si>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</si>
  <si>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</si>
  <si>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</si>
  <si>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</si>
  <si>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</si>
  <si>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</si>
  <si>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</si>
  <si>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</si>
  <si>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</si>
  <si>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</si>
  <si>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</si>
  <si>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</si>
  <si>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</si>
  <si>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</si>
  <si>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</si>
  <si>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</si>
  <si>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</si>
  <si>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</si>
  <si>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</si>
  <si>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</si>
  <si>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</si>
  <si>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</si>
  <si>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</si>
  <si>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</si>
  <si>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</si>
  <si>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</si>
  <si>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</si>
  <si>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</si>
  <si>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</si>
  <si>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</si>
  <si>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</si>
  <si>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</si>
  <si>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</si>
  <si>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</si>
  <si>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</si>
  <si>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</si>
  <si>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</si>
  <si>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</si>
  <si>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</si>
  <si>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</si>
  <si>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</si>
  <si>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</si>
  <si>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</si>
  <si>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</si>
  <si>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</si>
  <si>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</si>
  <si>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</si>
  <si>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</si>
  <si>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</si>
  <si>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</si>
  <si>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</si>
  <si>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</si>
  <si>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</si>
  <si>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</si>
  <si>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</si>
  <si>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</si>
  <si>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</si>
  <si>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</si>
  <si>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</si>
  <si>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</si>
  <si>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</si>
  <si>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</si>
  <si>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</si>
  <si>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</si>
  <si>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</si>
  <si>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</si>
  <si>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</si>
  <si>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</si>
  <si>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</si>
  <si>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</si>
  <si>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</si>
  <si>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</si>
  <si>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</si>
  <si>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</si>
  <si>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</si>
  <si>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</si>
  <si>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</si>
  <si>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</si>
  <si>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</si>
  <si>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</si>
  <si>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</si>
  <si>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</si>
  <si>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</si>
  <si>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</si>
  <si>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</si>
  <si>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</si>
  <si>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</si>
  <si>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</si>
  <si>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</si>
  <si>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</si>
  <si>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</si>
  <si>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</si>
  <si>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</si>
  <si>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</si>
  <si>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</si>
  <si>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</si>
  <si>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</si>
  <si>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</si>
  <si>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</si>
  <si>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</si>
  <si>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</si>
  <si>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</si>
  <si>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</si>
  <si>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</si>
  <si>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</si>
  <si>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</si>
  <si>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</si>
  <si>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</si>
  <si>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</si>
  <si>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</si>
  <si>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</si>
  <si>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</si>
  <si>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</si>
  <si>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</si>
  <si>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</si>
  <si>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</si>
  <si>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</si>
  <si>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</si>
  <si>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</si>
  <si>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</si>
  <si>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</si>
  <si>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</si>
  <si>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</si>
  <si>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</si>
  <si>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</si>
  <si>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</si>
  <si>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</si>
  <si>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</si>
  <si>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</si>
  <si>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</si>
  <si>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</si>
  <si>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</si>
  <si>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</si>
  <si>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</si>
  <si>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</si>
  <si>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</si>
  <si>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</si>
  <si>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</si>
  <si>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</si>
  <si>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</si>
  <si>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</si>
  <si>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</si>
  <si>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</si>
  <si>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</si>
  <si>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</si>
  <si>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</si>
  <si>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</si>
  <si>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</si>
  <si>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</si>
  <si>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</si>
  <si>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</si>
  <si>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</si>
  <si>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</si>
  <si>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</si>
  <si>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</si>
  <si>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</si>
  <si>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</si>
  <si>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</si>
  <si>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</si>
  <si>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</si>
  <si>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</si>
  <si>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</si>
  <si>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</si>
  <si>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</si>
  <si>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</si>
  <si>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</si>
  <si>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</si>
  <si>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</si>
  <si>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</si>
  <si>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</si>
  <si>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</si>
  <si>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</si>
  <si>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</si>
  <si>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</si>
  <si>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</si>
  <si>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</si>
  <si>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</si>
  <si>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</si>
  <si>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</si>
  <si>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</si>
  <si>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</si>
  <si>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</si>
  <si>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</si>
  <si>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</si>
  <si>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</si>
  <si>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</si>
  <si>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</si>
  <si>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</si>
  <si>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</si>
  <si>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</si>
  <si>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</si>
  <si>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</si>
  <si>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</si>
  <si>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</si>
  <si>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</si>
  <si>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</si>
  <si>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</si>
  <si>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</si>
  <si>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</si>
  <si>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</si>
  <si>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</si>
  <si>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</si>
  <si>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</si>
  <si>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</si>
  <si>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</si>
  <si>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</si>
  <si>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</si>
  <si>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</si>
  <si>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</si>
  <si>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</si>
  <si>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</si>
  <si>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</si>
  <si>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</si>
  <si>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</si>
  <si>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</si>
  <si>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</si>
  <si>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</si>
  <si>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</si>
  <si>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</si>
  <si>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</si>
  <si>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</si>
  <si>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</si>
  <si>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</si>
  <si>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</si>
  <si>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</si>
  <si>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</si>
  <si>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</si>
  <si>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</si>
  <si>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</si>
  <si>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</si>
  <si>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</si>
  <si>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</si>
  <si>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</si>
  <si>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</si>
  <si>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</si>
  <si>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</si>
  <si>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</si>
  <si>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</si>
  <si>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</si>
  <si>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</si>
  <si>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</si>
  <si>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</si>
  <si>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</si>
  <si>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</si>
  <si>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</si>
  <si>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</si>
  <si>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</si>
  <si>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</si>
  <si>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</si>
  <si>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</si>
  <si>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</si>
  <si>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</si>
  <si>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</si>
  <si>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</si>
  <si>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</si>
  <si>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</si>
  <si>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</si>
  <si>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</si>
  <si>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</si>
  <si>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</si>
  <si>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</si>
  <si>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</si>
  <si>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</si>
  <si>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</si>
  <si>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</si>
  <si>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</si>
  <si>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</si>
  <si>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</si>
  <si>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</si>
  <si>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</si>
  <si>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</si>
  <si>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</si>
  <si>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</si>
  <si>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</si>
  <si>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</si>
  <si>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</si>
  <si>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</si>
  <si>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</si>
  <si>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</si>
  <si>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</si>
  <si>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</si>
  <si>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</si>
  <si>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</si>
  <si>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</si>
  <si>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</si>
  <si>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</si>
  <si>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</si>
  <si>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</si>
  <si>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</si>
  <si>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</si>
  <si>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</si>
  <si>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</si>
  <si>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</si>
  <si>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</si>
  <si>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</si>
  <si>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</si>
  <si>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</si>
  <si>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</si>
  <si>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</si>
  <si>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</si>
  <si>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</si>
  <si>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</si>
  <si>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</si>
  <si>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</si>
  <si>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</si>
  <si>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</si>
  <si>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</si>
  <si>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</si>
  <si>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</si>
  <si>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</si>
  <si>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</si>
  <si>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</si>
  <si>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</si>
  <si>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</si>
  <si>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</si>
  <si>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</si>
  <si>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</si>
  <si>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</si>
  <si>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</si>
  <si>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</si>
  <si>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</si>
  <si>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</si>
  <si>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</si>
  <si>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</si>
  <si>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</si>
  <si>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</si>
  <si>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</si>
  <si>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</si>
  <si>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</si>
  <si>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</si>
  <si>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</si>
  <si>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</si>
  <si>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</si>
  <si>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</si>
  <si>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</si>
  <si>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</si>
  <si>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</si>
  <si>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</si>
  <si>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</si>
  <si>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</si>
  <si>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</si>
  <si>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</si>
  <si>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</si>
  <si>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</si>
  <si>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</si>
  <si>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</si>
  <si>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</si>
  <si>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</si>
  <si>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</si>
  <si>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</si>
  <si>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</si>
  <si>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</si>
  <si>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</si>
  <si>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</si>
  <si>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</si>
  <si>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</si>
  <si>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</si>
  <si>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</si>
  <si>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</si>
  <si>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</si>
  <si>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</si>
  <si>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</si>
  <si>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</si>
  <si>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</si>
  <si>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</si>
  <si>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</si>
  <si>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</si>
  <si>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</si>
  <si>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</si>
  <si>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</si>
  <si>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</si>
  <si>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</si>
  <si>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</si>
  <si>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</si>
  <si>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</si>
  <si>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</si>
  <si>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</si>
  <si>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</si>
  <si>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</si>
  <si>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</si>
  <si>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</si>
  <si>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</si>
  <si>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</si>
  <si>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</si>
  <si>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</si>
  <si>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</si>
  <si>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</si>
  <si>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</si>
  <si>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</si>
  <si>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</si>
  <si>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</si>
  <si>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</si>
  <si>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</si>
  <si>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</si>
  <si>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</si>
  <si>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</si>
  <si>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</si>
  <si>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</si>
  <si>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</si>
  <si>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</si>
  <si>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</si>
  <si>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</si>
  <si>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</si>
  <si>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</si>
  <si>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</si>
  <si>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</si>
  <si>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</si>
  <si>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</si>
  <si>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</si>
  <si>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</si>
  <si>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</si>
  <si>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</si>
  <si>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</si>
  <si>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</si>
  <si>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</si>
  <si>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</si>
  <si>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</si>
  <si>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</si>
  <si>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</si>
  <si>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</si>
  <si>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</si>
  <si>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</si>
  <si>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</si>
  <si>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</si>
  <si>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</si>
  <si>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</si>
  <si>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</si>
  <si>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</si>
  <si>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</si>
  <si>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</si>
  <si>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</si>
  <si>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</si>
  <si>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</si>
  <si>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</si>
  <si>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</si>
  <si>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</si>
  <si>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</si>
  <si>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</si>
  <si>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</si>
  <si>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</si>
  <si>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</si>
  <si>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</si>
  <si>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</si>
  <si>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</si>
  <si>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</si>
  <si>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</si>
  <si>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</si>
  <si>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</si>
  <si>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</si>
  <si>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</si>
  <si>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</si>
  <si>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</si>
  <si>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</si>
  <si>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</si>
  <si>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</si>
  <si>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</si>
  <si>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</si>
  <si>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</si>
  <si>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</si>
  <si>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</si>
  <si>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</si>
  <si>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</si>
  <si>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</si>
  <si>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</si>
  <si>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</si>
  <si>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</si>
  <si>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</si>
  <si>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</si>
  <si>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</si>
  <si>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</si>
  <si>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</si>
  <si>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</si>
  <si>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</si>
  <si>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</si>
  <si>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</si>
  <si>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</si>
  <si>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</si>
  <si>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</si>
  <si>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</si>
  <si>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</si>
  <si>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</si>
  <si>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</si>
  <si>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</si>
  <si>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</si>
  <si>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</si>
  <si>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</si>
  <si>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</si>
  <si>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</si>
  <si>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</si>
  <si>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</si>
  <si>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</si>
  <si>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</si>
  <si>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</si>
  <si>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</si>
  <si>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</si>
  <si>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</si>
  <si>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</si>
  <si>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</si>
  <si>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</si>
  <si>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</si>
  <si>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</si>
  <si>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</si>
  <si>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</si>
  <si>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</si>
  <si>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</si>
  <si>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</si>
  <si>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</si>
  <si>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</si>
  <si>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</si>
  <si>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</si>
  <si>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</si>
  <si>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</si>
  <si>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房地产市场价值</t>
  </si>
  <si>
    <t>北京市</t>
  </si>
  <si>
    <t>企业</t>
  </si>
  <si>
    <t>吴薇</t>
  </si>
  <si>
    <t>郑燚</t>
  </si>
  <si>
    <t>是</t>
  </si>
  <si>
    <r>
      <rPr>
        <sz val="10"/>
        <color theme="9" tint="-0.249977111117893"/>
        <rFont val="宋体"/>
        <family val="3"/>
        <charset val="134"/>
      </rPr>
      <t>石景山玉泉路</t>
    </r>
    <r>
      <rPr>
        <sz val="10"/>
        <color theme="9" tint="-0.249977111117893"/>
        <rFont val="Arial"/>
        <family val="2"/>
      </rPr>
      <t>59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401-1501</t>
    </r>
    <phoneticPr fontId="6" type="noConversion"/>
  </si>
  <si>
    <t>地上</t>
  </si>
  <si>
    <t>北京市燕保投资有限公司房屋清单</t>
    <phoneticPr fontId="3" type="noConversion"/>
  </si>
  <si>
    <t>序号</t>
  </si>
  <si>
    <t>房屋名称</t>
  </si>
  <si>
    <t>房屋坐落</t>
  </si>
  <si>
    <t>电梯层</t>
  </si>
  <si>
    <t>所在楼栋建筑层数</t>
  </si>
  <si>
    <t>地上层数</t>
  </si>
  <si>
    <t>地下层数</t>
  </si>
  <si>
    <t>房屋规划性质或用途</t>
  </si>
  <si>
    <t>建筑面积</t>
  </si>
  <si>
    <t>套内面积</t>
  </si>
  <si>
    <t>分摊面积</t>
  </si>
  <si>
    <t>层高</t>
  </si>
  <si>
    <t>燕保大厦4层401</t>
  </si>
  <si>
    <t>石景山玉泉路59号院2号楼4层401</t>
    <phoneticPr fontId="3" type="noConversion"/>
  </si>
  <si>
    <t>5层</t>
  </si>
  <si>
    <t>3.85米</t>
  </si>
  <si>
    <t>燕保大厦5层501</t>
  </si>
  <si>
    <t>石景山玉泉路59号院2号楼5层501</t>
  </si>
  <si>
    <t>6层</t>
  </si>
  <si>
    <t>燕保大厦6层601</t>
  </si>
  <si>
    <t>石景山玉泉路59号院2号楼6层601</t>
  </si>
  <si>
    <t>7层</t>
  </si>
  <si>
    <t>燕保大厦7层701</t>
  </si>
  <si>
    <t>石景山玉泉路59号院2号楼7层701</t>
  </si>
  <si>
    <t>8层</t>
  </si>
  <si>
    <t>燕保大厦8层801</t>
  </si>
  <si>
    <t>石景山玉泉路59号院2号楼8层801</t>
  </si>
  <si>
    <t>9层</t>
  </si>
  <si>
    <t>燕保大厦9层901</t>
  </si>
  <si>
    <t>石景山玉泉路59号院2号楼9层901</t>
  </si>
  <si>
    <t>10层</t>
  </si>
  <si>
    <t>燕保大厦10层1001</t>
  </si>
  <si>
    <t>石景山玉泉路59号院2号楼10层1001</t>
  </si>
  <si>
    <t>11层</t>
  </si>
  <si>
    <t>燕保大厦11层1101</t>
  </si>
  <si>
    <t>石景山玉泉路59号院2号楼11层1101</t>
  </si>
  <si>
    <t>12层</t>
  </si>
  <si>
    <t>燕保大厦12层1201</t>
  </si>
  <si>
    <t>石景山玉泉路59号院2号楼12层1201</t>
  </si>
  <si>
    <t>15层</t>
  </si>
  <si>
    <t>燕保大厦13层1301</t>
  </si>
  <si>
    <t>石景山玉泉路59号院2号楼13层1301</t>
  </si>
  <si>
    <t>16层</t>
  </si>
  <si>
    <t>燕保大厦14层1401</t>
  </si>
  <si>
    <t>石景山玉泉路59号院2号楼14层1401</t>
  </si>
  <si>
    <t>18层</t>
  </si>
  <si>
    <t>燕保大厦15层1501</t>
  </si>
  <si>
    <t>石景山玉泉路59号院2号楼15层1501</t>
  </si>
  <si>
    <t>19层</t>
  </si>
  <si>
    <t>燕保大厦</t>
  </si>
  <si>
    <t>燕保大厦</t>
    <phoneticPr fontId="7" type="noConversion"/>
  </si>
  <si>
    <t>成新度</t>
  </si>
  <si>
    <t>租金</t>
  </si>
  <si>
    <t>项目模式</t>
  </si>
  <si>
    <t>标准层</t>
    <phoneticPr fontId="134" type="noConversion"/>
  </si>
  <si>
    <t>正常</t>
  </si>
  <si>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</si>
  <si>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</si>
  <si>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</si>
  <si>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</si>
  <si>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</si>
  <si>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</si>
  <si>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</si>
  <si>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</si>
  <si>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</si>
  <si>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</si>
  <si>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30-35</t>
    </r>
    <r>
      <rPr>
        <sz val="11"/>
        <rFont val="宋体"/>
        <family val="3"/>
        <charset val="134"/>
      </rPr>
      <t>（含）</t>
    </r>
    <phoneticPr fontId="31" type="noConversion"/>
  </si>
  <si>
    <r>
      <t>25-30</t>
    </r>
    <r>
      <rPr>
        <sz val="11"/>
        <rFont val="宋体"/>
        <family val="3"/>
        <charset val="134"/>
      </rPr>
      <t>（含）</t>
    </r>
    <phoneticPr fontId="31" type="noConversion"/>
  </si>
  <si>
    <r>
      <t>20-25</t>
    </r>
    <r>
      <rPr>
        <sz val="11"/>
        <rFont val="宋体"/>
        <family val="3"/>
        <charset val="134"/>
      </rPr>
      <t>（含）</t>
    </r>
    <phoneticPr fontId="31" type="noConversion"/>
  </si>
  <si>
    <r>
      <t>15-20</t>
    </r>
    <r>
      <rPr>
        <sz val="11"/>
        <rFont val="宋体"/>
        <family val="3"/>
        <charset val="134"/>
      </rPr>
      <t>（含）</t>
    </r>
    <phoneticPr fontId="31" type="noConversion"/>
  </si>
  <si>
    <r>
      <t>10-15</t>
    </r>
    <r>
      <rPr>
        <sz val="11"/>
        <rFont val="宋体"/>
        <family val="3"/>
        <charset val="134"/>
      </rPr>
      <t>（含）</t>
    </r>
    <phoneticPr fontId="31" type="noConversion"/>
  </si>
  <si>
    <r>
      <t>35-40</t>
    </r>
    <r>
      <rPr>
        <sz val="11"/>
        <color indexed="8"/>
        <rFont val="宋体"/>
        <family val="3"/>
        <charset val="134"/>
      </rPr>
      <t>（含）</t>
    </r>
    <phoneticPr fontId="31" type="noConversion"/>
  </si>
  <si>
    <t>较好</t>
  </si>
  <si>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</si>
  <si>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</si>
  <si>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</si>
  <si>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</si>
  <si>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</si>
  <si>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</si>
  <si>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</si>
  <si>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</si>
  <si>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超高层高</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</si>
  <si>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</si>
  <si>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</si>
  <si>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</si>
  <si>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</si>
  <si>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</si>
  <si>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</si>
  <si>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</si>
  <si>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燕保大厦</t>
    <phoneticPr fontId="3" type="noConversion"/>
  </si>
  <si>
    <t>挂牌</t>
  </si>
  <si>
    <t>挂牌</t>
    <phoneticPr fontId="31" type="noConversion"/>
  </si>
  <si>
    <t>七通</t>
  </si>
  <si>
    <t>简装</t>
  </si>
  <si>
    <r>
      <t>30-35</t>
    </r>
    <r>
      <rPr>
        <sz val="11"/>
        <color indexed="8"/>
        <rFont val="宋体"/>
        <family val="3"/>
        <charset val="134"/>
      </rPr>
      <t>（含）</t>
    </r>
    <phoneticPr fontId="31" type="noConversion"/>
  </si>
  <si>
    <t>产业园</t>
    <phoneticPr fontId="31" type="noConversion"/>
  </si>
  <si>
    <t>高区</t>
  </si>
  <si>
    <t>工业（研发办公）</t>
    <phoneticPr fontId="31" type="noConversion"/>
  </si>
  <si>
    <r>
      <t>25-30</t>
    </r>
    <r>
      <rPr>
        <sz val="11"/>
        <color indexed="8"/>
        <rFont val="宋体"/>
        <family val="3"/>
        <charset val="134"/>
      </rPr>
      <t>（含）</t>
    </r>
    <phoneticPr fontId="31" type="noConversion"/>
  </si>
  <si>
    <t>低区</t>
  </si>
  <si>
    <t>小业主</t>
    <phoneticPr fontId="31" type="noConversion"/>
  </si>
  <si>
    <t>否</t>
    <phoneticPr fontId="31" type="noConversion"/>
  </si>
  <si>
    <t>是</t>
    <phoneticPr fontId="31" type="noConversion"/>
  </si>
  <si>
    <t>否</t>
    <phoneticPr fontId="31" type="noConversion"/>
  </si>
  <si>
    <r>
      <rPr>
        <sz val="11"/>
        <rFont val="宋体"/>
        <family val="3"/>
        <charset val="134"/>
      </rPr>
      <t>报价</t>
    </r>
    <r>
      <rPr>
        <sz val="11"/>
        <rFont val="Arial"/>
        <family val="2"/>
      </rPr>
      <t>4.5</t>
    </r>
    <r>
      <rPr>
        <sz val="11"/>
        <rFont val="宋体"/>
        <family val="3"/>
        <charset val="134"/>
      </rPr>
      <t>，物业</t>
    </r>
    <r>
      <rPr>
        <sz val="11"/>
        <rFont val="Arial"/>
        <family val="2"/>
      </rPr>
      <t>0.9</t>
    </r>
    <phoneticPr fontId="31" type="noConversion"/>
  </si>
  <si>
    <r>
      <t>实际成交3</t>
    </r>
    <r>
      <rPr>
        <sz val="11"/>
        <color theme="1"/>
        <rFont val="宋体"/>
        <family val="3"/>
        <charset val="134"/>
        <scheme val="minor"/>
      </rPr>
      <t>.8-4.5都有，全含</t>
    </r>
    <phoneticPr fontId="134" type="noConversion"/>
  </si>
  <si>
    <t>乙级办公楼，小业主</t>
    <phoneticPr fontId="134" type="noConversion"/>
  </si>
  <si>
    <r>
      <t>物业费2</t>
    </r>
    <r>
      <rPr>
        <sz val="11"/>
        <color theme="1"/>
        <rFont val="宋体"/>
        <family val="3"/>
        <charset val="134"/>
        <scheme val="minor"/>
      </rPr>
      <t>0/月/㎡</t>
    </r>
    <phoneticPr fontId="134" type="noConversion"/>
  </si>
  <si>
    <t>物业费27/月/㎡</t>
    <phoneticPr fontId="134" type="noConversion"/>
  </si>
  <si>
    <r>
      <rPr>
        <sz val="11"/>
        <rFont val="宋体"/>
        <family val="3"/>
        <charset val="134"/>
      </rPr>
      <t>物业费</t>
    </r>
    <r>
      <rPr>
        <sz val="11"/>
        <rFont val="Arial"/>
        <family val="2"/>
      </rPr>
      <t>0.7</t>
    </r>
    <r>
      <rPr>
        <sz val="11"/>
        <rFont val="宋体"/>
        <family val="3"/>
        <charset val="134"/>
      </rPr>
      <t>，报价</t>
    </r>
    <r>
      <rPr>
        <sz val="11"/>
        <rFont val="Arial"/>
        <family val="2"/>
      </rPr>
      <t>4.5</t>
    </r>
    <r>
      <rPr>
        <sz val="11"/>
        <rFont val="宋体"/>
        <family val="3"/>
        <charset val="134"/>
      </rPr>
      <t>，成交</t>
    </r>
    <r>
      <rPr>
        <sz val="11"/>
        <rFont val="Arial"/>
        <family val="2"/>
      </rPr>
      <t>3.6-4.2</t>
    </r>
    <phoneticPr fontId="31" type="noConversion"/>
  </si>
  <si>
    <t>报价4.5-5块，小业主没有税，实际能成交便宜的4.2，贵的4.8</t>
    <phoneticPr fontId="134" type="noConversion"/>
  </si>
  <si>
    <r>
      <rPr>
        <sz val="11"/>
        <rFont val="宋体"/>
        <family val="3"/>
        <charset val="134"/>
      </rPr>
      <t>物业费</t>
    </r>
    <r>
      <rPr>
        <sz val="11"/>
        <rFont val="Arial"/>
        <family val="2"/>
      </rPr>
      <t>0.5</t>
    </r>
    <r>
      <rPr>
        <sz val="11"/>
        <rFont val="宋体"/>
        <family val="3"/>
        <charset val="134"/>
      </rPr>
      <t>，报</t>
    </r>
    <r>
      <rPr>
        <sz val="11"/>
        <rFont val="Arial"/>
        <family val="2"/>
      </rPr>
      <t>5</t>
    </r>
    <r>
      <rPr>
        <sz val="11"/>
        <rFont val="宋体"/>
        <family val="3"/>
        <charset val="134"/>
      </rPr>
      <t>块，没什么空间谈</t>
    </r>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</si>
  <si>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</si>
  <si>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</si>
  <si>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</si>
  <si>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</si>
  <si>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</si>
  <si>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</si>
  <si>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8层</t>
    <phoneticPr fontId="24" type="noConversion"/>
  </si>
  <si>
    <r>
      <t>4</t>
    </r>
    <r>
      <rPr>
        <sz val="10"/>
        <color indexed="8"/>
        <rFont val="宋体"/>
        <family val="3"/>
        <charset val="134"/>
      </rPr>
      <t>层</t>
    </r>
    <phoneticPr fontId="24" type="noConversion"/>
  </si>
  <si>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</si>
  <si>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</si>
  <si>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</si>
  <si>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r>
      <t>8层</t>
    </r>
    <r>
      <rPr>
        <sz val="10"/>
        <color indexed="8"/>
        <rFont val="宋体"/>
        <family val="3"/>
        <charset val="134"/>
      </rPr>
      <t/>
    </r>
  </si>
  <si>
    <r>
      <t>9层</t>
    </r>
    <r>
      <rPr>
        <sz val="10"/>
        <color indexed="8"/>
        <rFont val="宋体"/>
        <family val="3"/>
        <charset val="134"/>
      </rPr>
      <t/>
    </r>
  </si>
  <si>
    <r>
      <t>10层</t>
    </r>
    <r>
      <rPr>
        <sz val="10"/>
        <color indexed="8"/>
        <rFont val="宋体"/>
        <family val="3"/>
        <charset val="134"/>
      </rPr>
      <t/>
    </r>
  </si>
  <si>
    <r>
      <t>11层</t>
    </r>
    <r>
      <rPr>
        <sz val="10"/>
        <color indexed="8"/>
        <rFont val="宋体"/>
        <family val="3"/>
        <charset val="134"/>
      </rPr>
      <t/>
    </r>
  </si>
  <si>
    <r>
      <t>12层</t>
    </r>
    <r>
      <rPr>
        <sz val="10"/>
        <color indexed="8"/>
        <rFont val="宋体"/>
        <family val="3"/>
        <charset val="134"/>
      </rPr>
      <t/>
    </r>
  </si>
  <si>
    <r>
      <t>13层</t>
    </r>
    <r>
      <rPr>
        <sz val="10"/>
        <color indexed="8"/>
        <rFont val="宋体"/>
        <family val="3"/>
        <charset val="134"/>
      </rPr>
      <t/>
    </r>
  </si>
  <si>
    <r>
      <t>14层</t>
    </r>
    <r>
      <rPr>
        <sz val="10"/>
        <color indexed="8"/>
        <rFont val="宋体"/>
        <family val="3"/>
        <charset val="134"/>
      </rPr>
      <t/>
    </r>
  </si>
  <si>
    <r>
      <t>15层</t>
    </r>
    <r>
      <rPr>
        <sz val="10"/>
        <color indexed="8"/>
        <rFont val="宋体"/>
        <family val="3"/>
        <charset val="134"/>
      </rPr>
      <t/>
    </r>
  </si>
  <si>
    <t>瑞达大厦</t>
    <phoneticPr fontId="3" type="noConversion"/>
  </si>
  <si>
    <t>长银大厦</t>
    <phoneticPr fontId="3" type="noConversion"/>
  </si>
  <si>
    <t>玉泉大厦</t>
    <phoneticPr fontId="3"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</si>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</sst>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48"/>
      <name val="方正小标宋简体"/>
      <charset val="134"/>
    </font>
    <font>
      <b/>
      <sz val="24"/>
      <name val="仿宋_GB2312"/>
      <family val="3"/>
      <charset val="134"/>
    </font>
    <font>
      <sz val="24"/>
      <name val="宋体"/>
      <family val="3"/>
      <charset val="134"/>
    </font>
    <font>
      <sz val="22"/>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270" fillId="22" borderId="1" xfId="19" applyNumberFormat="1" applyFont="1" applyFill="1" applyBorder="1" applyAlignment="1">
      <alignment horizontal="center" vertical="center" wrapText="1"/>
    </xf>
    <xf numFmtId="0" fontId="272" fillId="0" borderId="0" xfId="19" applyFont="1">
      <alignment vertical="center"/>
    </xf>
    <xf numFmtId="196" fontId="36" fillId="0" borderId="0" xfId="19" applyNumberFormat="1">
      <alignment vertical="center"/>
    </xf>
    <xf numFmtId="0" fontId="271" fillId="5" borderId="1" xfId="19" applyNumberFormat="1" applyFont="1" applyFill="1" applyBorder="1" applyAlignment="1">
      <alignment horizontal="center" vertical="center" wrapText="1"/>
    </xf>
    <xf numFmtId="0" fontId="271" fillId="5" borderId="1" xfId="19" applyNumberFormat="1" applyFont="1" applyFill="1" applyBorder="1" applyAlignment="1">
      <alignment horizontal="center" vertical="center"/>
    </xf>
    <xf numFmtId="196" fontId="271" fillId="5"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wrapText="1"/>
    </xf>
    <xf numFmtId="196" fontId="271" fillId="9"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wrapText="1"/>
    </xf>
    <xf numFmtId="196" fontId="271" fillId="23"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wrapText="1"/>
    </xf>
    <xf numFmtId="196" fontId="271" fillId="8" borderId="1" xfId="19" applyNumberFormat="1" applyFont="1" applyFill="1" applyBorder="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47" fillId="16" borderId="1" xfId="0" applyFont="1" applyFill="1" applyBorder="1" applyProtection="1">
      <alignment vertical="center"/>
      <protection locked="0"/>
    </xf>
    <xf numFmtId="0" fontId="47" fillId="16"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0" xfId="19" applyFont="1" applyBorder="1" applyAlignment="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123825</xdr:rowOff>
    </xdr:from>
    <xdr:to>
      <xdr:col>18</xdr:col>
      <xdr:colOff>46129</xdr:colOff>
      <xdr:row>31</xdr:row>
      <xdr:rowOff>161278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95275"/>
          <a:ext cx="11971429" cy="5180953"/>
        </a:xfrm>
        <a:prstGeom prst="rect">
          <a:avLst/>
        </a:prstGeom>
      </xdr:spPr>
    </xdr:pic>
    <xdr:clientData/>
  </xdr:twoCellAnchor>
  <xdr:twoCellAnchor editAs="oneCell">
    <xdr:from>
      <xdr:col>0</xdr:col>
      <xdr:colOff>466725</xdr:colOff>
      <xdr:row>37</xdr:row>
      <xdr:rowOff>123825</xdr:rowOff>
    </xdr:from>
    <xdr:to>
      <xdr:col>17</xdr:col>
      <xdr:colOff>427165</xdr:colOff>
      <xdr:row>67</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6467475"/>
          <a:ext cx="11685715" cy="5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北京市石景山玉泉路59号院2号楼4层401-1501房地产市场价值预评估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受贵公司委托，我公司对北京市石景山玉泉路59号院2号楼4层401-1501房地产市场价值进行了预评估。</v>
      </c>
    </row>
    <row r="7" spans="1:2" s="1201" customFormat="1">
      <c r="A7" s="1199" t="s">
        <v>566</v>
      </c>
      <c r="B7" s="1200" t="str">
        <f>'预评函-1'!A7</f>
        <v>估价对象为北京市石景山玉泉路59号院2号楼4层401-1501房地产，为所有。根据《国有土地使用证》[]，估价对象（分摊）出让国有建设用地使用权面积为0平方米，建筑面积为15080.55平方米。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石景山玉泉路59号院2号楼4层401-1501房地产,属开发建设的，该项目尚在开发建设中。根据《国有土地使用证》[]，估价对象（分摊）出让国有建设用地使用权面积为0平方米，规划建筑面积为15080.55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2023年10月13日</v>
      </c>
    </row>
    <row r="13" spans="1:2" s="1201" customFormat="1">
      <c r="A13" s="1199" t="s">
        <v>529</v>
      </c>
      <c r="B13" s="1200"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北京市石景山玉泉路59号院2号楼4层401-1501房地产</v>
      </c>
    </row>
    <row r="42" spans="1:2" s="1201" customFormat="1">
      <c r="A42" s="1199" t="s">
        <v>590</v>
      </c>
      <c r="B42" s="1200" t="str">
        <f>'预评函-3'!B2</f>
        <v>建筑面积</v>
      </c>
    </row>
    <row r="43" spans="1:2" s="1201" customFormat="1">
      <c r="A43" s="1199" t="s">
        <v>591</v>
      </c>
      <c r="B43" s="1200">
        <f>'预评函-3'!B4</f>
        <v>15080.55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2" t="s">
        <v>385</v>
      </c>
      <c r="C54" s="1549" t="s">
        <v>583</v>
      </c>
    </row>
    <row r="55" spans="1:4">
      <c r="A55" s="3518"/>
      <c r="B55" s="1552" t="s">
        <v>386</v>
      </c>
      <c r="C55" s="1549" t="s">
        <v>584</v>
      </c>
    </row>
    <row r="56" spans="1:4">
      <c r="A56" s="3518"/>
      <c r="B56" s="1552" t="s">
        <v>387</v>
      </c>
      <c r="C56" s="1549" t="s">
        <v>588</v>
      </c>
    </row>
    <row r="57" spans="1:4">
      <c r="A57" s="351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9" t="s">
        <v>2583</v>
      </c>
      <c r="J2" s="3519"/>
      <c r="K2" s="3519"/>
      <c r="L2" s="3519"/>
      <c r="M2" s="3519"/>
      <c r="N2" s="3519"/>
      <c r="O2" s="3519"/>
      <c r="P2" s="3519"/>
      <c r="Q2" s="3519"/>
      <c r="R2" s="3519"/>
    </row>
    <row r="3" spans="1:18">
      <c r="A3" s="3018" t="s">
        <v>2504</v>
      </c>
      <c r="B3" s="3019">
        <f>项目基本情况!D3</f>
        <v>45212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3.18</v>
      </c>
      <c r="D5" s="3023">
        <f>IF(ISERROR(ROUND(POWER(1+E5,A5-C5)*(POWER(1+E5,C5)-1)/(POWER(1+E5,A5)-1),3)),0,ROUND(POWER(1+E5,A5-C5)*(POWER(1+E5,C5)-1)/(POWER(1+E5,A5)-1),4))</f>
        <v>0.14810000000000001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13.19</v>
      </c>
      <c r="D6" s="3023">
        <f>IF(ISERROR(ROUND(POWER(1+E6,A6-C6)*(POWER(1+E6,C6)-1)/(POWER(1+E6,A6)-1),3)),0,ROUND(POWER(1+E6,A6-C6)*(POWER(1+E6,C6)-1)/(POWER(1+E6,A6)-1),4))</f>
        <v>0.47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33.200000000000003</v>
      </c>
      <c r="D7" s="3023">
        <f>IF(ISERROR(ROUND(POWER(1+E7,A7-C7)*(POWER(1+E7,C7)-1)/(POWER(1+E7,A7)-1),3)),0,ROUND(POWER(1+E7,A7-C7)*(POWER(1+E7,C7)-1)/(POWER(1+E7,A7)-1),4))</f>
        <v>0.77800000000000002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20" t="str">
        <f>IF(B10="北京市","北京市",C10)&amp;F10&amp;IF(结果表!G1="在建","出让国有建设用地使用权及在建建筑物",IF(结果表!G1="土地","出让国有建设用地使用权",))&amp;B9&amp;"预评估"</f>
        <v>北京市石景山玉泉路59号院2号楼4层401-1501房地产市场价值预评估</v>
      </c>
      <c r="C1" s="3521"/>
      <c r="D1" s="3521"/>
      <c r="E1" s="3521"/>
      <c r="F1" s="3521"/>
      <c r="G1" s="3521"/>
      <c r="H1" s="3521"/>
      <c r="I1" s="352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北京市石景山玉泉路59号院2号楼4层401-1501房地产市场价值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北京市石景山玉泉路59号院2号楼4层401-1501房地产</v>
      </c>
      <c r="T2" s="1743"/>
      <c r="U2" s="1743"/>
      <c r="V2" s="1743"/>
      <c r="W2" s="1743"/>
      <c r="X2" s="1743"/>
      <c r="Y2" s="1743"/>
      <c r="Z2" s="1743"/>
      <c r="AA2" s="1743"/>
      <c r="AB2" s="1743"/>
    </row>
    <row r="3" spans="1:30">
      <c r="A3" s="302" t="s">
        <v>2169</v>
      </c>
      <c r="B3" s="2371"/>
      <c r="C3" s="2372" t="s">
        <v>2170</v>
      </c>
      <c r="D3" s="2371">
        <v>45212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3384</v>
      </c>
      <c r="C4" s="2374">
        <f ca="1">SUMIF(注册房地产估价师,B4,估价师及机构信息!B3:B24)</f>
        <v>1419970001</v>
      </c>
      <c r="D4" s="2373" t="s">
        <v>3385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3379</v>
      </c>
      <c r="C8" s="2388"/>
      <c r="D8" s="3523" t="s">
        <v>2176</v>
      </c>
      <c r="E8" s="2389" t="s">
        <v>3380</v>
      </c>
      <c r="F8" s="2390"/>
      <c r="G8" s="2661"/>
      <c r="H8" s="2661"/>
      <c r="I8" s="2661"/>
      <c r="J8" s="2437"/>
      <c r="K8" s="2612"/>
      <c r="L8" s="2611"/>
      <c r="M8" s="2611"/>
      <c r="N8" s="2437"/>
      <c r="O8" s="2448"/>
      <c r="P8" s="2437"/>
      <c r="Q8" s="2437"/>
      <c r="R8" s="2437"/>
    </row>
    <row r="9" spans="1:30" ht="13.5" thickBot="1">
      <c r="A9" s="2391" t="s">
        <v>2177</v>
      </c>
      <c r="B9" s="2392" t="s">
        <v>3381</v>
      </c>
      <c r="C9" s="2393"/>
      <c r="D9" s="3524"/>
      <c r="E9" s="2392" t="s">
        <v>43</v>
      </c>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t="s">
        <v>3387</v>
      </c>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5"/>
      <c r="D13" s="855"/>
      <c r="E13" s="855">
        <v>59084</v>
      </c>
      <c r="F13" s="855"/>
      <c r="G13" s="855"/>
      <c r="H13" s="855"/>
      <c r="I13" s="855"/>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30"/>
      <c r="C16" s="3531"/>
      <c r="D16" s="3532"/>
      <c r="E16" s="2411" t="s">
        <v>2193</v>
      </c>
      <c r="F16" s="3533"/>
      <c r="G16" s="3534"/>
      <c r="H16" s="3534"/>
      <c r="I16" s="3535"/>
      <c r="J16" s="2437"/>
      <c r="K16" s="2615"/>
      <c r="L16" s="2449"/>
      <c r="M16" s="2449"/>
      <c r="N16" s="2507"/>
      <c r="O16" s="2449"/>
      <c r="P16" s="2507"/>
      <c r="Q16" s="2437"/>
      <c r="R16" s="2437"/>
    </row>
    <row r="17" spans="1:28">
      <c r="A17" s="313" t="s">
        <v>2194</v>
      </c>
      <c r="B17" s="302" t="s">
        <v>2195</v>
      </c>
      <c r="C17" s="8">
        <f>'数据-汇总表'!E3</f>
        <v>15080.55</v>
      </c>
      <c r="D17" s="2320" t="s">
        <v>2196</v>
      </c>
      <c r="E17" s="3536" t="s">
        <v>2197</v>
      </c>
      <c r="F17" s="3537"/>
      <c r="G17" s="3537"/>
      <c r="H17" s="3537"/>
      <c r="I17" s="353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39" t="s">
        <v>2201</v>
      </c>
      <c r="F18" s="3540"/>
      <c r="G18" s="3540"/>
      <c r="H18" s="3540"/>
      <c r="I18" s="3541"/>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26" t="s">
        <v>2205</v>
      </c>
      <c r="C20" s="3527"/>
      <c r="D20" s="3528" t="s">
        <v>2206</v>
      </c>
      <c r="E20" s="3529"/>
      <c r="F20" s="2645" t="s">
        <v>1056</v>
      </c>
      <c r="G20" s="2662"/>
      <c r="H20" s="2662"/>
      <c r="I20" s="2662"/>
      <c r="J20" s="2437"/>
      <c r="K20" s="352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2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2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3"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4"/>
      <c r="B30" s="302" t="s">
        <v>2217</v>
      </c>
      <c r="C30" s="3545"/>
      <c r="D30" s="3546"/>
      <c r="E30" s="2662"/>
      <c r="F30" s="2662"/>
      <c r="G30" s="2662"/>
      <c r="H30" s="2662"/>
      <c r="I30" s="2662"/>
      <c r="J30" s="2437"/>
      <c r="K30" s="2614"/>
      <c r="L30" s="2611"/>
      <c r="M30" s="2611"/>
      <c r="N30" s="2437"/>
      <c r="O30" s="2448"/>
      <c r="P30" s="2437"/>
      <c r="Q30" s="2437"/>
      <c r="R30" s="2437"/>
      <c r="S30" s="2437"/>
      <c r="T30" s="2437"/>
      <c r="U30" s="2437"/>
      <c r="V30" s="2437"/>
    </row>
    <row r="31" spans="1:28">
      <c r="A31" s="3547"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4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4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42" t="s">
        <v>2227</v>
      </c>
      <c r="T34" s="2426" t="str">
        <f>NUMBERSTRING(7-K34,1)&amp;"通"</f>
        <v>七通</v>
      </c>
      <c r="U34" s="2437"/>
      <c r="V34" s="2437"/>
    </row>
    <row r="35" spans="1:30">
      <c r="A35" s="2427"/>
      <c r="B35" s="3549" t="s">
        <v>2228</v>
      </c>
      <c r="C35" s="3549"/>
      <c r="D35" s="3549"/>
      <c r="E35" s="3549"/>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15080.55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15080.55</v>
      </c>
      <c r="H5" s="13">
        <f t="shared" ref="H5:AT5" si="0">SUM(H13:H656)</f>
        <v>15080.55</v>
      </c>
      <c r="I5" s="13">
        <f t="shared" si="0"/>
        <v>15080.55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15080.55</v>
      </c>
      <c r="BA5" s="15">
        <f t="shared" si="1"/>
        <v>15080.55</v>
      </c>
      <c r="BB5" s="15">
        <f t="shared" si="1"/>
        <v>15080.55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3388</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8"/>
      <c r="K10" s="1607"/>
      <c r="L10" s="808"/>
      <c r="M10" s="1607"/>
      <c r="N10" s="808"/>
      <c r="O10" s="1607"/>
      <c r="P10" s="808"/>
      <c r="Q10" s="1607"/>
      <c r="R10" s="808"/>
      <c r="S10" s="1607"/>
      <c r="T10" s="808"/>
      <c r="U10" s="1607"/>
      <c r="V10" s="808"/>
      <c r="W10" s="1607"/>
      <c r="X10" s="808"/>
      <c r="Y10" s="1607"/>
      <c r="Z10" s="808"/>
      <c r="AA10" s="1607"/>
      <c r="AB10" s="808"/>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15080.55</v>
      </c>
      <c r="H13" s="17">
        <f>SUMIF(I$12:AB$12,"总值",I13:AB13)</f>
        <v>15080.55</v>
      </c>
      <c r="I13" s="1624">
        <f>燕保房屋清单!I15</f>
        <v>15080.55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15080.55</v>
      </c>
      <c r="BA13" s="13">
        <f>SUM(BB13:BK13)</f>
        <v>15080.55</v>
      </c>
      <c r="BB13" s="13">
        <f>IF($D13="是",I13-J13,0)</f>
        <v>15080.55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1" sqref="F3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9" t="s">
        <v>1131</v>
      </c>
      <c r="B2" s="3559"/>
      <c r="C2" s="3559"/>
      <c r="D2" s="795" t="s">
        <v>1107</v>
      </c>
      <c r="E2" s="1637" t="s">
        <v>1108</v>
      </c>
      <c r="F2" s="2657"/>
      <c r="G2" s="2648"/>
      <c r="H2" s="2649"/>
      <c r="I2" s="2323" t="s">
        <v>1132</v>
      </c>
      <c r="J2" s="2657"/>
      <c r="K2" s="2657"/>
      <c r="L2" s="2657"/>
      <c r="M2" s="2657"/>
      <c r="N2" s="2659"/>
      <c r="O2" s="2657"/>
      <c r="P2" s="2657"/>
    </row>
    <row r="3" spans="1:16" ht="15.75" thickBot="1">
      <c r="A3" s="3560" t="s">
        <v>1105</v>
      </c>
      <c r="B3" s="3560"/>
      <c r="C3" s="3560"/>
      <c r="D3" s="43">
        <f>'数据-基础表'!AY6</f>
        <v>0</v>
      </c>
      <c r="E3" s="43">
        <f>'数据-基础表'!AZ5</f>
        <v>15080.55</v>
      </c>
      <c r="F3" s="2657"/>
      <c r="G3" s="1143"/>
      <c r="H3" s="1024" t="s">
        <v>1106</v>
      </c>
      <c r="I3" s="854" t="e">
        <f>ROUND('数据-基础表'!B3/'数据-基础表'!A3,2)</f>
        <v>#DIV/0!</v>
      </c>
      <c r="J3" s="2657"/>
      <c r="K3" s="2657"/>
      <c r="L3" s="2657"/>
      <c r="M3" s="2657"/>
      <c r="N3" s="2659"/>
      <c r="O3" s="2657"/>
      <c r="P3" s="2657"/>
    </row>
    <row r="4" spans="1:16" ht="15">
      <c r="A4" s="3561"/>
      <c r="B4" s="3562"/>
      <c r="C4" s="3563"/>
      <c r="D4" s="1639" t="s">
        <v>1107</v>
      </c>
      <c r="E4" s="1640" t="s">
        <v>1108</v>
      </c>
      <c r="F4" s="2657"/>
      <c r="G4" s="2650" t="s">
        <v>1133</v>
      </c>
      <c r="H4" s="1024" t="s">
        <v>1113</v>
      </c>
      <c r="I4" s="854" t="e">
        <f>ROUND(SUMIF('数据-基础表'!I9:AS9,"地上",'数据-基础表'!I5:AS5)/'数据-基础表'!A3,2)</f>
        <v>#DIV/0!</v>
      </c>
      <c r="J4" s="2657"/>
      <c r="K4" s="2657"/>
      <c r="L4" s="2657"/>
      <c r="M4" s="2657"/>
      <c r="N4" s="2659"/>
      <c r="O4" s="2657"/>
      <c r="P4" s="2657"/>
    </row>
    <row r="5" spans="1:16">
      <c r="A5" s="44" t="s">
        <v>1109</v>
      </c>
      <c r="B5" s="3564" t="s">
        <v>1110</v>
      </c>
      <c r="C5" s="3564"/>
      <c r="D5" s="45">
        <f>ROUND($D$3*E5/$E$3,2)</f>
        <v>0</v>
      </c>
      <c r="E5" s="46">
        <f>SUMIF('数据-基础表'!$11:$11,"住宅",'数据-基础表'!$5:$5)</f>
        <v>0</v>
      </c>
      <c r="F5" s="2657"/>
      <c r="G5" s="1143"/>
      <c r="H5" s="1024" t="s">
        <v>1106</v>
      </c>
      <c r="I5" s="854" t="e">
        <f>ROUND(E31/D31,2)</f>
        <v>#DIV/0!</v>
      </c>
      <c r="J5" s="2657"/>
      <c r="K5" s="2657"/>
      <c r="L5" s="2657"/>
      <c r="M5" s="2657"/>
      <c r="N5" s="2657"/>
      <c r="O5" s="2657"/>
      <c r="P5" s="2657"/>
    </row>
    <row r="6" spans="1:16" ht="15" thickBot="1">
      <c r="A6" s="1642"/>
      <c r="B6" s="3564" t="s">
        <v>1111</v>
      </c>
      <c r="C6" s="3564"/>
      <c r="D6" s="45">
        <f>ROUND($D$3*E6/$E$3,2)</f>
        <v>0</v>
      </c>
      <c r="E6" s="46">
        <f>E3-E5</f>
        <v>15080.55</v>
      </c>
      <c r="F6" s="2657"/>
      <c r="G6" s="2651" t="s">
        <v>1112</v>
      </c>
      <c r="H6" s="1144" t="s">
        <v>1113</v>
      </c>
      <c r="I6" s="2652" t="e">
        <f>ROUND(F31/D31,2)</f>
        <v>#DIV/0!</v>
      </c>
      <c r="J6" s="2657"/>
      <c r="K6" s="2657"/>
      <c r="L6" s="2657"/>
      <c r="M6" s="2657"/>
      <c r="N6" s="2657"/>
      <c r="O6" s="2657"/>
      <c r="P6" s="2657"/>
    </row>
    <row r="7" spans="1:16" ht="15.75" thickBot="1">
      <c r="A7" s="3556"/>
      <c r="B7" s="3557"/>
      <c r="C7" s="3558"/>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15080.55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15080.55</v>
      </c>
      <c r="F16" s="2657"/>
      <c r="G16" s="2658"/>
      <c r="H16" s="1646" t="s">
        <v>1135</v>
      </c>
      <c r="I16" s="1647"/>
      <c r="J16" s="1137"/>
      <c r="K16" s="3553" t="s">
        <v>1135</v>
      </c>
      <c r="L16" s="3554"/>
      <c r="M16" s="3554"/>
      <c r="N16" s="3554"/>
      <c r="O16" s="3554"/>
      <c r="P16" s="3555"/>
    </row>
    <row r="17" spans="1:19" ht="15">
      <c r="A17" s="1648" t="s">
        <v>1136</v>
      </c>
      <c r="B17" s="1649" t="s">
        <v>1137</v>
      </c>
      <c r="C17" s="1650" t="s">
        <v>1138</v>
      </c>
      <c r="D17" s="1651" t="s">
        <v>1126</v>
      </c>
      <c r="E17" s="1652" t="s">
        <v>1127</v>
      </c>
      <c r="F17" s="1653"/>
      <c r="G17" s="1654"/>
      <c r="H17" s="1655" t="s">
        <v>1139</v>
      </c>
      <c r="I17" s="1656" t="s">
        <v>1124</v>
      </c>
      <c r="J17" s="1137"/>
      <c r="K17" s="3550" t="s">
        <v>1140</v>
      </c>
      <c r="L17" s="3551"/>
      <c r="M17" s="3552"/>
      <c r="N17" s="3550" t="s">
        <v>1141</v>
      </c>
      <c r="O17" s="3551"/>
      <c r="P17" s="355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4" t="s">
        <v>1150</v>
      </c>
      <c r="N18" s="1039" t="s">
        <v>1148</v>
      </c>
      <c r="O18" s="1664" t="s">
        <v>1149</v>
      </c>
      <c r="P18" s="854" t="s">
        <v>1150</v>
      </c>
      <c r="R18" s="1024" t="s">
        <v>1151</v>
      </c>
      <c r="S18" s="1024" t="s">
        <v>1152</v>
      </c>
    </row>
    <row r="19" spans="1:19">
      <c r="A19" s="1665"/>
      <c r="B19" s="47" t="s">
        <v>1125</v>
      </c>
      <c r="C19" s="3415" t="s">
        <v>3440</v>
      </c>
      <c r="D19" s="45">
        <f>ROUND($D$3*E19/$E$3,2)</f>
        <v>0</v>
      </c>
      <c r="E19" s="53">
        <f t="shared" ref="E19:E26" si="1">SUM(F19:G19)</f>
        <v>15080.55</v>
      </c>
      <c r="F19" s="2793">
        <f>'数据-基础表'!I13</f>
        <v>15080.55</v>
      </c>
      <c r="G19" s="2794"/>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15080.55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15080.55</v>
      </c>
      <c r="F27" s="1138">
        <f>IF(SUM(F19:F26)=E8,SUM(F19:F26),"地上面积有误")</f>
        <v>15080.55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15080.55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15080.55</v>
      </c>
      <c r="F31" s="676">
        <f>F27+F30</f>
        <v>15080.55</v>
      </c>
      <c r="G31" s="677">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40" zoomScaleNormal="40" zoomScaleSheetLayoutView="100" workbookViewId="0">
      <pane xSplit="1" ySplit="2" topLeftCell="B3" activePane="bottomRight" state="frozen"/>
      <selection pane="topRight"/>
      <selection pane="bottomLeft"/>
      <selection pane="bottomRight" activeCell="B6" sqref="B6"/>
    </sheetView>
  </sheetViews>
  <sheetFormatPr defaultColWidth="9" defaultRowHeight="14.25"/>
  <cols>
    <col min="1" max="1" width="14.625" style="3448" customWidth="1"/>
    <col min="2" max="2" width="29.375" style="3448" customWidth="1"/>
    <col min="3" max="3" width="48.25" style="3448" customWidth="1"/>
    <col min="4" max="4" width="24.375" style="3448" customWidth="1"/>
    <col min="5" max="5" width="34.5" style="3448" customWidth="1"/>
    <col min="6" max="6" width="24.75" style="3448" customWidth="1"/>
    <col min="7" max="7" width="25.625" style="3448" customWidth="1"/>
    <col min="8" max="8" width="35" style="3448" customWidth="1"/>
    <col min="9" max="9" width="26.75" style="3448" bestFit="1" customWidth="1"/>
    <col min="10" max="11" width="25.5" style="3448" bestFit="1" customWidth="1"/>
    <col min="12" max="12" width="40.25" style="3448" customWidth="1"/>
    <col min="13" max="256" width="9" style="3448"/>
    <col min="257" max="257" width="14.625" style="3448" customWidth="1"/>
    <col min="258" max="258" width="29.375" style="3448" customWidth="1"/>
    <col min="259" max="259" width="48.25" style="3448" customWidth="1"/>
    <col min="260" max="260" width="24.375" style="3448" customWidth="1"/>
    <col min="261" max="261" width="34.5" style="3448" customWidth="1"/>
    <col min="262" max="262" width="24.75" style="3448" customWidth="1"/>
    <col min="263" max="263" width="25.625" style="3448" customWidth="1"/>
    <col min="264" max="264" width="35" style="3448" customWidth="1"/>
    <col min="265" max="265" width="26.75" style="3448" bestFit="1" customWidth="1"/>
    <col min="266" max="267" width="25.5" style="3448" bestFit="1" customWidth="1"/>
    <col min="268" max="268" width="40.25" style="3448" customWidth="1"/>
    <col min="269" max="512" width="9" style="3448"/>
    <col min="513" max="513" width="14.625" style="3448" customWidth="1"/>
    <col min="514" max="514" width="29.375" style="3448" customWidth="1"/>
    <col min="515" max="515" width="48.25" style="3448" customWidth="1"/>
    <col min="516" max="516" width="24.375" style="3448" customWidth="1"/>
    <col min="517" max="517" width="34.5" style="3448" customWidth="1"/>
    <col min="518" max="518" width="24.75" style="3448" customWidth="1"/>
    <col min="519" max="519" width="25.625" style="3448" customWidth="1"/>
    <col min="520" max="520" width="35" style="3448" customWidth="1"/>
    <col min="521" max="521" width="26.75" style="3448" bestFit="1" customWidth="1"/>
    <col min="522" max="523" width="25.5" style="3448" bestFit="1" customWidth="1"/>
    <col min="524" max="524" width="40.25" style="3448" customWidth="1"/>
    <col min="525" max="768" width="9" style="3448"/>
    <col min="769" max="769" width="14.625" style="3448" customWidth="1"/>
    <col min="770" max="770" width="29.375" style="3448" customWidth="1"/>
    <col min="771" max="771" width="48.25" style="3448" customWidth="1"/>
    <col min="772" max="772" width="24.375" style="3448" customWidth="1"/>
    <col min="773" max="773" width="34.5" style="3448" customWidth="1"/>
    <col min="774" max="774" width="24.75" style="3448" customWidth="1"/>
    <col min="775" max="775" width="25.625" style="3448" customWidth="1"/>
    <col min="776" max="776" width="35" style="3448" customWidth="1"/>
    <col min="777" max="777" width="26.75" style="3448" bestFit="1" customWidth="1"/>
    <col min="778" max="779" width="25.5" style="3448" bestFit="1" customWidth="1"/>
    <col min="780" max="780" width="40.25" style="3448" customWidth="1"/>
    <col min="781" max="1024" width="9" style="3448"/>
    <col min="1025" max="1025" width="14.625" style="3448" customWidth="1"/>
    <col min="1026" max="1026" width="29.375" style="3448" customWidth="1"/>
    <col min="1027" max="1027" width="48.25" style="3448" customWidth="1"/>
    <col min="1028" max="1028" width="24.375" style="3448" customWidth="1"/>
    <col min="1029" max="1029" width="34.5" style="3448" customWidth="1"/>
    <col min="1030" max="1030" width="24.75" style="3448" customWidth="1"/>
    <col min="1031" max="1031" width="25.625" style="3448" customWidth="1"/>
    <col min="1032" max="1032" width="35" style="3448" customWidth="1"/>
    <col min="1033" max="1033" width="26.75" style="3448" bestFit="1" customWidth="1"/>
    <col min="1034" max="1035" width="25.5" style="3448" bestFit="1" customWidth="1"/>
    <col min="1036" max="1036" width="40.25" style="3448" customWidth="1"/>
    <col min="1037" max="1280" width="9" style="3448"/>
    <col min="1281" max="1281" width="14.625" style="3448" customWidth="1"/>
    <col min="1282" max="1282" width="29.375" style="3448" customWidth="1"/>
    <col min="1283" max="1283" width="48.25" style="3448" customWidth="1"/>
    <col min="1284" max="1284" width="24.375" style="3448" customWidth="1"/>
    <col min="1285" max="1285" width="34.5" style="3448" customWidth="1"/>
    <col min="1286" max="1286" width="24.75" style="3448" customWidth="1"/>
    <col min="1287" max="1287" width="25.625" style="3448" customWidth="1"/>
    <col min="1288" max="1288" width="35" style="3448" customWidth="1"/>
    <col min="1289" max="1289" width="26.75" style="3448" bestFit="1" customWidth="1"/>
    <col min="1290" max="1291" width="25.5" style="3448" bestFit="1" customWidth="1"/>
    <col min="1292" max="1292" width="40.25" style="3448" customWidth="1"/>
    <col min="1293" max="1536" width="9" style="3448"/>
    <col min="1537" max="1537" width="14.625" style="3448" customWidth="1"/>
    <col min="1538" max="1538" width="29.375" style="3448" customWidth="1"/>
    <col min="1539" max="1539" width="48.25" style="3448" customWidth="1"/>
    <col min="1540" max="1540" width="24.375" style="3448" customWidth="1"/>
    <col min="1541" max="1541" width="34.5" style="3448" customWidth="1"/>
    <col min="1542" max="1542" width="24.75" style="3448" customWidth="1"/>
    <col min="1543" max="1543" width="25.625" style="3448" customWidth="1"/>
    <col min="1544" max="1544" width="35" style="3448" customWidth="1"/>
    <col min="1545" max="1545" width="26.75" style="3448" bestFit="1" customWidth="1"/>
    <col min="1546" max="1547" width="25.5" style="3448" bestFit="1" customWidth="1"/>
    <col min="1548" max="1548" width="40.25" style="3448" customWidth="1"/>
    <col min="1549" max="1792" width="9" style="3448"/>
    <col min="1793" max="1793" width="14.625" style="3448" customWidth="1"/>
    <col min="1794" max="1794" width="29.375" style="3448" customWidth="1"/>
    <col min="1795" max="1795" width="48.25" style="3448" customWidth="1"/>
    <col min="1796" max="1796" width="24.375" style="3448" customWidth="1"/>
    <col min="1797" max="1797" width="34.5" style="3448" customWidth="1"/>
    <col min="1798" max="1798" width="24.75" style="3448" customWidth="1"/>
    <col min="1799" max="1799" width="25.625" style="3448" customWidth="1"/>
    <col min="1800" max="1800" width="35" style="3448" customWidth="1"/>
    <col min="1801" max="1801" width="26.75" style="3448" bestFit="1" customWidth="1"/>
    <col min="1802" max="1803" width="25.5" style="3448" bestFit="1" customWidth="1"/>
    <col min="1804" max="1804" width="40.25" style="3448" customWidth="1"/>
    <col min="1805" max="2048" width="9" style="3448"/>
    <col min="2049" max="2049" width="14.625" style="3448" customWidth="1"/>
    <col min="2050" max="2050" width="29.375" style="3448" customWidth="1"/>
    <col min="2051" max="2051" width="48.25" style="3448" customWidth="1"/>
    <col min="2052" max="2052" width="24.375" style="3448" customWidth="1"/>
    <col min="2053" max="2053" width="34.5" style="3448" customWidth="1"/>
    <col min="2054" max="2054" width="24.75" style="3448" customWidth="1"/>
    <col min="2055" max="2055" width="25.625" style="3448" customWidth="1"/>
    <col min="2056" max="2056" width="35" style="3448" customWidth="1"/>
    <col min="2057" max="2057" width="26.75" style="3448" bestFit="1" customWidth="1"/>
    <col min="2058" max="2059" width="25.5" style="3448" bestFit="1" customWidth="1"/>
    <col min="2060" max="2060" width="40.25" style="3448" customWidth="1"/>
    <col min="2061" max="2304" width="9" style="3448"/>
    <col min="2305" max="2305" width="14.625" style="3448" customWidth="1"/>
    <col min="2306" max="2306" width="29.375" style="3448" customWidth="1"/>
    <col min="2307" max="2307" width="48.25" style="3448" customWidth="1"/>
    <col min="2308" max="2308" width="24.375" style="3448" customWidth="1"/>
    <col min="2309" max="2309" width="34.5" style="3448" customWidth="1"/>
    <col min="2310" max="2310" width="24.75" style="3448" customWidth="1"/>
    <col min="2311" max="2311" width="25.625" style="3448" customWidth="1"/>
    <col min="2312" max="2312" width="35" style="3448" customWidth="1"/>
    <col min="2313" max="2313" width="26.75" style="3448" bestFit="1" customWidth="1"/>
    <col min="2314" max="2315" width="25.5" style="3448" bestFit="1" customWidth="1"/>
    <col min="2316" max="2316" width="40.25" style="3448" customWidth="1"/>
    <col min="2317" max="2560" width="9" style="3448"/>
    <col min="2561" max="2561" width="14.625" style="3448" customWidth="1"/>
    <col min="2562" max="2562" width="29.375" style="3448" customWidth="1"/>
    <col min="2563" max="2563" width="48.25" style="3448" customWidth="1"/>
    <col min="2564" max="2564" width="24.375" style="3448" customWidth="1"/>
    <col min="2565" max="2565" width="34.5" style="3448" customWidth="1"/>
    <col min="2566" max="2566" width="24.75" style="3448" customWidth="1"/>
    <col min="2567" max="2567" width="25.625" style="3448" customWidth="1"/>
    <col min="2568" max="2568" width="35" style="3448" customWidth="1"/>
    <col min="2569" max="2569" width="26.75" style="3448" bestFit="1" customWidth="1"/>
    <col min="2570" max="2571" width="25.5" style="3448" bestFit="1" customWidth="1"/>
    <col min="2572" max="2572" width="40.25" style="3448" customWidth="1"/>
    <col min="2573" max="2816" width="9" style="3448"/>
    <col min="2817" max="2817" width="14.625" style="3448" customWidth="1"/>
    <col min="2818" max="2818" width="29.375" style="3448" customWidth="1"/>
    <col min="2819" max="2819" width="48.25" style="3448" customWidth="1"/>
    <col min="2820" max="2820" width="24.375" style="3448" customWidth="1"/>
    <col min="2821" max="2821" width="34.5" style="3448" customWidth="1"/>
    <col min="2822" max="2822" width="24.75" style="3448" customWidth="1"/>
    <col min="2823" max="2823" width="25.625" style="3448" customWidth="1"/>
    <col min="2824" max="2824" width="35" style="3448" customWidth="1"/>
    <col min="2825" max="2825" width="26.75" style="3448" bestFit="1" customWidth="1"/>
    <col min="2826" max="2827" width="25.5" style="3448" bestFit="1" customWidth="1"/>
    <col min="2828" max="2828" width="40.25" style="3448" customWidth="1"/>
    <col min="2829" max="3072" width="9" style="3448"/>
    <col min="3073" max="3073" width="14.625" style="3448" customWidth="1"/>
    <col min="3074" max="3074" width="29.375" style="3448" customWidth="1"/>
    <col min="3075" max="3075" width="48.25" style="3448" customWidth="1"/>
    <col min="3076" max="3076" width="24.375" style="3448" customWidth="1"/>
    <col min="3077" max="3077" width="34.5" style="3448" customWidth="1"/>
    <col min="3078" max="3078" width="24.75" style="3448" customWidth="1"/>
    <col min="3079" max="3079" width="25.625" style="3448" customWidth="1"/>
    <col min="3080" max="3080" width="35" style="3448" customWidth="1"/>
    <col min="3081" max="3081" width="26.75" style="3448" bestFit="1" customWidth="1"/>
    <col min="3082" max="3083" width="25.5" style="3448" bestFit="1" customWidth="1"/>
    <col min="3084" max="3084" width="40.25" style="3448" customWidth="1"/>
    <col min="3085" max="3328" width="9" style="3448"/>
    <col min="3329" max="3329" width="14.625" style="3448" customWidth="1"/>
    <col min="3330" max="3330" width="29.375" style="3448" customWidth="1"/>
    <col min="3331" max="3331" width="48.25" style="3448" customWidth="1"/>
    <col min="3332" max="3332" width="24.375" style="3448" customWidth="1"/>
    <col min="3333" max="3333" width="34.5" style="3448" customWidth="1"/>
    <col min="3334" max="3334" width="24.75" style="3448" customWidth="1"/>
    <col min="3335" max="3335" width="25.625" style="3448" customWidth="1"/>
    <col min="3336" max="3336" width="35" style="3448" customWidth="1"/>
    <col min="3337" max="3337" width="26.75" style="3448" bestFit="1" customWidth="1"/>
    <col min="3338" max="3339" width="25.5" style="3448" bestFit="1" customWidth="1"/>
    <col min="3340" max="3340" width="40.25" style="3448" customWidth="1"/>
    <col min="3341" max="3584" width="9" style="3448"/>
    <col min="3585" max="3585" width="14.625" style="3448" customWidth="1"/>
    <col min="3586" max="3586" width="29.375" style="3448" customWidth="1"/>
    <col min="3587" max="3587" width="48.25" style="3448" customWidth="1"/>
    <col min="3588" max="3588" width="24.375" style="3448" customWidth="1"/>
    <col min="3589" max="3589" width="34.5" style="3448" customWidth="1"/>
    <col min="3590" max="3590" width="24.75" style="3448" customWidth="1"/>
    <col min="3591" max="3591" width="25.625" style="3448" customWidth="1"/>
    <col min="3592" max="3592" width="35" style="3448" customWidth="1"/>
    <col min="3593" max="3593" width="26.75" style="3448" bestFit="1" customWidth="1"/>
    <col min="3594" max="3595" width="25.5" style="3448" bestFit="1" customWidth="1"/>
    <col min="3596" max="3596" width="40.25" style="3448" customWidth="1"/>
    <col min="3597" max="3840" width="9" style="3448"/>
    <col min="3841" max="3841" width="14.625" style="3448" customWidth="1"/>
    <col min="3842" max="3842" width="29.375" style="3448" customWidth="1"/>
    <col min="3843" max="3843" width="48.25" style="3448" customWidth="1"/>
    <col min="3844" max="3844" width="24.375" style="3448" customWidth="1"/>
    <col min="3845" max="3845" width="34.5" style="3448" customWidth="1"/>
    <col min="3846" max="3846" width="24.75" style="3448" customWidth="1"/>
    <col min="3847" max="3847" width="25.625" style="3448" customWidth="1"/>
    <col min="3848" max="3848" width="35" style="3448" customWidth="1"/>
    <col min="3849" max="3849" width="26.75" style="3448" bestFit="1" customWidth="1"/>
    <col min="3850" max="3851" width="25.5" style="3448" bestFit="1" customWidth="1"/>
    <col min="3852" max="3852" width="40.25" style="3448" customWidth="1"/>
    <col min="3853" max="4096" width="9" style="3448"/>
    <col min="4097" max="4097" width="14.625" style="3448" customWidth="1"/>
    <col min="4098" max="4098" width="29.375" style="3448" customWidth="1"/>
    <col min="4099" max="4099" width="48.25" style="3448" customWidth="1"/>
    <col min="4100" max="4100" width="24.375" style="3448" customWidth="1"/>
    <col min="4101" max="4101" width="34.5" style="3448" customWidth="1"/>
    <col min="4102" max="4102" width="24.75" style="3448" customWidth="1"/>
    <col min="4103" max="4103" width="25.625" style="3448" customWidth="1"/>
    <col min="4104" max="4104" width="35" style="3448" customWidth="1"/>
    <col min="4105" max="4105" width="26.75" style="3448" bestFit="1" customWidth="1"/>
    <col min="4106" max="4107" width="25.5" style="3448" bestFit="1" customWidth="1"/>
    <col min="4108" max="4108" width="40.25" style="3448" customWidth="1"/>
    <col min="4109" max="4352" width="9" style="3448"/>
    <col min="4353" max="4353" width="14.625" style="3448" customWidth="1"/>
    <col min="4354" max="4354" width="29.375" style="3448" customWidth="1"/>
    <col min="4355" max="4355" width="48.25" style="3448" customWidth="1"/>
    <col min="4356" max="4356" width="24.375" style="3448" customWidth="1"/>
    <col min="4357" max="4357" width="34.5" style="3448" customWidth="1"/>
    <col min="4358" max="4358" width="24.75" style="3448" customWidth="1"/>
    <col min="4359" max="4359" width="25.625" style="3448" customWidth="1"/>
    <col min="4360" max="4360" width="35" style="3448" customWidth="1"/>
    <col min="4361" max="4361" width="26.75" style="3448" bestFit="1" customWidth="1"/>
    <col min="4362" max="4363" width="25.5" style="3448" bestFit="1" customWidth="1"/>
    <col min="4364" max="4364" width="40.25" style="3448" customWidth="1"/>
    <col min="4365" max="4608" width="9" style="3448"/>
    <col min="4609" max="4609" width="14.625" style="3448" customWidth="1"/>
    <col min="4610" max="4610" width="29.375" style="3448" customWidth="1"/>
    <col min="4611" max="4611" width="48.25" style="3448" customWidth="1"/>
    <col min="4612" max="4612" width="24.375" style="3448" customWidth="1"/>
    <col min="4613" max="4613" width="34.5" style="3448" customWidth="1"/>
    <col min="4614" max="4614" width="24.75" style="3448" customWidth="1"/>
    <col min="4615" max="4615" width="25.625" style="3448" customWidth="1"/>
    <col min="4616" max="4616" width="35" style="3448" customWidth="1"/>
    <col min="4617" max="4617" width="26.75" style="3448" bestFit="1" customWidth="1"/>
    <col min="4618" max="4619" width="25.5" style="3448" bestFit="1" customWidth="1"/>
    <col min="4620" max="4620" width="40.25" style="3448" customWidth="1"/>
    <col min="4621" max="4864" width="9" style="3448"/>
    <col min="4865" max="4865" width="14.625" style="3448" customWidth="1"/>
    <col min="4866" max="4866" width="29.375" style="3448" customWidth="1"/>
    <col min="4867" max="4867" width="48.25" style="3448" customWidth="1"/>
    <col min="4868" max="4868" width="24.375" style="3448" customWidth="1"/>
    <col min="4869" max="4869" width="34.5" style="3448" customWidth="1"/>
    <col min="4870" max="4870" width="24.75" style="3448" customWidth="1"/>
    <col min="4871" max="4871" width="25.625" style="3448" customWidth="1"/>
    <col min="4872" max="4872" width="35" style="3448" customWidth="1"/>
    <col min="4873" max="4873" width="26.75" style="3448" bestFit="1" customWidth="1"/>
    <col min="4874" max="4875" width="25.5" style="3448" bestFit="1" customWidth="1"/>
    <col min="4876" max="4876" width="40.25" style="3448" customWidth="1"/>
    <col min="4877" max="5120" width="9" style="3448"/>
    <col min="5121" max="5121" width="14.625" style="3448" customWidth="1"/>
    <col min="5122" max="5122" width="29.375" style="3448" customWidth="1"/>
    <col min="5123" max="5123" width="48.25" style="3448" customWidth="1"/>
    <col min="5124" max="5124" width="24.375" style="3448" customWidth="1"/>
    <col min="5125" max="5125" width="34.5" style="3448" customWidth="1"/>
    <col min="5126" max="5126" width="24.75" style="3448" customWidth="1"/>
    <col min="5127" max="5127" width="25.625" style="3448" customWidth="1"/>
    <col min="5128" max="5128" width="35" style="3448" customWidth="1"/>
    <col min="5129" max="5129" width="26.75" style="3448" bestFit="1" customWidth="1"/>
    <col min="5130" max="5131" width="25.5" style="3448" bestFit="1" customWidth="1"/>
    <col min="5132" max="5132" width="40.25" style="3448" customWidth="1"/>
    <col min="5133" max="5376" width="9" style="3448"/>
    <col min="5377" max="5377" width="14.625" style="3448" customWidth="1"/>
    <col min="5378" max="5378" width="29.375" style="3448" customWidth="1"/>
    <col min="5379" max="5379" width="48.25" style="3448" customWidth="1"/>
    <col min="5380" max="5380" width="24.375" style="3448" customWidth="1"/>
    <col min="5381" max="5381" width="34.5" style="3448" customWidth="1"/>
    <col min="5382" max="5382" width="24.75" style="3448" customWidth="1"/>
    <col min="5383" max="5383" width="25.625" style="3448" customWidth="1"/>
    <col min="5384" max="5384" width="35" style="3448" customWidth="1"/>
    <col min="5385" max="5385" width="26.75" style="3448" bestFit="1" customWidth="1"/>
    <col min="5386" max="5387" width="25.5" style="3448" bestFit="1" customWidth="1"/>
    <col min="5388" max="5388" width="40.25" style="3448" customWidth="1"/>
    <col min="5389" max="5632" width="9" style="3448"/>
    <col min="5633" max="5633" width="14.625" style="3448" customWidth="1"/>
    <col min="5634" max="5634" width="29.375" style="3448" customWidth="1"/>
    <col min="5635" max="5635" width="48.25" style="3448" customWidth="1"/>
    <col min="5636" max="5636" width="24.375" style="3448" customWidth="1"/>
    <col min="5637" max="5637" width="34.5" style="3448" customWidth="1"/>
    <col min="5638" max="5638" width="24.75" style="3448" customWidth="1"/>
    <col min="5639" max="5639" width="25.625" style="3448" customWidth="1"/>
    <col min="5640" max="5640" width="35" style="3448" customWidth="1"/>
    <col min="5641" max="5641" width="26.75" style="3448" bestFit="1" customWidth="1"/>
    <col min="5642" max="5643" width="25.5" style="3448" bestFit="1" customWidth="1"/>
    <col min="5644" max="5644" width="40.25" style="3448" customWidth="1"/>
    <col min="5645" max="5888" width="9" style="3448"/>
    <col min="5889" max="5889" width="14.625" style="3448" customWidth="1"/>
    <col min="5890" max="5890" width="29.375" style="3448" customWidth="1"/>
    <col min="5891" max="5891" width="48.25" style="3448" customWidth="1"/>
    <col min="5892" max="5892" width="24.375" style="3448" customWidth="1"/>
    <col min="5893" max="5893" width="34.5" style="3448" customWidth="1"/>
    <col min="5894" max="5894" width="24.75" style="3448" customWidth="1"/>
    <col min="5895" max="5895" width="25.625" style="3448" customWidth="1"/>
    <col min="5896" max="5896" width="35" style="3448" customWidth="1"/>
    <col min="5897" max="5897" width="26.75" style="3448" bestFit="1" customWidth="1"/>
    <col min="5898" max="5899" width="25.5" style="3448" bestFit="1" customWidth="1"/>
    <col min="5900" max="5900" width="40.25" style="3448" customWidth="1"/>
    <col min="5901" max="6144" width="9" style="3448"/>
    <col min="6145" max="6145" width="14.625" style="3448" customWidth="1"/>
    <col min="6146" max="6146" width="29.375" style="3448" customWidth="1"/>
    <col min="6147" max="6147" width="48.25" style="3448" customWidth="1"/>
    <col min="6148" max="6148" width="24.375" style="3448" customWidth="1"/>
    <col min="6149" max="6149" width="34.5" style="3448" customWidth="1"/>
    <col min="6150" max="6150" width="24.75" style="3448" customWidth="1"/>
    <col min="6151" max="6151" width="25.625" style="3448" customWidth="1"/>
    <col min="6152" max="6152" width="35" style="3448" customWidth="1"/>
    <col min="6153" max="6153" width="26.75" style="3448" bestFit="1" customWidth="1"/>
    <col min="6154" max="6155" width="25.5" style="3448" bestFit="1" customWidth="1"/>
    <col min="6156" max="6156" width="40.25" style="3448" customWidth="1"/>
    <col min="6157" max="6400" width="9" style="3448"/>
    <col min="6401" max="6401" width="14.625" style="3448" customWidth="1"/>
    <col min="6402" max="6402" width="29.375" style="3448" customWidth="1"/>
    <col min="6403" max="6403" width="48.25" style="3448" customWidth="1"/>
    <col min="6404" max="6404" width="24.375" style="3448" customWidth="1"/>
    <col min="6405" max="6405" width="34.5" style="3448" customWidth="1"/>
    <col min="6406" max="6406" width="24.75" style="3448" customWidth="1"/>
    <col min="6407" max="6407" width="25.625" style="3448" customWidth="1"/>
    <col min="6408" max="6408" width="35" style="3448" customWidth="1"/>
    <col min="6409" max="6409" width="26.75" style="3448" bestFit="1" customWidth="1"/>
    <col min="6410" max="6411" width="25.5" style="3448" bestFit="1" customWidth="1"/>
    <col min="6412" max="6412" width="40.25" style="3448" customWidth="1"/>
    <col min="6413" max="6656" width="9" style="3448"/>
    <col min="6657" max="6657" width="14.625" style="3448" customWidth="1"/>
    <col min="6658" max="6658" width="29.375" style="3448" customWidth="1"/>
    <col min="6659" max="6659" width="48.25" style="3448" customWidth="1"/>
    <col min="6660" max="6660" width="24.375" style="3448" customWidth="1"/>
    <col min="6661" max="6661" width="34.5" style="3448" customWidth="1"/>
    <col min="6662" max="6662" width="24.75" style="3448" customWidth="1"/>
    <col min="6663" max="6663" width="25.625" style="3448" customWidth="1"/>
    <col min="6664" max="6664" width="35" style="3448" customWidth="1"/>
    <col min="6665" max="6665" width="26.75" style="3448" bestFit="1" customWidth="1"/>
    <col min="6666" max="6667" width="25.5" style="3448" bestFit="1" customWidth="1"/>
    <col min="6668" max="6668" width="40.25" style="3448" customWidth="1"/>
    <col min="6669" max="6912" width="9" style="3448"/>
    <col min="6913" max="6913" width="14.625" style="3448" customWidth="1"/>
    <col min="6914" max="6914" width="29.375" style="3448" customWidth="1"/>
    <col min="6915" max="6915" width="48.25" style="3448" customWidth="1"/>
    <col min="6916" max="6916" width="24.375" style="3448" customWidth="1"/>
    <col min="6917" max="6917" width="34.5" style="3448" customWidth="1"/>
    <col min="6918" max="6918" width="24.75" style="3448" customWidth="1"/>
    <col min="6919" max="6919" width="25.625" style="3448" customWidth="1"/>
    <col min="6920" max="6920" width="35" style="3448" customWidth="1"/>
    <col min="6921" max="6921" width="26.75" style="3448" bestFit="1" customWidth="1"/>
    <col min="6922" max="6923" width="25.5" style="3448" bestFit="1" customWidth="1"/>
    <col min="6924" max="6924" width="40.25" style="3448" customWidth="1"/>
    <col min="6925" max="7168" width="9" style="3448"/>
    <col min="7169" max="7169" width="14.625" style="3448" customWidth="1"/>
    <col min="7170" max="7170" width="29.375" style="3448" customWidth="1"/>
    <col min="7171" max="7171" width="48.25" style="3448" customWidth="1"/>
    <col min="7172" max="7172" width="24.375" style="3448" customWidth="1"/>
    <col min="7173" max="7173" width="34.5" style="3448" customWidth="1"/>
    <col min="7174" max="7174" width="24.75" style="3448" customWidth="1"/>
    <col min="7175" max="7175" width="25.625" style="3448" customWidth="1"/>
    <col min="7176" max="7176" width="35" style="3448" customWidth="1"/>
    <col min="7177" max="7177" width="26.75" style="3448" bestFit="1" customWidth="1"/>
    <col min="7178" max="7179" width="25.5" style="3448" bestFit="1" customWidth="1"/>
    <col min="7180" max="7180" width="40.25" style="3448" customWidth="1"/>
    <col min="7181" max="7424" width="9" style="3448"/>
    <col min="7425" max="7425" width="14.625" style="3448" customWidth="1"/>
    <col min="7426" max="7426" width="29.375" style="3448" customWidth="1"/>
    <col min="7427" max="7427" width="48.25" style="3448" customWidth="1"/>
    <col min="7428" max="7428" width="24.375" style="3448" customWidth="1"/>
    <col min="7429" max="7429" width="34.5" style="3448" customWidth="1"/>
    <col min="7430" max="7430" width="24.75" style="3448" customWidth="1"/>
    <col min="7431" max="7431" width="25.625" style="3448" customWidth="1"/>
    <col min="7432" max="7432" width="35" style="3448" customWidth="1"/>
    <col min="7433" max="7433" width="26.75" style="3448" bestFit="1" customWidth="1"/>
    <col min="7434" max="7435" width="25.5" style="3448" bestFit="1" customWidth="1"/>
    <col min="7436" max="7436" width="40.25" style="3448" customWidth="1"/>
    <col min="7437" max="7680" width="9" style="3448"/>
    <col min="7681" max="7681" width="14.625" style="3448" customWidth="1"/>
    <col min="7682" max="7682" width="29.375" style="3448" customWidth="1"/>
    <col min="7683" max="7683" width="48.25" style="3448" customWidth="1"/>
    <col min="7684" max="7684" width="24.375" style="3448" customWidth="1"/>
    <col min="7685" max="7685" width="34.5" style="3448" customWidth="1"/>
    <col min="7686" max="7686" width="24.75" style="3448" customWidth="1"/>
    <col min="7687" max="7687" width="25.625" style="3448" customWidth="1"/>
    <col min="7688" max="7688" width="35" style="3448" customWidth="1"/>
    <col min="7689" max="7689" width="26.75" style="3448" bestFit="1" customWidth="1"/>
    <col min="7690" max="7691" width="25.5" style="3448" bestFit="1" customWidth="1"/>
    <col min="7692" max="7692" width="40.25" style="3448" customWidth="1"/>
    <col min="7693" max="7936" width="9" style="3448"/>
    <col min="7937" max="7937" width="14.625" style="3448" customWidth="1"/>
    <col min="7938" max="7938" width="29.375" style="3448" customWidth="1"/>
    <col min="7939" max="7939" width="48.25" style="3448" customWidth="1"/>
    <col min="7940" max="7940" width="24.375" style="3448" customWidth="1"/>
    <col min="7941" max="7941" width="34.5" style="3448" customWidth="1"/>
    <col min="7942" max="7942" width="24.75" style="3448" customWidth="1"/>
    <col min="7943" max="7943" width="25.625" style="3448" customWidth="1"/>
    <col min="7944" max="7944" width="35" style="3448" customWidth="1"/>
    <col min="7945" max="7945" width="26.75" style="3448" bestFit="1" customWidth="1"/>
    <col min="7946" max="7947" width="25.5" style="3448" bestFit="1" customWidth="1"/>
    <col min="7948" max="7948" width="40.25" style="3448" customWidth="1"/>
    <col min="7949" max="8192" width="9" style="3448"/>
    <col min="8193" max="8193" width="14.625" style="3448" customWidth="1"/>
    <col min="8194" max="8194" width="29.375" style="3448" customWidth="1"/>
    <col min="8195" max="8195" width="48.25" style="3448" customWidth="1"/>
    <col min="8196" max="8196" width="24.375" style="3448" customWidth="1"/>
    <col min="8197" max="8197" width="34.5" style="3448" customWidth="1"/>
    <col min="8198" max="8198" width="24.75" style="3448" customWidth="1"/>
    <col min="8199" max="8199" width="25.625" style="3448" customWidth="1"/>
    <col min="8200" max="8200" width="35" style="3448" customWidth="1"/>
    <col min="8201" max="8201" width="26.75" style="3448" bestFit="1" customWidth="1"/>
    <col min="8202" max="8203" width="25.5" style="3448" bestFit="1" customWidth="1"/>
    <col min="8204" max="8204" width="40.25" style="3448" customWidth="1"/>
    <col min="8205" max="8448" width="9" style="3448"/>
    <col min="8449" max="8449" width="14.625" style="3448" customWidth="1"/>
    <col min="8450" max="8450" width="29.375" style="3448" customWidth="1"/>
    <col min="8451" max="8451" width="48.25" style="3448" customWidth="1"/>
    <col min="8452" max="8452" width="24.375" style="3448" customWidth="1"/>
    <col min="8453" max="8453" width="34.5" style="3448" customWidth="1"/>
    <col min="8454" max="8454" width="24.75" style="3448" customWidth="1"/>
    <col min="8455" max="8455" width="25.625" style="3448" customWidth="1"/>
    <col min="8456" max="8456" width="35" style="3448" customWidth="1"/>
    <col min="8457" max="8457" width="26.75" style="3448" bestFit="1" customWidth="1"/>
    <col min="8458" max="8459" width="25.5" style="3448" bestFit="1" customWidth="1"/>
    <col min="8460" max="8460" width="40.25" style="3448" customWidth="1"/>
    <col min="8461" max="8704" width="9" style="3448"/>
    <col min="8705" max="8705" width="14.625" style="3448" customWidth="1"/>
    <col min="8706" max="8706" width="29.375" style="3448" customWidth="1"/>
    <col min="8707" max="8707" width="48.25" style="3448" customWidth="1"/>
    <col min="8708" max="8708" width="24.375" style="3448" customWidth="1"/>
    <col min="8709" max="8709" width="34.5" style="3448" customWidth="1"/>
    <col min="8710" max="8710" width="24.75" style="3448" customWidth="1"/>
    <col min="8711" max="8711" width="25.625" style="3448" customWidth="1"/>
    <col min="8712" max="8712" width="35" style="3448" customWidth="1"/>
    <col min="8713" max="8713" width="26.75" style="3448" bestFit="1" customWidth="1"/>
    <col min="8714" max="8715" width="25.5" style="3448" bestFit="1" customWidth="1"/>
    <col min="8716" max="8716" width="40.25" style="3448" customWidth="1"/>
    <col min="8717" max="8960" width="9" style="3448"/>
    <col min="8961" max="8961" width="14.625" style="3448" customWidth="1"/>
    <col min="8962" max="8962" width="29.375" style="3448" customWidth="1"/>
    <col min="8963" max="8963" width="48.25" style="3448" customWidth="1"/>
    <col min="8964" max="8964" width="24.375" style="3448" customWidth="1"/>
    <col min="8965" max="8965" width="34.5" style="3448" customWidth="1"/>
    <col min="8966" max="8966" width="24.75" style="3448" customWidth="1"/>
    <col min="8967" max="8967" width="25.625" style="3448" customWidth="1"/>
    <col min="8968" max="8968" width="35" style="3448" customWidth="1"/>
    <col min="8969" max="8969" width="26.75" style="3448" bestFit="1" customWidth="1"/>
    <col min="8970" max="8971" width="25.5" style="3448" bestFit="1" customWidth="1"/>
    <col min="8972" max="8972" width="40.25" style="3448" customWidth="1"/>
    <col min="8973" max="9216" width="9" style="3448"/>
    <col min="9217" max="9217" width="14.625" style="3448" customWidth="1"/>
    <col min="9218" max="9218" width="29.375" style="3448" customWidth="1"/>
    <col min="9219" max="9219" width="48.25" style="3448" customWidth="1"/>
    <col min="9220" max="9220" width="24.375" style="3448" customWidth="1"/>
    <col min="9221" max="9221" width="34.5" style="3448" customWidth="1"/>
    <col min="9222" max="9222" width="24.75" style="3448" customWidth="1"/>
    <col min="9223" max="9223" width="25.625" style="3448" customWidth="1"/>
    <col min="9224" max="9224" width="35" style="3448" customWidth="1"/>
    <col min="9225" max="9225" width="26.75" style="3448" bestFit="1" customWidth="1"/>
    <col min="9226" max="9227" width="25.5" style="3448" bestFit="1" customWidth="1"/>
    <col min="9228" max="9228" width="40.25" style="3448" customWidth="1"/>
    <col min="9229" max="9472" width="9" style="3448"/>
    <col min="9473" max="9473" width="14.625" style="3448" customWidth="1"/>
    <col min="9474" max="9474" width="29.375" style="3448" customWidth="1"/>
    <col min="9475" max="9475" width="48.25" style="3448" customWidth="1"/>
    <col min="9476" max="9476" width="24.375" style="3448" customWidth="1"/>
    <col min="9477" max="9477" width="34.5" style="3448" customWidth="1"/>
    <col min="9478" max="9478" width="24.75" style="3448" customWidth="1"/>
    <col min="9479" max="9479" width="25.625" style="3448" customWidth="1"/>
    <col min="9480" max="9480" width="35" style="3448" customWidth="1"/>
    <col min="9481" max="9481" width="26.75" style="3448" bestFit="1" customWidth="1"/>
    <col min="9482" max="9483" width="25.5" style="3448" bestFit="1" customWidth="1"/>
    <col min="9484" max="9484" width="40.25" style="3448" customWidth="1"/>
    <col min="9485" max="9728" width="9" style="3448"/>
    <col min="9729" max="9729" width="14.625" style="3448" customWidth="1"/>
    <col min="9730" max="9730" width="29.375" style="3448" customWidth="1"/>
    <col min="9731" max="9731" width="48.25" style="3448" customWidth="1"/>
    <col min="9732" max="9732" width="24.375" style="3448" customWidth="1"/>
    <col min="9733" max="9733" width="34.5" style="3448" customWidth="1"/>
    <col min="9734" max="9734" width="24.75" style="3448" customWidth="1"/>
    <col min="9735" max="9735" width="25.625" style="3448" customWidth="1"/>
    <col min="9736" max="9736" width="35" style="3448" customWidth="1"/>
    <col min="9737" max="9737" width="26.75" style="3448" bestFit="1" customWidth="1"/>
    <col min="9738" max="9739" width="25.5" style="3448" bestFit="1" customWidth="1"/>
    <col min="9740" max="9740" width="40.25" style="3448" customWidth="1"/>
    <col min="9741" max="9984" width="9" style="3448"/>
    <col min="9985" max="9985" width="14.625" style="3448" customWidth="1"/>
    <col min="9986" max="9986" width="29.375" style="3448" customWidth="1"/>
    <col min="9987" max="9987" width="48.25" style="3448" customWidth="1"/>
    <col min="9988" max="9988" width="24.375" style="3448" customWidth="1"/>
    <col min="9989" max="9989" width="34.5" style="3448" customWidth="1"/>
    <col min="9990" max="9990" width="24.75" style="3448" customWidth="1"/>
    <col min="9991" max="9991" width="25.625" style="3448" customWidth="1"/>
    <col min="9992" max="9992" width="35" style="3448" customWidth="1"/>
    <col min="9993" max="9993" width="26.75" style="3448" bestFit="1" customWidth="1"/>
    <col min="9994" max="9995" width="25.5" style="3448" bestFit="1" customWidth="1"/>
    <col min="9996" max="9996" width="40.25" style="3448" customWidth="1"/>
    <col min="9997" max="10240" width="9" style="3448"/>
    <col min="10241" max="10241" width="14.625" style="3448" customWidth="1"/>
    <col min="10242" max="10242" width="29.375" style="3448" customWidth="1"/>
    <col min="10243" max="10243" width="48.25" style="3448" customWidth="1"/>
    <col min="10244" max="10244" width="24.375" style="3448" customWidth="1"/>
    <col min="10245" max="10245" width="34.5" style="3448" customWidth="1"/>
    <col min="10246" max="10246" width="24.75" style="3448" customWidth="1"/>
    <col min="10247" max="10247" width="25.625" style="3448" customWidth="1"/>
    <col min="10248" max="10248" width="35" style="3448" customWidth="1"/>
    <col min="10249" max="10249" width="26.75" style="3448" bestFit="1" customWidth="1"/>
    <col min="10250" max="10251" width="25.5" style="3448" bestFit="1" customWidth="1"/>
    <col min="10252" max="10252" width="40.25" style="3448" customWidth="1"/>
    <col min="10253" max="10496" width="9" style="3448"/>
    <col min="10497" max="10497" width="14.625" style="3448" customWidth="1"/>
    <col min="10498" max="10498" width="29.375" style="3448" customWidth="1"/>
    <col min="10499" max="10499" width="48.25" style="3448" customWidth="1"/>
    <col min="10500" max="10500" width="24.375" style="3448" customWidth="1"/>
    <col min="10501" max="10501" width="34.5" style="3448" customWidth="1"/>
    <col min="10502" max="10502" width="24.75" style="3448" customWidth="1"/>
    <col min="10503" max="10503" width="25.625" style="3448" customWidth="1"/>
    <col min="10504" max="10504" width="35" style="3448" customWidth="1"/>
    <col min="10505" max="10505" width="26.75" style="3448" bestFit="1" customWidth="1"/>
    <col min="10506" max="10507" width="25.5" style="3448" bestFit="1" customWidth="1"/>
    <col min="10508" max="10508" width="40.25" style="3448" customWidth="1"/>
    <col min="10509" max="10752" width="9" style="3448"/>
    <col min="10753" max="10753" width="14.625" style="3448" customWidth="1"/>
    <col min="10754" max="10754" width="29.375" style="3448" customWidth="1"/>
    <col min="10755" max="10755" width="48.25" style="3448" customWidth="1"/>
    <col min="10756" max="10756" width="24.375" style="3448" customWidth="1"/>
    <col min="10757" max="10757" width="34.5" style="3448" customWidth="1"/>
    <col min="10758" max="10758" width="24.75" style="3448" customWidth="1"/>
    <col min="10759" max="10759" width="25.625" style="3448" customWidth="1"/>
    <col min="10760" max="10760" width="35" style="3448" customWidth="1"/>
    <col min="10761" max="10761" width="26.75" style="3448" bestFit="1" customWidth="1"/>
    <col min="10762" max="10763" width="25.5" style="3448" bestFit="1" customWidth="1"/>
    <col min="10764" max="10764" width="40.25" style="3448" customWidth="1"/>
    <col min="10765" max="11008" width="9" style="3448"/>
    <col min="11009" max="11009" width="14.625" style="3448" customWidth="1"/>
    <col min="11010" max="11010" width="29.375" style="3448" customWidth="1"/>
    <col min="11011" max="11011" width="48.25" style="3448" customWidth="1"/>
    <col min="11012" max="11012" width="24.375" style="3448" customWidth="1"/>
    <col min="11013" max="11013" width="34.5" style="3448" customWidth="1"/>
    <col min="11014" max="11014" width="24.75" style="3448" customWidth="1"/>
    <col min="11015" max="11015" width="25.625" style="3448" customWidth="1"/>
    <col min="11016" max="11016" width="35" style="3448" customWidth="1"/>
    <col min="11017" max="11017" width="26.75" style="3448" bestFit="1" customWidth="1"/>
    <col min="11018" max="11019" width="25.5" style="3448" bestFit="1" customWidth="1"/>
    <col min="11020" max="11020" width="40.25" style="3448" customWidth="1"/>
    <col min="11021" max="11264" width="9" style="3448"/>
    <col min="11265" max="11265" width="14.625" style="3448" customWidth="1"/>
    <col min="11266" max="11266" width="29.375" style="3448" customWidth="1"/>
    <col min="11267" max="11267" width="48.25" style="3448" customWidth="1"/>
    <col min="11268" max="11268" width="24.375" style="3448" customWidth="1"/>
    <col min="11269" max="11269" width="34.5" style="3448" customWidth="1"/>
    <col min="11270" max="11270" width="24.75" style="3448" customWidth="1"/>
    <col min="11271" max="11271" width="25.625" style="3448" customWidth="1"/>
    <col min="11272" max="11272" width="35" style="3448" customWidth="1"/>
    <col min="11273" max="11273" width="26.75" style="3448" bestFit="1" customWidth="1"/>
    <col min="11274" max="11275" width="25.5" style="3448" bestFit="1" customWidth="1"/>
    <col min="11276" max="11276" width="40.25" style="3448" customWidth="1"/>
    <col min="11277" max="11520" width="9" style="3448"/>
    <col min="11521" max="11521" width="14.625" style="3448" customWidth="1"/>
    <col min="11522" max="11522" width="29.375" style="3448" customWidth="1"/>
    <col min="11523" max="11523" width="48.25" style="3448" customWidth="1"/>
    <col min="11524" max="11524" width="24.375" style="3448" customWidth="1"/>
    <col min="11525" max="11525" width="34.5" style="3448" customWidth="1"/>
    <col min="11526" max="11526" width="24.75" style="3448" customWidth="1"/>
    <col min="11527" max="11527" width="25.625" style="3448" customWidth="1"/>
    <col min="11528" max="11528" width="35" style="3448" customWidth="1"/>
    <col min="11529" max="11529" width="26.75" style="3448" bestFit="1" customWidth="1"/>
    <col min="11530" max="11531" width="25.5" style="3448" bestFit="1" customWidth="1"/>
    <col min="11532" max="11532" width="40.25" style="3448" customWidth="1"/>
    <col min="11533" max="11776" width="9" style="3448"/>
    <col min="11777" max="11777" width="14.625" style="3448" customWidth="1"/>
    <col min="11778" max="11778" width="29.375" style="3448" customWidth="1"/>
    <col min="11779" max="11779" width="48.25" style="3448" customWidth="1"/>
    <col min="11780" max="11780" width="24.375" style="3448" customWidth="1"/>
    <col min="11781" max="11781" width="34.5" style="3448" customWidth="1"/>
    <col min="11782" max="11782" width="24.75" style="3448" customWidth="1"/>
    <col min="11783" max="11783" width="25.625" style="3448" customWidth="1"/>
    <col min="11784" max="11784" width="35" style="3448" customWidth="1"/>
    <col min="11785" max="11785" width="26.75" style="3448" bestFit="1" customWidth="1"/>
    <col min="11786" max="11787" width="25.5" style="3448" bestFit="1" customWidth="1"/>
    <col min="11788" max="11788" width="40.25" style="3448" customWidth="1"/>
    <col min="11789" max="12032" width="9" style="3448"/>
    <col min="12033" max="12033" width="14.625" style="3448" customWidth="1"/>
    <col min="12034" max="12034" width="29.375" style="3448" customWidth="1"/>
    <col min="12035" max="12035" width="48.25" style="3448" customWidth="1"/>
    <col min="12036" max="12036" width="24.375" style="3448" customWidth="1"/>
    <col min="12037" max="12037" width="34.5" style="3448" customWidth="1"/>
    <col min="12038" max="12038" width="24.75" style="3448" customWidth="1"/>
    <col min="12039" max="12039" width="25.625" style="3448" customWidth="1"/>
    <col min="12040" max="12040" width="35" style="3448" customWidth="1"/>
    <col min="12041" max="12041" width="26.75" style="3448" bestFit="1" customWidth="1"/>
    <col min="12042" max="12043" width="25.5" style="3448" bestFit="1" customWidth="1"/>
    <col min="12044" max="12044" width="40.25" style="3448" customWidth="1"/>
    <col min="12045" max="12288" width="9" style="3448"/>
    <col min="12289" max="12289" width="14.625" style="3448" customWidth="1"/>
    <col min="12290" max="12290" width="29.375" style="3448" customWidth="1"/>
    <col min="12291" max="12291" width="48.25" style="3448" customWidth="1"/>
    <col min="12292" max="12292" width="24.375" style="3448" customWidth="1"/>
    <col min="12293" max="12293" width="34.5" style="3448" customWidth="1"/>
    <col min="12294" max="12294" width="24.75" style="3448" customWidth="1"/>
    <col min="12295" max="12295" width="25.625" style="3448" customWidth="1"/>
    <col min="12296" max="12296" width="35" style="3448" customWidth="1"/>
    <col min="12297" max="12297" width="26.75" style="3448" bestFit="1" customWidth="1"/>
    <col min="12298" max="12299" width="25.5" style="3448" bestFit="1" customWidth="1"/>
    <col min="12300" max="12300" width="40.25" style="3448" customWidth="1"/>
    <col min="12301" max="12544" width="9" style="3448"/>
    <col min="12545" max="12545" width="14.625" style="3448" customWidth="1"/>
    <col min="12546" max="12546" width="29.375" style="3448" customWidth="1"/>
    <col min="12547" max="12547" width="48.25" style="3448" customWidth="1"/>
    <col min="12548" max="12548" width="24.375" style="3448" customWidth="1"/>
    <col min="12549" max="12549" width="34.5" style="3448" customWidth="1"/>
    <col min="12550" max="12550" width="24.75" style="3448" customWidth="1"/>
    <col min="12551" max="12551" width="25.625" style="3448" customWidth="1"/>
    <col min="12552" max="12552" width="35" style="3448" customWidth="1"/>
    <col min="12553" max="12553" width="26.75" style="3448" bestFit="1" customWidth="1"/>
    <col min="12554" max="12555" width="25.5" style="3448" bestFit="1" customWidth="1"/>
    <col min="12556" max="12556" width="40.25" style="3448" customWidth="1"/>
    <col min="12557" max="12800" width="9" style="3448"/>
    <col min="12801" max="12801" width="14.625" style="3448" customWidth="1"/>
    <col min="12802" max="12802" width="29.375" style="3448" customWidth="1"/>
    <col min="12803" max="12803" width="48.25" style="3448" customWidth="1"/>
    <col min="12804" max="12804" width="24.375" style="3448" customWidth="1"/>
    <col min="12805" max="12805" width="34.5" style="3448" customWidth="1"/>
    <col min="12806" max="12806" width="24.75" style="3448" customWidth="1"/>
    <col min="12807" max="12807" width="25.625" style="3448" customWidth="1"/>
    <col min="12808" max="12808" width="35" style="3448" customWidth="1"/>
    <col min="12809" max="12809" width="26.75" style="3448" bestFit="1" customWidth="1"/>
    <col min="12810" max="12811" width="25.5" style="3448" bestFit="1" customWidth="1"/>
    <col min="12812" max="12812" width="40.25" style="3448" customWidth="1"/>
    <col min="12813" max="13056" width="9" style="3448"/>
    <col min="13057" max="13057" width="14.625" style="3448" customWidth="1"/>
    <col min="13058" max="13058" width="29.375" style="3448" customWidth="1"/>
    <col min="13059" max="13059" width="48.25" style="3448" customWidth="1"/>
    <col min="13060" max="13060" width="24.375" style="3448" customWidth="1"/>
    <col min="13061" max="13061" width="34.5" style="3448" customWidth="1"/>
    <col min="13062" max="13062" width="24.75" style="3448" customWidth="1"/>
    <col min="13063" max="13063" width="25.625" style="3448" customWidth="1"/>
    <col min="13064" max="13064" width="35" style="3448" customWidth="1"/>
    <col min="13065" max="13065" width="26.75" style="3448" bestFit="1" customWidth="1"/>
    <col min="13066" max="13067" width="25.5" style="3448" bestFit="1" customWidth="1"/>
    <col min="13068" max="13068" width="40.25" style="3448" customWidth="1"/>
    <col min="13069" max="13312" width="9" style="3448"/>
    <col min="13313" max="13313" width="14.625" style="3448" customWidth="1"/>
    <col min="13314" max="13314" width="29.375" style="3448" customWidth="1"/>
    <col min="13315" max="13315" width="48.25" style="3448" customWidth="1"/>
    <col min="13316" max="13316" width="24.375" style="3448" customWidth="1"/>
    <col min="13317" max="13317" width="34.5" style="3448" customWidth="1"/>
    <col min="13318" max="13318" width="24.75" style="3448" customWidth="1"/>
    <col min="13319" max="13319" width="25.625" style="3448" customWidth="1"/>
    <col min="13320" max="13320" width="35" style="3448" customWidth="1"/>
    <col min="13321" max="13321" width="26.75" style="3448" bestFit="1" customWidth="1"/>
    <col min="13322" max="13323" width="25.5" style="3448" bestFit="1" customWidth="1"/>
    <col min="13324" max="13324" width="40.25" style="3448" customWidth="1"/>
    <col min="13325" max="13568" width="9" style="3448"/>
    <col min="13569" max="13569" width="14.625" style="3448" customWidth="1"/>
    <col min="13570" max="13570" width="29.375" style="3448" customWidth="1"/>
    <col min="13571" max="13571" width="48.25" style="3448" customWidth="1"/>
    <col min="13572" max="13572" width="24.375" style="3448" customWidth="1"/>
    <col min="13573" max="13573" width="34.5" style="3448" customWidth="1"/>
    <col min="13574" max="13574" width="24.75" style="3448" customWidth="1"/>
    <col min="13575" max="13575" width="25.625" style="3448" customWidth="1"/>
    <col min="13576" max="13576" width="35" style="3448" customWidth="1"/>
    <col min="13577" max="13577" width="26.75" style="3448" bestFit="1" customWidth="1"/>
    <col min="13578" max="13579" width="25.5" style="3448" bestFit="1" customWidth="1"/>
    <col min="13580" max="13580" width="40.25" style="3448" customWidth="1"/>
    <col min="13581" max="13824" width="9" style="3448"/>
    <col min="13825" max="13825" width="14.625" style="3448" customWidth="1"/>
    <col min="13826" max="13826" width="29.375" style="3448" customWidth="1"/>
    <col min="13827" max="13827" width="48.25" style="3448" customWidth="1"/>
    <col min="13828" max="13828" width="24.375" style="3448" customWidth="1"/>
    <col min="13829" max="13829" width="34.5" style="3448" customWidth="1"/>
    <col min="13830" max="13830" width="24.75" style="3448" customWidth="1"/>
    <col min="13831" max="13831" width="25.625" style="3448" customWidth="1"/>
    <col min="13832" max="13832" width="35" style="3448" customWidth="1"/>
    <col min="13833" max="13833" width="26.75" style="3448" bestFit="1" customWidth="1"/>
    <col min="13834" max="13835" width="25.5" style="3448" bestFit="1" customWidth="1"/>
    <col min="13836" max="13836" width="40.25" style="3448" customWidth="1"/>
    <col min="13837" max="14080" width="9" style="3448"/>
    <col min="14081" max="14081" width="14.625" style="3448" customWidth="1"/>
    <col min="14082" max="14082" width="29.375" style="3448" customWidth="1"/>
    <col min="14083" max="14083" width="48.25" style="3448" customWidth="1"/>
    <col min="14084" max="14084" width="24.375" style="3448" customWidth="1"/>
    <col min="14085" max="14085" width="34.5" style="3448" customWidth="1"/>
    <col min="14086" max="14086" width="24.75" style="3448" customWidth="1"/>
    <col min="14087" max="14087" width="25.625" style="3448" customWidth="1"/>
    <col min="14088" max="14088" width="35" style="3448" customWidth="1"/>
    <col min="14089" max="14089" width="26.75" style="3448" bestFit="1" customWidth="1"/>
    <col min="14090" max="14091" width="25.5" style="3448" bestFit="1" customWidth="1"/>
    <col min="14092" max="14092" width="40.25" style="3448" customWidth="1"/>
    <col min="14093" max="14336" width="9" style="3448"/>
    <col min="14337" max="14337" width="14.625" style="3448" customWidth="1"/>
    <col min="14338" max="14338" width="29.375" style="3448" customWidth="1"/>
    <col min="14339" max="14339" width="48.25" style="3448" customWidth="1"/>
    <col min="14340" max="14340" width="24.375" style="3448" customWidth="1"/>
    <col min="14341" max="14341" width="34.5" style="3448" customWidth="1"/>
    <col min="14342" max="14342" width="24.75" style="3448" customWidth="1"/>
    <col min="14343" max="14343" width="25.625" style="3448" customWidth="1"/>
    <col min="14344" max="14344" width="35" style="3448" customWidth="1"/>
    <col min="14345" max="14345" width="26.75" style="3448" bestFit="1" customWidth="1"/>
    <col min="14346" max="14347" width="25.5" style="3448" bestFit="1" customWidth="1"/>
    <col min="14348" max="14348" width="40.25" style="3448" customWidth="1"/>
    <col min="14349" max="14592" width="9" style="3448"/>
    <col min="14593" max="14593" width="14.625" style="3448" customWidth="1"/>
    <col min="14594" max="14594" width="29.375" style="3448" customWidth="1"/>
    <col min="14595" max="14595" width="48.25" style="3448" customWidth="1"/>
    <col min="14596" max="14596" width="24.375" style="3448" customWidth="1"/>
    <col min="14597" max="14597" width="34.5" style="3448" customWidth="1"/>
    <col min="14598" max="14598" width="24.75" style="3448" customWidth="1"/>
    <col min="14599" max="14599" width="25.625" style="3448" customWidth="1"/>
    <col min="14600" max="14600" width="35" style="3448" customWidth="1"/>
    <col min="14601" max="14601" width="26.75" style="3448" bestFit="1" customWidth="1"/>
    <col min="14602" max="14603" width="25.5" style="3448" bestFit="1" customWidth="1"/>
    <col min="14604" max="14604" width="40.25" style="3448" customWidth="1"/>
    <col min="14605" max="14848" width="9" style="3448"/>
    <col min="14849" max="14849" width="14.625" style="3448" customWidth="1"/>
    <col min="14850" max="14850" width="29.375" style="3448" customWidth="1"/>
    <col min="14851" max="14851" width="48.25" style="3448" customWidth="1"/>
    <col min="14852" max="14852" width="24.375" style="3448" customWidth="1"/>
    <col min="14853" max="14853" width="34.5" style="3448" customWidth="1"/>
    <col min="14854" max="14854" width="24.75" style="3448" customWidth="1"/>
    <col min="14855" max="14855" width="25.625" style="3448" customWidth="1"/>
    <col min="14856" max="14856" width="35" style="3448" customWidth="1"/>
    <col min="14857" max="14857" width="26.75" style="3448" bestFit="1" customWidth="1"/>
    <col min="14858" max="14859" width="25.5" style="3448" bestFit="1" customWidth="1"/>
    <col min="14860" max="14860" width="40.25" style="3448" customWidth="1"/>
    <col min="14861" max="15104" width="9" style="3448"/>
    <col min="15105" max="15105" width="14.625" style="3448" customWidth="1"/>
    <col min="15106" max="15106" width="29.375" style="3448" customWidth="1"/>
    <col min="15107" max="15107" width="48.25" style="3448" customWidth="1"/>
    <col min="15108" max="15108" width="24.375" style="3448" customWidth="1"/>
    <col min="15109" max="15109" width="34.5" style="3448" customWidth="1"/>
    <col min="15110" max="15110" width="24.75" style="3448" customWidth="1"/>
    <col min="15111" max="15111" width="25.625" style="3448" customWidth="1"/>
    <col min="15112" max="15112" width="35" style="3448" customWidth="1"/>
    <col min="15113" max="15113" width="26.75" style="3448" bestFit="1" customWidth="1"/>
    <col min="15114" max="15115" width="25.5" style="3448" bestFit="1" customWidth="1"/>
    <col min="15116" max="15116" width="40.25" style="3448" customWidth="1"/>
    <col min="15117" max="15360" width="9" style="3448"/>
    <col min="15361" max="15361" width="14.625" style="3448" customWidth="1"/>
    <col min="15362" max="15362" width="29.375" style="3448" customWidth="1"/>
    <col min="15363" max="15363" width="48.25" style="3448" customWidth="1"/>
    <col min="15364" max="15364" width="24.375" style="3448" customWidth="1"/>
    <col min="15365" max="15365" width="34.5" style="3448" customWidth="1"/>
    <col min="15366" max="15366" width="24.75" style="3448" customWidth="1"/>
    <col min="15367" max="15367" width="25.625" style="3448" customWidth="1"/>
    <col min="15368" max="15368" width="35" style="3448" customWidth="1"/>
    <col min="15369" max="15369" width="26.75" style="3448" bestFit="1" customWidth="1"/>
    <col min="15370" max="15371" width="25.5" style="3448" bestFit="1" customWidth="1"/>
    <col min="15372" max="15372" width="40.25" style="3448" customWidth="1"/>
    <col min="15373" max="15616" width="9" style="3448"/>
    <col min="15617" max="15617" width="14.625" style="3448" customWidth="1"/>
    <col min="15618" max="15618" width="29.375" style="3448" customWidth="1"/>
    <col min="15619" max="15619" width="48.25" style="3448" customWidth="1"/>
    <col min="15620" max="15620" width="24.375" style="3448" customWidth="1"/>
    <col min="15621" max="15621" width="34.5" style="3448" customWidth="1"/>
    <col min="15622" max="15622" width="24.75" style="3448" customWidth="1"/>
    <col min="15623" max="15623" width="25.625" style="3448" customWidth="1"/>
    <col min="15624" max="15624" width="35" style="3448" customWidth="1"/>
    <col min="15625" max="15625" width="26.75" style="3448" bestFit="1" customWidth="1"/>
    <col min="15626" max="15627" width="25.5" style="3448" bestFit="1" customWidth="1"/>
    <col min="15628" max="15628" width="40.25" style="3448" customWidth="1"/>
    <col min="15629" max="15872" width="9" style="3448"/>
    <col min="15873" max="15873" width="14.625" style="3448" customWidth="1"/>
    <col min="15874" max="15874" width="29.375" style="3448" customWidth="1"/>
    <col min="15875" max="15875" width="48.25" style="3448" customWidth="1"/>
    <col min="15876" max="15876" width="24.375" style="3448" customWidth="1"/>
    <col min="15877" max="15877" width="34.5" style="3448" customWidth="1"/>
    <col min="15878" max="15878" width="24.75" style="3448" customWidth="1"/>
    <col min="15879" max="15879" width="25.625" style="3448" customWidth="1"/>
    <col min="15880" max="15880" width="35" style="3448" customWidth="1"/>
    <col min="15881" max="15881" width="26.75" style="3448" bestFit="1" customWidth="1"/>
    <col min="15882" max="15883" width="25.5" style="3448" bestFit="1" customWidth="1"/>
    <col min="15884" max="15884" width="40.25" style="3448" customWidth="1"/>
    <col min="15885" max="16128" width="9" style="3448"/>
    <col min="16129" max="16129" width="14.625" style="3448" customWidth="1"/>
    <col min="16130" max="16130" width="29.375" style="3448" customWidth="1"/>
    <col min="16131" max="16131" width="48.25" style="3448" customWidth="1"/>
    <col min="16132" max="16132" width="24.375" style="3448" customWidth="1"/>
    <col min="16133" max="16133" width="34.5" style="3448" customWidth="1"/>
    <col min="16134" max="16134" width="24.75" style="3448" customWidth="1"/>
    <col min="16135" max="16135" width="25.625" style="3448" customWidth="1"/>
    <col min="16136" max="16136" width="35" style="3448" customWidth="1"/>
    <col min="16137" max="16137" width="26.75" style="3448" bestFit="1" customWidth="1"/>
    <col min="16138" max="16139" width="25.5" style="3448" bestFit="1" customWidth="1"/>
    <col min="16140" max="16140" width="40.25" style="3448" customWidth="1"/>
    <col min="16141" max="16384" width="9" style="3448"/>
  </cols>
  <sheetData>
    <row r="1" spans="1:13" ht="71.25" customHeight="1">
      <c r="A1" s="3565" t="s">
        <v>3389</v>
      </c>
      <c r="B1" s="3565"/>
      <c r="C1" s="3565"/>
      <c r="D1" s="3565"/>
      <c r="E1" s="3565"/>
      <c r="F1" s="3565"/>
      <c r="G1" s="3565"/>
      <c r="H1" s="3565"/>
      <c r="I1" s="3565"/>
      <c r="J1" s="3565"/>
      <c r="K1" s="3565"/>
      <c r="L1" s="3565"/>
    </row>
    <row r="2" spans="1:13" ht="95.1" customHeight="1">
      <c r="A2" s="3449" t="s">
        <v>3390</v>
      </c>
      <c r="B2" s="3449" t="s">
        <v>3391</v>
      </c>
      <c r="C2" s="3449" t="s">
        <v>3392</v>
      </c>
      <c r="D2" s="3449" t="s">
        <v>3393</v>
      </c>
      <c r="E2" s="3449" t="s">
        <v>3394</v>
      </c>
      <c r="F2" s="3449" t="s">
        <v>3395</v>
      </c>
      <c r="G2" s="3449" t="s">
        <v>3396</v>
      </c>
      <c r="H2" s="3449" t="s">
        <v>3397</v>
      </c>
      <c r="I2" s="3449" t="s">
        <v>3398</v>
      </c>
      <c r="J2" s="3449" t="s">
        <v>3399</v>
      </c>
      <c r="K2" s="3449" t="s">
        <v>3400</v>
      </c>
      <c r="L2" s="3449" t="s">
        <v>3401</v>
      </c>
    </row>
    <row r="3" spans="1:13" s="3450" customFormat="1" ht="71.25" customHeight="1">
      <c r="A3" s="3455">
        <v>1</v>
      </c>
      <c r="B3" s="3456" t="s">
        <v>3402</v>
      </c>
      <c r="C3" s="3456" t="s">
        <v>3403</v>
      </c>
      <c r="D3" s="3456" t="s">
        <v>3404</v>
      </c>
      <c r="E3" s="3455">
        <v>15</v>
      </c>
      <c r="F3" s="3455">
        <v>15</v>
      </c>
      <c r="G3" s="3455">
        <f t="shared" ref="G3:G14" si="0">E3-F3</f>
        <v>0</v>
      </c>
      <c r="H3" s="3455" t="s">
        <v>21</v>
      </c>
      <c r="I3" s="3457">
        <v>1386.27</v>
      </c>
      <c r="J3" s="3457">
        <v>971.01</v>
      </c>
      <c r="K3" s="3457">
        <f>I3-J3</f>
        <v>415.26</v>
      </c>
      <c r="L3" s="3455" t="s">
        <v>3405</v>
      </c>
    </row>
    <row r="4" spans="1:13" s="3450" customFormat="1" ht="69" customHeight="1">
      <c r="A4" s="3455">
        <v>2</v>
      </c>
      <c r="B4" s="3456" t="s">
        <v>3406</v>
      </c>
      <c r="C4" s="3456" t="s">
        <v>3407</v>
      </c>
      <c r="D4" s="3456" t="s">
        <v>3408</v>
      </c>
      <c r="E4" s="3455">
        <v>15</v>
      </c>
      <c r="F4" s="3455">
        <v>15</v>
      </c>
      <c r="G4" s="3455">
        <f t="shared" si="0"/>
        <v>0</v>
      </c>
      <c r="H4" s="3455" t="s">
        <v>21</v>
      </c>
      <c r="I4" s="3457">
        <v>1386.27</v>
      </c>
      <c r="J4" s="3457">
        <v>971.01</v>
      </c>
      <c r="K4" s="3457">
        <f t="shared" ref="K4:K14" si="1">I4-J4</f>
        <v>415.26</v>
      </c>
      <c r="L4" s="3455" t="s">
        <v>3405</v>
      </c>
    </row>
    <row r="5" spans="1:13" s="3450" customFormat="1" ht="77.25" customHeight="1">
      <c r="A5" s="3453">
        <v>3</v>
      </c>
      <c r="B5" s="3452" t="s">
        <v>3409</v>
      </c>
      <c r="C5" s="3452" t="s">
        <v>3410</v>
      </c>
      <c r="D5" s="3452" t="s">
        <v>3411</v>
      </c>
      <c r="E5" s="3453">
        <v>15</v>
      </c>
      <c r="F5" s="3453">
        <v>15</v>
      </c>
      <c r="G5" s="3453">
        <f t="shared" si="0"/>
        <v>0</v>
      </c>
      <c r="H5" s="3453" t="s">
        <v>21</v>
      </c>
      <c r="I5" s="3454">
        <v>1386.27</v>
      </c>
      <c r="J5" s="3454">
        <v>971.01</v>
      </c>
      <c r="K5" s="3454">
        <f t="shared" si="1"/>
        <v>415.26</v>
      </c>
      <c r="L5" s="3453" t="s">
        <v>3405</v>
      </c>
    </row>
    <row r="6" spans="1:13" s="3450" customFormat="1" ht="75.75" customHeight="1">
      <c r="A6" s="3453">
        <v>4</v>
      </c>
      <c r="B6" s="3452" t="s">
        <v>3412</v>
      </c>
      <c r="C6" s="3452" t="s">
        <v>3413</v>
      </c>
      <c r="D6" s="3452" t="s">
        <v>3414</v>
      </c>
      <c r="E6" s="3453">
        <v>15</v>
      </c>
      <c r="F6" s="3453">
        <v>15</v>
      </c>
      <c r="G6" s="3453">
        <f t="shared" si="0"/>
        <v>0</v>
      </c>
      <c r="H6" s="3453" t="s">
        <v>21</v>
      </c>
      <c r="I6" s="3454">
        <v>1386.27</v>
      </c>
      <c r="J6" s="3454">
        <v>971.01</v>
      </c>
      <c r="K6" s="3454">
        <f t="shared" si="1"/>
        <v>415.26</v>
      </c>
      <c r="L6" s="3453" t="s">
        <v>3405</v>
      </c>
    </row>
    <row r="7" spans="1:13" s="3450" customFormat="1" ht="72.75" customHeight="1">
      <c r="A7" s="3458">
        <v>5</v>
      </c>
      <c r="B7" s="3459" t="s">
        <v>3415</v>
      </c>
      <c r="C7" s="3459" t="s">
        <v>3416</v>
      </c>
      <c r="D7" s="3459" t="s">
        <v>3417</v>
      </c>
      <c r="E7" s="3458">
        <v>15</v>
      </c>
      <c r="F7" s="3458">
        <v>15</v>
      </c>
      <c r="G7" s="3458">
        <f t="shared" si="0"/>
        <v>0</v>
      </c>
      <c r="H7" s="3458" t="s">
        <v>21</v>
      </c>
      <c r="I7" s="3460">
        <v>1387.78</v>
      </c>
      <c r="J7" s="3460">
        <v>972.07</v>
      </c>
      <c r="K7" s="3460">
        <f t="shared" si="1"/>
        <v>415.70999999999992</v>
      </c>
      <c r="L7" s="3458" t="s">
        <v>3405</v>
      </c>
      <c r="M7" s="3450" t="s">
        <v>3444</v>
      </c>
    </row>
    <row r="8" spans="1:13" s="3450" customFormat="1" ht="86.25" customHeight="1">
      <c r="A8" s="3453">
        <v>6</v>
      </c>
      <c r="B8" s="3452" t="s">
        <v>3418</v>
      </c>
      <c r="C8" s="3452" t="s">
        <v>3419</v>
      </c>
      <c r="D8" s="3452" t="s">
        <v>3420</v>
      </c>
      <c r="E8" s="3453">
        <v>15</v>
      </c>
      <c r="F8" s="3453">
        <v>15</v>
      </c>
      <c r="G8" s="3453">
        <f t="shared" si="0"/>
        <v>0</v>
      </c>
      <c r="H8" s="3453" t="s">
        <v>21</v>
      </c>
      <c r="I8" s="3454">
        <v>1387.78</v>
      </c>
      <c r="J8" s="3454">
        <v>972.07</v>
      </c>
      <c r="K8" s="3454">
        <f t="shared" si="1"/>
        <v>415.70999999999992</v>
      </c>
      <c r="L8" s="3453" t="s">
        <v>3405</v>
      </c>
    </row>
    <row r="9" spans="1:13" s="3450" customFormat="1" ht="72.75" customHeight="1">
      <c r="A9" s="3453">
        <v>7</v>
      </c>
      <c r="B9" s="3452" t="s">
        <v>3421</v>
      </c>
      <c r="C9" s="3452" t="s">
        <v>3422</v>
      </c>
      <c r="D9" s="3452" t="s">
        <v>3423</v>
      </c>
      <c r="E9" s="3453">
        <v>15</v>
      </c>
      <c r="F9" s="3453">
        <v>15</v>
      </c>
      <c r="G9" s="3453">
        <f t="shared" si="0"/>
        <v>0</v>
      </c>
      <c r="H9" s="3453" t="s">
        <v>21</v>
      </c>
      <c r="I9" s="3454">
        <v>1387.22</v>
      </c>
      <c r="J9" s="3454">
        <v>971.68</v>
      </c>
      <c r="K9" s="3454">
        <f t="shared" si="1"/>
        <v>415.54000000000008</v>
      </c>
      <c r="L9" s="3453" t="s">
        <v>3405</v>
      </c>
    </row>
    <row r="10" spans="1:13" s="3450" customFormat="1" ht="75" customHeight="1">
      <c r="A10" s="3461">
        <v>8</v>
      </c>
      <c r="B10" s="3462" t="s">
        <v>3424</v>
      </c>
      <c r="C10" s="3462" t="s">
        <v>3425</v>
      </c>
      <c r="D10" s="3462" t="s">
        <v>3426</v>
      </c>
      <c r="E10" s="3461">
        <v>15</v>
      </c>
      <c r="F10" s="3461">
        <v>15</v>
      </c>
      <c r="G10" s="3461">
        <f t="shared" si="0"/>
        <v>0</v>
      </c>
      <c r="H10" s="3461" t="s">
        <v>21</v>
      </c>
      <c r="I10" s="3463">
        <v>1387.78</v>
      </c>
      <c r="J10" s="3463">
        <v>972.07</v>
      </c>
      <c r="K10" s="3463">
        <f t="shared" si="1"/>
        <v>415.70999999999992</v>
      </c>
      <c r="L10" s="3461" t="s">
        <v>3405</v>
      </c>
    </row>
    <row r="11" spans="1:13" s="3450" customFormat="1" ht="68.25" customHeight="1">
      <c r="A11" s="3461">
        <v>9</v>
      </c>
      <c r="B11" s="3462" t="s">
        <v>3427</v>
      </c>
      <c r="C11" s="3462" t="s">
        <v>3428</v>
      </c>
      <c r="D11" s="3462" t="s">
        <v>3429</v>
      </c>
      <c r="E11" s="3461">
        <v>15</v>
      </c>
      <c r="F11" s="3461">
        <v>15</v>
      </c>
      <c r="G11" s="3461">
        <f t="shared" si="0"/>
        <v>0</v>
      </c>
      <c r="H11" s="3461" t="s">
        <v>21</v>
      </c>
      <c r="I11" s="3463">
        <v>1196.6600000000001</v>
      </c>
      <c r="J11" s="3463">
        <v>838.2</v>
      </c>
      <c r="K11" s="3463">
        <f t="shared" si="1"/>
        <v>358.46000000000004</v>
      </c>
      <c r="L11" s="3461" t="s">
        <v>3405</v>
      </c>
    </row>
    <row r="12" spans="1:13" s="3450" customFormat="1" ht="62.25" customHeight="1">
      <c r="A12" s="3461">
        <v>10</v>
      </c>
      <c r="B12" s="3462" t="s">
        <v>3430</v>
      </c>
      <c r="C12" s="3462" t="s">
        <v>3431</v>
      </c>
      <c r="D12" s="3462" t="s">
        <v>3432</v>
      </c>
      <c r="E12" s="3461">
        <v>15</v>
      </c>
      <c r="F12" s="3461">
        <v>15</v>
      </c>
      <c r="G12" s="3461">
        <f t="shared" si="0"/>
        <v>0</v>
      </c>
      <c r="H12" s="3461" t="s">
        <v>21</v>
      </c>
      <c r="I12" s="3463">
        <v>1195.55</v>
      </c>
      <c r="J12" s="3463">
        <v>837.42</v>
      </c>
      <c r="K12" s="3463">
        <f t="shared" si="1"/>
        <v>358.13</v>
      </c>
      <c r="L12" s="3461" t="s">
        <v>3405</v>
      </c>
    </row>
    <row r="13" spans="1:13" s="3450" customFormat="1" ht="62.25" customHeight="1">
      <c r="A13" s="3461">
        <v>11</v>
      </c>
      <c r="B13" s="3462" t="s">
        <v>3433</v>
      </c>
      <c r="C13" s="3462" t="s">
        <v>3434</v>
      </c>
      <c r="D13" s="3462" t="s">
        <v>3435</v>
      </c>
      <c r="E13" s="3461">
        <v>15</v>
      </c>
      <c r="F13" s="3461">
        <v>15</v>
      </c>
      <c r="G13" s="3461">
        <f t="shared" si="0"/>
        <v>0</v>
      </c>
      <c r="H13" s="3461" t="s">
        <v>21</v>
      </c>
      <c r="I13" s="3463">
        <v>796.35</v>
      </c>
      <c r="J13" s="3463">
        <v>557.79999999999995</v>
      </c>
      <c r="K13" s="3463">
        <f t="shared" si="1"/>
        <v>238.55000000000007</v>
      </c>
      <c r="L13" s="3461" t="s">
        <v>3405</v>
      </c>
    </row>
    <row r="14" spans="1:13" s="3450" customFormat="1" ht="66.75" customHeight="1">
      <c r="A14" s="3461">
        <v>12</v>
      </c>
      <c r="B14" s="3462" t="s">
        <v>3436</v>
      </c>
      <c r="C14" s="3462" t="s">
        <v>3437</v>
      </c>
      <c r="D14" s="3462" t="s">
        <v>3438</v>
      </c>
      <c r="E14" s="3461">
        <v>15</v>
      </c>
      <c r="F14" s="3461">
        <v>15</v>
      </c>
      <c r="G14" s="3461">
        <f t="shared" si="0"/>
        <v>0</v>
      </c>
      <c r="H14" s="3461" t="s">
        <v>21</v>
      </c>
      <c r="I14" s="3463">
        <v>796.35</v>
      </c>
      <c r="J14" s="3463">
        <v>557.79999999999995</v>
      </c>
      <c r="K14" s="3463">
        <f t="shared" si="1"/>
        <v>238.55000000000007</v>
      </c>
      <c r="L14" s="3461" t="s">
        <v>3405</v>
      </c>
    </row>
    <row r="15" spans="1:13" ht="30" customHeight="1">
      <c r="I15" s="3451">
        <f>SUM(I3:I14)</f>
        <v>15080.55</v>
      </c>
    </row>
    <row r="16" spans="1:13" ht="30" customHeight="1"/>
  </sheetData>
  <mergeCells count="1">
    <mergeCell ref="A1:L1"/>
  </mergeCells>
  <phoneticPr fontId="134" type="noConversion"/>
  <pageMargins left="0.75" right="0.75" top="1" bottom="1" header="0.51" footer="0.51"/>
  <pageSetup paperSize="8" scale="35" orientation="landscape" verticalDpi="0" r:id="rId1"/>
  <headerFooter scaleWithDoc="0"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9"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3441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燕保大厦</v>
      </c>
      <c r="B6" s="1711" t="str">
        <f>IF(A6=0,"","经营性")</f>
        <v>经营性</v>
      </c>
      <c r="C6" s="1712" t="s">
        <v>21</v>
      </c>
      <c r="D6" s="857">
        <f>SUMIF(项目基本情况!C$12:I$12,C6,项目基本情况!C$14:I$14)</f>
        <v>50</v>
      </c>
      <c r="E6" s="856">
        <f>IF(B6="","",SUMIF(项目基本情况!C$12:I$12,C6,项目基本情况!C$13:I$13))</f>
        <v>59084</v>
      </c>
      <c r="F6" s="64">
        <f>SUMIF(项目基本情况!C$12:I$12,C6,项目基本情况!C$15:I$15)</f>
        <v>38</v>
      </c>
      <c r="G6" s="65">
        <f>IF(ISERROR(ROUND(POWER(1+H6,D6-F6)*(POWER(1+H6,F6)-1)/(POWER(1+H6,D6)-1),3)),0,ROUND(POWER(1+H6,D6-F6)*(POWER(1+H6,F6)-1)/(POWER(1+H6,D6)-1),3))</f>
        <v>0.92400000000000004</v>
      </c>
      <c r="H6" s="731">
        <v>0.05</v>
      </c>
      <c r="I6" s="731">
        <v>5.5E-2</v>
      </c>
      <c r="J6" s="66">
        <v>7.0000000000000007E-2</v>
      </c>
      <c r="K6" s="1028">
        <f>SUMIF('数据-汇总表'!C$19:C$33,A6,'数据-汇总表'!E$19:E$33)</f>
        <v>15080.55</v>
      </c>
      <c r="L6" s="732">
        <v>3500</v>
      </c>
      <c r="M6" s="67">
        <f t="shared" ref="M6:M14" si="0">ROUND(K6*L6/10000,0)</f>
        <v>5278</v>
      </c>
      <c r="N6" s="730">
        <f>N19</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c r="V6" s="70"/>
      <c r="W6" s="70"/>
      <c r="X6" s="1038"/>
      <c r="Y6" s="71"/>
      <c r="Z6" s="72"/>
      <c r="AA6" s="66"/>
      <c r="AB6" s="66"/>
      <c r="AC6" s="1038"/>
      <c r="AD6" s="73"/>
      <c r="AE6" s="1039">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0.92400000000000004</v>
      </c>
      <c r="H16" s="90">
        <f>ROUND(SUMPRODUCT(H6:H13,K6:K13)/SUMPRODUCT((H6:H13&gt;0)*(K6:K13)),3)</f>
        <v>0.05</v>
      </c>
      <c r="I16" s="91"/>
      <c r="J16" s="91"/>
      <c r="K16" s="92">
        <f>SUM(K6:K15)</f>
        <v>15080.55</v>
      </c>
      <c r="L16" s="93">
        <f>ROUND(M16*10000/SUM(K6:K14),0)</f>
        <v>3500</v>
      </c>
      <c r="M16" s="93">
        <f>SUM(M6:M14)</f>
        <v>5278</v>
      </c>
      <c r="N16" s="94">
        <f>ROUND(SUMPRODUCT(M6:M14,N6:N14)/M16,3)</f>
        <v>0.83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2304</v>
      </c>
      <c r="D19" s="2674"/>
      <c r="E19" s="2671"/>
      <c r="F19" s="2671"/>
      <c r="G19" s="2671"/>
      <c r="H19" s="2671"/>
      <c r="I19" s="2671"/>
      <c r="J19" s="2671"/>
      <c r="K19" s="2670"/>
      <c r="L19" s="2670"/>
      <c r="M19" s="2669"/>
      <c r="N19" s="2669">
        <f>ROUND(1-(2023-N18)/60,2)</f>
        <v>0.83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66" t="s">
        <v>2285</v>
      </c>
      <c r="B1" s="3567"/>
      <c r="C1" s="3567"/>
      <c r="D1" s="3567"/>
      <c r="E1" s="3567"/>
      <c r="F1" s="3567"/>
      <c r="G1" s="356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15080.55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41333</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41333</v>
      </c>
      <c r="C10" s="2510" t="s">
        <v>3361</v>
      </c>
      <c r="D10" s="2510" t="s">
        <v>3362</v>
      </c>
      <c r="E10" s="3439">
        <f>典型户型修正!R22</f>
        <v>4.13</v>
      </c>
      <c r="F10" s="3443" t="s">
        <v>3363</v>
      </c>
      <c r="G10" s="3440">
        <v>5.5E-2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15080.55</v>
      </c>
      <c r="C14" s="2516"/>
      <c r="D14" s="2516">
        <f>B10</f>
        <v>41333</v>
      </c>
      <c r="E14" s="2516">
        <f>ROUND(D14*10000/B14,0)</f>
        <v>27408</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5" t="str">
        <f>项目基本情况!S2</f>
        <v>北京市石景山玉泉路59号院2号楼4层401-1501房地产</v>
      </c>
      <c r="B2" s="3636"/>
      <c r="C2" s="3636"/>
      <c r="D2" s="3636"/>
      <c r="E2" s="3636"/>
      <c r="F2" s="3636"/>
      <c r="G2" s="3636"/>
      <c r="H2" s="3636"/>
      <c r="I2" s="3637"/>
    </row>
    <row r="3" spans="1:12" ht="12.75">
      <c r="A3" s="3639" t="s">
        <v>1264</v>
      </c>
      <c r="B3" s="3640"/>
      <c r="C3" s="3640"/>
      <c r="D3" s="3640"/>
      <c r="E3" s="3640"/>
      <c r="F3" s="3640"/>
      <c r="G3" s="3640"/>
      <c r="H3" s="3640"/>
      <c r="I3" s="3640"/>
    </row>
    <row r="4" spans="1:12" ht="14.25">
      <c r="A4" s="1752" t="s">
        <v>1265</v>
      </c>
      <c r="B4" s="1753" t="s">
        <v>1266</v>
      </c>
      <c r="C4" s="1754" t="s">
        <v>3524</v>
      </c>
      <c r="D4" s="1754" t="s">
        <v>3524</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3" t="s">
        <v>1268</v>
      </c>
      <c r="B5" s="3638">
        <v>25</v>
      </c>
      <c r="C5" s="3641"/>
      <c r="D5" s="3629"/>
      <c r="E5" s="131" t="s">
        <v>1269</v>
      </c>
      <c r="F5" s="1755"/>
      <c r="G5" s="1755"/>
      <c r="H5" s="1755"/>
      <c r="I5" s="1371"/>
    </row>
    <row r="6" spans="1:12" ht="12.75">
      <c r="A6" s="3583"/>
      <c r="B6" s="3638"/>
      <c r="C6" s="3643"/>
      <c r="D6" s="3629"/>
      <c r="E6" s="131" t="s">
        <v>1270</v>
      </c>
      <c r="F6" s="1755"/>
      <c r="G6" s="1755"/>
      <c r="H6" s="1755"/>
      <c r="I6" s="1371"/>
    </row>
    <row r="7" spans="1:12" ht="12.75">
      <c r="A7" s="3583"/>
      <c r="B7" s="3638"/>
      <c r="C7" s="3642"/>
      <c r="D7" s="3629"/>
      <c r="E7" s="131" t="s">
        <v>1271</v>
      </c>
      <c r="F7" s="1755"/>
      <c r="G7" s="1755"/>
      <c r="H7" s="1755"/>
      <c r="I7" s="1371"/>
    </row>
    <row r="8" spans="1:12" ht="12.75">
      <c r="A8" s="3583" t="s">
        <v>1272</v>
      </c>
      <c r="B8" s="3638">
        <v>15</v>
      </c>
      <c r="C8" s="3641"/>
      <c r="D8" s="3629"/>
      <c r="E8" s="131" t="s">
        <v>1273</v>
      </c>
      <c r="F8" s="1755"/>
      <c r="G8" s="1755"/>
      <c r="H8" s="1755"/>
      <c r="I8" s="1371"/>
    </row>
    <row r="9" spans="1:12" ht="12.75">
      <c r="A9" s="3583"/>
      <c r="B9" s="3638"/>
      <c r="C9" s="3642"/>
      <c r="D9" s="3629"/>
      <c r="E9" s="131" t="s">
        <v>1274</v>
      </c>
      <c r="F9" s="1755"/>
      <c r="G9" s="1755"/>
      <c r="H9" s="1755"/>
      <c r="I9" s="1371"/>
    </row>
    <row r="10" spans="1:12" ht="12.75">
      <c r="A10" s="3583" t="s">
        <v>1275</v>
      </c>
      <c r="B10" s="3638">
        <v>15</v>
      </c>
      <c r="C10" s="3641"/>
      <c r="D10" s="3629"/>
      <c r="E10" s="131" t="s">
        <v>1276</v>
      </c>
      <c r="F10" s="1755"/>
      <c r="G10" s="1755"/>
      <c r="H10" s="1755"/>
      <c r="I10" s="1371"/>
    </row>
    <row r="11" spans="1:12" ht="12.75">
      <c r="A11" s="3583"/>
      <c r="B11" s="3638"/>
      <c r="C11" s="3642"/>
      <c r="D11" s="3629"/>
      <c r="E11" s="131" t="s">
        <v>1277</v>
      </c>
      <c r="F11" s="1755"/>
      <c r="G11" s="1755"/>
      <c r="H11" s="1755"/>
      <c r="I11" s="1371"/>
    </row>
    <row r="12" spans="1:12" ht="12.75">
      <c r="A12" s="3583" t="s">
        <v>1278</v>
      </c>
      <c r="B12" s="3638">
        <v>15</v>
      </c>
      <c r="C12" s="3641"/>
      <c r="D12" s="3629"/>
      <c r="E12" s="131" t="s">
        <v>1279</v>
      </c>
      <c r="F12" s="1755"/>
      <c r="G12" s="1755"/>
      <c r="H12" s="1755"/>
      <c r="I12" s="1371"/>
    </row>
    <row r="13" spans="1:12" ht="12.75">
      <c r="A13" s="3583"/>
      <c r="B13" s="3638"/>
      <c r="C13" s="3642"/>
      <c r="D13" s="3629"/>
      <c r="E13" s="131" t="s">
        <v>1280</v>
      </c>
      <c r="F13" s="1755"/>
      <c r="G13" s="1755"/>
      <c r="H13" s="1755"/>
      <c r="I13" s="1371"/>
    </row>
    <row r="14" spans="1:12" ht="12.75">
      <c r="A14" s="3583" t="s">
        <v>1281</v>
      </c>
      <c r="B14" s="3638">
        <v>30</v>
      </c>
      <c r="C14" s="3641">
        <v>1</v>
      </c>
      <c r="D14" s="3629">
        <v>0</v>
      </c>
      <c r="E14" s="131" t="s">
        <v>1282</v>
      </c>
      <c r="F14" s="1755"/>
      <c r="G14" s="1755"/>
      <c r="H14" s="1755"/>
      <c r="I14" s="1371"/>
    </row>
    <row r="15" spans="1:12" ht="12.75">
      <c r="A15" s="3583"/>
      <c r="B15" s="3638"/>
      <c r="C15" s="3643"/>
      <c r="D15" s="3629"/>
      <c r="E15" s="131" t="s">
        <v>1283</v>
      </c>
      <c r="F15" s="1755"/>
      <c r="G15" s="1755"/>
      <c r="H15" s="1755"/>
      <c r="I15" s="1371"/>
    </row>
    <row r="16" spans="1:12" ht="12.75">
      <c r="A16" s="3583"/>
      <c r="B16" s="3638"/>
      <c r="C16" s="3642"/>
      <c r="D16" s="3629"/>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60" t="s">
        <v>2130</v>
      </c>
      <c r="F18" s="3661"/>
      <c r="G18" s="3661"/>
      <c r="H18" s="3661"/>
      <c r="I18" s="3661"/>
      <c r="K18" s="302" t="s">
        <v>1289</v>
      </c>
      <c r="L18" s="302">
        <f>IF(C1="",'数据-汇总表'!E3,SUMIF(项目类型,C1,'数据-汇总表'!E17:E26)+SUMIF(项目类型,C1,'数据-汇总表'!I17:I26))</f>
        <v>15080.55</v>
      </c>
      <c r="M18" s="302">
        <f>IF(C1="",'数据-汇总表'!E3,SUMIF(项目类型,C1,'数据-汇总表'!E17:E26))</f>
        <v>15080.55</v>
      </c>
    </row>
    <row r="19" spans="1:36" ht="15">
      <c r="A19" s="1759" t="s">
        <v>1290</v>
      </c>
      <c r="B19" s="1760" t="s">
        <v>1291</v>
      </c>
      <c r="C19" s="134">
        <f ca="1">SUMIF(INDIRECT("'"&amp;C4&amp;"'"&amp;"!A:A"),结果表!B19,INDIRECT("'"&amp;C4&amp;"'"&amp;"!B:B"))</f>
        <v>6</v>
      </c>
      <c r="D19" s="135">
        <f ca="1">SUMIF(INDIRECT("'"&amp;D4&amp;"'"&amp;"!A:A"),结果表!B19,INDIRECT("'"&amp;D4&amp;"'"&amp;"!B:B"))</f>
        <v>6</v>
      </c>
      <c r="E19" s="1759" t="s">
        <v>1292</v>
      </c>
      <c r="F19" s="1760" t="s">
        <v>1291</v>
      </c>
      <c r="G19" s="136">
        <f ca="1">ROUND(C19*$C$18+D19*$D$18,0)</f>
        <v>6</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4.0999999999999996</v>
      </c>
      <c r="D20" s="138">
        <f ca="1">SUMIF(INDIRECT("'"&amp;D4&amp;"'"&amp;"!A:A"),结果表!B20,INDIRECT("'"&amp;D4&amp;"'"&amp;"!B:B"))</f>
        <v>4.0999999999999996</v>
      </c>
      <c r="E20" s="1762"/>
      <c r="F20" s="1024" t="s">
        <v>1295</v>
      </c>
      <c r="G20" s="139">
        <f ca="1">ROUND(C20*$C$18+D20*$D$18,0)</f>
        <v>4</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0</v>
      </c>
      <c r="E22" s="129"/>
      <c r="F22" s="129"/>
      <c r="G22" s="129"/>
      <c r="H22" s="129"/>
      <c r="I22" s="129"/>
    </row>
    <row r="23" spans="1:36" ht="13.5" thickBot="1">
      <c r="A23" s="1745"/>
      <c r="B23" s="1745"/>
      <c r="C23" s="1745"/>
      <c r="D23" s="1745"/>
      <c r="E23" s="129"/>
      <c r="F23" s="129"/>
      <c r="G23" s="129"/>
      <c r="H23" s="129"/>
      <c r="I23" s="129"/>
    </row>
    <row r="24" spans="1:36" ht="14.25">
      <c r="A24" s="3653" t="s">
        <v>1299</v>
      </c>
      <c r="B24" s="1760" t="s">
        <v>1291</v>
      </c>
      <c r="C24" s="136">
        <f>IF(B30=0,0,D30)</f>
        <v>0</v>
      </c>
      <c r="D24" s="1767"/>
      <c r="E24" s="129"/>
      <c r="F24" s="129"/>
      <c r="G24" s="129"/>
      <c r="H24" s="129"/>
      <c r="I24" s="129"/>
    </row>
    <row r="25" spans="1:36" ht="14.25">
      <c r="A25" s="365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v>
      </c>
      <c r="D32" s="1773"/>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30" t="s">
        <v>1312</v>
      </c>
      <c r="B36" s="1785" t="s">
        <v>1313</v>
      </c>
      <c r="C36" s="145"/>
      <c r="D36" s="1786"/>
      <c r="E36" s="1787"/>
      <c r="F36" s="1788"/>
      <c r="G36" s="129"/>
      <c r="H36" s="129"/>
      <c r="I36" s="129"/>
    </row>
    <row r="37" spans="1:15" ht="15.75" thickBot="1">
      <c r="A37" s="3631"/>
      <c r="B37" s="1672" t="s">
        <v>1314</v>
      </c>
      <c r="C37" s="147"/>
      <c r="D37" s="1137"/>
      <c r="E37" s="1137"/>
      <c r="F37" s="1788"/>
      <c r="G37" s="129"/>
      <c r="H37" s="129"/>
      <c r="I37" s="129"/>
    </row>
    <row r="38" spans="1:15" ht="15.75" thickBot="1">
      <c r="A38" s="3632"/>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50" t="s">
        <v>1326</v>
      </c>
      <c r="B45" s="3651"/>
      <c r="C45" s="3652"/>
      <c r="D45" s="155" t="e">
        <f ca="1">ROUND(H101*F45,0)</f>
        <v>#REF!</v>
      </c>
      <c r="E45" s="156" t="s">
        <v>1327</v>
      </c>
      <c r="F45" s="157">
        <v>1</v>
      </c>
      <c r="G45" s="158" t="s">
        <v>1328</v>
      </c>
      <c r="H45" s="129"/>
      <c r="I45" s="129"/>
      <c r="J45" s="3570" t="s">
        <v>1329</v>
      </c>
      <c r="K45" s="3570"/>
      <c r="L45" s="3570"/>
      <c r="M45" s="3570"/>
      <c r="N45" s="3570"/>
      <c r="O45" s="3570"/>
    </row>
    <row r="46" spans="1:15" ht="14.25" customHeight="1">
      <c r="A46" s="3647" t="s">
        <v>1330</v>
      </c>
      <c r="B46" s="3648"/>
      <c r="C46" s="3648"/>
      <c r="D46" s="3648"/>
      <c r="E46" s="3648"/>
      <c r="F46" s="3648"/>
      <c r="G46" s="3649"/>
      <c r="H46" s="1804"/>
      <c r="I46" s="159"/>
      <c r="J46" s="2521">
        <v>1</v>
      </c>
      <c r="K46" s="3571" t="s">
        <v>1331</v>
      </c>
      <c r="L46" s="3571"/>
      <c r="M46" s="3572"/>
      <c r="N46" s="3572"/>
      <c r="O46" s="3572"/>
    </row>
    <row r="47" spans="1:15" ht="12" customHeight="1">
      <c r="A47" s="160" t="s">
        <v>1332</v>
      </c>
      <c r="B47" s="161"/>
      <c r="C47" s="162"/>
      <c r="D47" s="1085" t="s">
        <v>1333</v>
      </c>
      <c r="E47" s="302" t="s">
        <v>1334</v>
      </c>
      <c r="F47" s="163" t="s">
        <v>1335</v>
      </c>
      <c r="G47" s="2544" t="s">
        <v>1336</v>
      </c>
      <c r="H47" s="2545"/>
      <c r="I47" s="159"/>
      <c r="J47" s="2521">
        <v>2</v>
      </c>
      <c r="K47" s="3571" t="s">
        <v>1337</v>
      </c>
      <c r="L47" s="3571"/>
      <c r="M47" s="3573">
        <f>'数据-取费表'!B2</f>
        <v>45212</v>
      </c>
      <c r="N47" s="3573"/>
      <c r="O47" s="3573"/>
    </row>
    <row r="48" spans="1:15" ht="25.5">
      <c r="A48" s="3633" t="s">
        <v>1338</v>
      </c>
      <c r="B48" s="3634"/>
      <c r="C48" s="363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71" t="s">
        <v>1340</v>
      </c>
      <c r="L48" s="3571"/>
      <c r="M48" s="3574" t="e">
        <f ca="1">H101</f>
        <v>#REF!</v>
      </c>
      <c r="N48" s="3574"/>
      <c r="O48" s="3574"/>
    </row>
    <row r="49" spans="1:35" ht="25.5" customHeight="1">
      <c r="A49" s="2331" t="s">
        <v>1341</v>
      </c>
      <c r="B49" s="3619" t="s">
        <v>1342</v>
      </c>
      <c r="C49" s="3619"/>
      <c r="D49" s="1588">
        <v>0</v>
      </c>
      <c r="E49" s="324" t="s">
        <v>1343</v>
      </c>
      <c r="F49" s="2422" t="s">
        <v>28</v>
      </c>
      <c r="G49" s="3602"/>
      <c r="H49" s="2308" t="s">
        <v>2133</v>
      </c>
      <c r="I49" s="2309"/>
      <c r="J49" s="2521">
        <v>4</v>
      </c>
      <c r="K49" s="3571" t="str">
        <f>IF(项目基本情况!E8="房地产抵押价值","房地产抵押价值","抵押担保权已注销时的房地产抵押价值")</f>
        <v>房地产抵押价值</v>
      </c>
      <c r="L49" s="3571"/>
      <c r="M49" s="3574" t="str">
        <f ca="1">IF(项目基本情况!E8="房地产抵押价值",H107,H109)</f>
        <v>——</v>
      </c>
      <c r="N49" s="3574"/>
      <c r="O49" s="3574"/>
    </row>
    <row r="50" spans="1:35" ht="25.5" customHeight="1">
      <c r="A50" s="2549"/>
      <c r="B50" s="3619" t="s">
        <v>1344</v>
      </c>
      <c r="C50" s="3619"/>
      <c r="D50" s="2550"/>
      <c r="E50" s="332"/>
      <c r="F50" s="2422"/>
      <c r="G50" s="3603"/>
      <c r="H50" s="2310" t="s">
        <v>2134</v>
      </c>
      <c r="I50" s="2309"/>
      <c r="J50" s="3570" t="s">
        <v>1345</v>
      </c>
      <c r="K50" s="3570"/>
      <c r="L50" s="3570"/>
      <c r="M50" s="3570"/>
      <c r="N50" s="3570"/>
      <c r="O50" s="3570"/>
    </row>
    <row r="51" spans="1:35" ht="20.45" customHeight="1">
      <c r="A51" s="2551"/>
      <c r="B51" s="3619" t="s">
        <v>1346</v>
      </c>
      <c r="C51" s="3619"/>
      <c r="D51" s="1085"/>
      <c r="E51" s="327"/>
      <c r="F51" s="2422"/>
      <c r="G51" s="3604"/>
      <c r="H51" s="2310" t="s">
        <v>2135</v>
      </c>
      <c r="I51" s="2309"/>
      <c r="J51" s="2522" t="s">
        <v>1347</v>
      </c>
      <c r="K51" s="3571" t="s">
        <v>1348</v>
      </c>
      <c r="L51" s="3571"/>
      <c r="M51" s="2522" t="s">
        <v>1349</v>
      </c>
      <c r="N51" s="2522" t="s">
        <v>1350</v>
      </c>
      <c r="O51" s="2522" t="s">
        <v>1351</v>
      </c>
    </row>
    <row r="52" spans="1:35" ht="24" customHeight="1">
      <c r="A52" s="2333" t="s">
        <v>1352</v>
      </c>
      <c r="B52" s="3619" t="s">
        <v>1353</v>
      </c>
      <c r="C52" s="3619"/>
      <c r="D52" s="1085" t="e">
        <f ca="1">ROUND(D45*'数据-取费表'!B41/(1+'数据-取费表'!C42),0)</f>
        <v>#REF!</v>
      </c>
      <c r="E52" s="2332" t="s">
        <v>1354</v>
      </c>
      <c r="F52" s="2552">
        <f>'数据-取费表'!B41</f>
        <v>5.6000000000000001E-2</v>
      </c>
      <c r="G52" s="2553"/>
      <c r="H52" s="2542"/>
      <c r="I52" s="1805"/>
      <c r="J52" s="2521">
        <v>1</v>
      </c>
      <c r="K52" s="3596" t="s">
        <v>1355</v>
      </c>
      <c r="L52" s="3596"/>
      <c r="M52" s="2523" t="b">
        <f>D48</f>
        <v>0</v>
      </c>
      <c r="N52" s="2521" t="str">
        <f>E48</f>
        <v>销售额×税（费）率</v>
      </c>
      <c r="O52" s="2524">
        <f>F48</f>
        <v>5.6000000000000001E-2</v>
      </c>
    </row>
    <row r="53" spans="1:35" ht="12" customHeight="1">
      <c r="A53" s="2333" t="s">
        <v>1356</v>
      </c>
      <c r="B53" s="3620" t="s">
        <v>2290</v>
      </c>
      <c r="C53" s="3621"/>
      <c r="D53" s="1085" t="e">
        <f ca="1">ROUND(D45*'数据-取费表'!B41/(1+'数据-取费表'!C42),0)</f>
        <v>#REF!</v>
      </c>
      <c r="E53" s="2332" t="s">
        <v>1354</v>
      </c>
      <c r="F53" s="2552">
        <f>'数据-取费表'!B41</f>
        <v>5.6000000000000001E-2</v>
      </c>
      <c r="G53" s="2553"/>
      <c r="H53" s="2542"/>
      <c r="I53" s="1805"/>
      <c r="J53" s="2521">
        <v>2</v>
      </c>
      <c r="K53" s="3596" t="s">
        <v>1357</v>
      </c>
      <c r="L53" s="3596"/>
      <c r="M53" s="2523" t="e">
        <f t="shared" ref="M53:O54" ca="1" si="0">D55</f>
        <v>#REF!</v>
      </c>
      <c r="N53" s="2521" t="str">
        <f t="shared" si="0"/>
        <v>销售额×税（费）率</v>
      </c>
      <c r="O53" s="2524" t="str">
        <f t="shared" si="0"/>
        <v>免征</v>
      </c>
    </row>
    <row r="54" spans="1:35" ht="12" customHeight="1">
      <c r="A54" s="2333" t="s">
        <v>1358</v>
      </c>
      <c r="B54" s="3620" t="s">
        <v>2291</v>
      </c>
      <c r="C54" s="3621"/>
      <c r="D54" s="1085" t="e">
        <f ca="1">C68</f>
        <v>#REF!</v>
      </c>
      <c r="E54" s="327" t="s">
        <v>1359</v>
      </c>
      <c r="F54" s="2552">
        <f>'数据-取费表'!B41</f>
        <v>5.6000000000000001E-2</v>
      </c>
      <c r="G54" s="2553"/>
      <c r="H54" s="2554"/>
      <c r="I54" s="1805"/>
      <c r="J54" s="2521">
        <v>3</v>
      </c>
      <c r="K54" s="3596" t="s">
        <v>1360</v>
      </c>
      <c r="L54" s="3596"/>
      <c r="M54" s="2523" t="e">
        <f t="shared" ca="1" si="0"/>
        <v>#REF!</v>
      </c>
      <c r="N54" s="2521" t="str">
        <f t="shared" si="0"/>
        <v>增值额×税（费）率</v>
      </c>
      <c r="O54" s="2525" t="str">
        <f t="shared" si="0"/>
        <v>免征</v>
      </c>
    </row>
    <row r="55" spans="1:35" ht="24" customHeight="1">
      <c r="A55" s="3656" t="s">
        <v>1361</v>
      </c>
      <c r="B55" s="3634"/>
      <c r="C55" s="3634"/>
      <c r="D55" s="2322" t="e">
        <f ca="1">IF(H55="个人住宅",0,ROUND(D45*I55,0))</f>
        <v>#REF!</v>
      </c>
      <c r="E55" s="2332" t="s">
        <v>1362</v>
      </c>
      <c r="F55" s="2552" t="str">
        <f>IF(H55="正常",I55,"免征")</f>
        <v>免征</v>
      </c>
      <c r="G55" s="2553"/>
      <c r="H55" s="2548"/>
      <c r="I55" s="165">
        <f>'数据-取费表'!B49</f>
        <v>5.0000000000000001E-4</v>
      </c>
      <c r="J55" s="2521">
        <f>IF(H59="非个人房产","",4)</f>
        <v>4</v>
      </c>
      <c r="K55" s="3596" t="str">
        <f>IF(H59="非个人房产","——","个人所得税")</f>
        <v>个人所得税</v>
      </c>
      <c r="L55" s="3596"/>
      <c r="M55" s="2526" t="e">
        <f ca="1">D59</f>
        <v>#REF!</v>
      </c>
      <c r="N55" s="2038" t="str">
        <f>E59</f>
        <v>差额计税</v>
      </c>
      <c r="O55" s="2527">
        <f>F59</f>
        <v>0.01</v>
      </c>
    </row>
    <row r="56" spans="1:35" ht="24.75">
      <c r="A56" s="3656" t="s">
        <v>1363</v>
      </c>
      <c r="B56" s="3634"/>
      <c r="C56" s="3634"/>
      <c r="D56" s="2322" t="e">
        <f ca="1">IF(H56="个人住宅",D57,D58)</f>
        <v>#REF!</v>
      </c>
      <c r="E56" s="2332" t="s">
        <v>1364</v>
      </c>
      <c r="F56" s="2552" t="str">
        <f>IF(H56="正常",F58,"免征")</f>
        <v>免征</v>
      </c>
      <c r="G56" s="2555" t="s">
        <v>1365</v>
      </c>
      <c r="H56" s="2556"/>
      <c r="I56" s="1806"/>
      <c r="J56" s="2521" t="str">
        <f>IF(项目基本情况!K6="上海银行",IF(J55="",4,J55+1),"")</f>
        <v/>
      </c>
      <c r="K56" s="3577" t="str">
        <f>IF(项目基本情况!K6="上海银行","其他处置费用","")</f>
        <v/>
      </c>
      <c r="L56" s="3578"/>
      <c r="M56" s="2523" t="str">
        <f>IF(项目基本情况!K6="上海银行",M69,"")</f>
        <v/>
      </c>
      <c r="N56" s="3577" t="str">
        <f>IF(项目基本情况!K6="上海银行","包含处置中涉及的律师、诉讼、拍卖、评估等费用","")</f>
        <v/>
      </c>
      <c r="O56" s="3580"/>
    </row>
    <row r="57" spans="1:35" ht="12.75">
      <c r="A57" s="2333" t="s">
        <v>1341</v>
      </c>
      <c r="B57" s="3620" t="s">
        <v>1366</v>
      </c>
      <c r="C57" s="3621"/>
      <c r="D57" s="1588">
        <v>0</v>
      </c>
      <c r="E57" s="324" t="s">
        <v>1343</v>
      </c>
      <c r="F57" s="302"/>
      <c r="G57" s="2553"/>
      <c r="H57" s="2557"/>
      <c r="I57" s="1806"/>
      <c r="J57" s="3596">
        <f>IF(AND(J55="",J56=""),4,IF(项目基本情况!K6="上海银行",结果表!J56+1,结果表!J55+1))</f>
        <v>5</v>
      </c>
      <c r="K57" s="3596" t="s">
        <v>1367</v>
      </c>
      <c r="L57" s="2528" t="s">
        <v>1368</v>
      </c>
      <c r="M57" s="2529"/>
      <c r="N57" s="2530">
        <f ca="1">SUMIF(M52:M56,"&lt;9e307")</f>
        <v>0</v>
      </c>
      <c r="O57" s="2531"/>
      <c r="P57" s="2688" t="e">
        <f ca="1">N57/M49</f>
        <v>#VALUE!</v>
      </c>
    </row>
    <row r="58" spans="1:35" ht="24.75">
      <c r="A58" s="2333" t="s">
        <v>1352</v>
      </c>
      <c r="B58" s="3620" t="s">
        <v>1369</v>
      </c>
      <c r="C58" s="3619"/>
      <c r="D58" s="2322" t="e">
        <f ca="1">IF(H58="转让取得",C81,C97)</f>
        <v>#REF!</v>
      </c>
      <c r="E58" s="2332" t="s">
        <v>1364</v>
      </c>
      <c r="F58" s="302" t="s">
        <v>28</v>
      </c>
      <c r="G58" s="2553"/>
      <c r="H58" s="2556"/>
      <c r="I58" s="1806"/>
      <c r="J58" s="3596"/>
      <c r="K58" s="3596"/>
      <c r="L58" s="2528" t="s">
        <v>1370</v>
      </c>
      <c r="M58" s="2532"/>
      <c r="N58" s="2533" t="str">
        <f ca="1">NUMBERSTRING(INT(N57*10000),2)&amp;"元整"</f>
        <v>零元整</v>
      </c>
      <c r="O58" s="2534"/>
    </row>
    <row r="59" spans="1:35" ht="24.75" thickBot="1">
      <c r="A59" s="3600" t="s">
        <v>1371</v>
      </c>
      <c r="B59" s="3601"/>
      <c r="C59" s="360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98">
        <f>J57+1</f>
        <v>6</v>
      </c>
      <c r="K59" s="3596" t="s">
        <v>1372</v>
      </c>
      <c r="L59" s="2521" t="s">
        <v>1368</v>
      </c>
      <c r="M59" s="2535"/>
      <c r="N59" s="2536" t="e">
        <f ca="1">M49-N57</f>
        <v>#VALUE!</v>
      </c>
      <c r="O59" s="2537"/>
    </row>
    <row r="60" spans="1:35" ht="12" customHeight="1">
      <c r="A60" s="1807"/>
      <c r="B60" s="1745"/>
      <c r="C60" s="1745"/>
      <c r="D60" s="1745"/>
      <c r="E60" s="1576"/>
      <c r="F60" s="1806"/>
      <c r="G60" s="1806"/>
      <c r="H60" s="1808"/>
      <c r="I60" s="129"/>
      <c r="J60" s="3599"/>
      <c r="K60" s="3596"/>
      <c r="L60" s="2528" t="s">
        <v>1370</v>
      </c>
      <c r="M60" s="2532"/>
      <c r="N60" s="2533" t="e">
        <f ca="1">NUMBERSTRING(INT(N59*10000),2)&amp;"元整"</f>
        <v>#VALUE!</v>
      </c>
      <c r="O60" s="2534"/>
    </row>
    <row r="61" spans="1:35" ht="13.5" thickBot="1">
      <c r="A61" s="3655" t="s">
        <v>1373</v>
      </c>
      <c r="B61" s="3655"/>
      <c r="C61" s="3655"/>
      <c r="D61" s="3655"/>
      <c r="E61" s="3655"/>
      <c r="F61" s="1806"/>
      <c r="G61" s="1806"/>
      <c r="H61" s="1808"/>
      <c r="I61" s="129"/>
      <c r="J61" s="2521">
        <f>J59+1</f>
        <v>7</v>
      </c>
      <c r="K61" s="3596" t="s">
        <v>1374</v>
      </c>
      <c r="L61" s="3596"/>
      <c r="M61" s="2538"/>
      <c r="N61" s="2539" t="e">
        <f ca="1">ROUND(N59*10000/'数据-汇总表'!E3,0)</f>
        <v>#VALUE!</v>
      </c>
      <c r="O61" s="2540"/>
    </row>
    <row r="62" spans="1:35" ht="12.75">
      <c r="A62" s="3615" t="s">
        <v>1375</v>
      </c>
      <c r="B62" s="361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79" t="s">
        <v>1379</v>
      </c>
      <c r="K63" s="1330" t="s">
        <v>1380</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579"/>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579"/>
      <c r="K65" s="1330" t="s">
        <v>1385</v>
      </c>
      <c r="L65" s="1330"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579"/>
      <c r="K66" s="1330" t="s">
        <v>1387</v>
      </c>
      <c r="L66" s="1330"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79"/>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79"/>
      <c r="K68" s="1330" t="s">
        <v>1392</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579"/>
      <c r="K69" s="1330" t="s">
        <v>1393</v>
      </c>
      <c r="L69" s="1330"/>
      <c r="M69" s="302" t="e">
        <f ca="1">ROUND(SUM(M63:M68),0)</f>
        <v>#VALUE!</v>
      </c>
      <c r="N69" s="2543" t="e">
        <f ca="1">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23" t="s">
        <v>1394</v>
      </c>
      <c r="B70" s="3624"/>
      <c r="C70" s="3624"/>
      <c r="D70" s="3624"/>
      <c r="E70" s="3624"/>
      <c r="F70" s="3624"/>
      <c r="G70" s="3624"/>
      <c r="H70" s="362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5" t="s">
        <v>1375</v>
      </c>
      <c r="B71" s="361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20" t="s">
        <v>1402</v>
      </c>
      <c r="F76" s="3619"/>
      <c r="G76" s="3619"/>
      <c r="H76" s="362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612" t="s">
        <v>1406</v>
      </c>
      <c r="F78" s="3613"/>
      <c r="G78" s="3613"/>
      <c r="H78" s="361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3" t="s">
        <v>1410</v>
      </c>
      <c r="B83" s="3624"/>
      <c r="C83" s="3624"/>
      <c r="D83" s="3624"/>
      <c r="E83" s="3624"/>
      <c r="F83" s="3624"/>
      <c r="G83" s="3624"/>
      <c r="H83" s="362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5" t="s">
        <v>1375</v>
      </c>
      <c r="B84" s="361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81" t="s">
        <v>2128</v>
      </c>
      <c r="H90" s="358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12" t="s">
        <v>1419</v>
      </c>
      <c r="F91" s="3613"/>
      <c r="G91" s="361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12" t="s">
        <v>1422</v>
      </c>
      <c r="F92" s="3613"/>
      <c r="G92" s="3613"/>
      <c r="H92" s="361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612" t="s">
        <v>1406</v>
      </c>
      <c r="F93" s="3613"/>
      <c r="G93" s="3613"/>
      <c r="H93" s="361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57" t="s">
        <v>1426</v>
      </c>
      <c r="F94" s="3658"/>
      <c r="G94" s="3658"/>
      <c r="H94" s="365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1" t="s">
        <v>1428</v>
      </c>
      <c r="B100" s="3562"/>
      <c r="C100" s="3562"/>
      <c r="D100" s="3597"/>
      <c r="E100" s="3562" t="s">
        <v>1429</v>
      </c>
      <c r="F100" s="3562"/>
      <c r="G100" s="3562"/>
      <c r="H100" s="3597"/>
      <c r="I100" s="129"/>
    </row>
    <row r="101" spans="1:35" ht="18.75" customHeight="1">
      <c r="A101" s="3605" t="s">
        <v>1430</v>
      </c>
      <c r="B101" s="3606"/>
      <c r="C101" s="2583" t="str">
        <f>C4</f>
        <v>比较法-办公</v>
      </c>
      <c r="D101" s="2584" t="str">
        <f>D4</f>
        <v>比较法-办公</v>
      </c>
      <c r="E101" s="3575" t="s">
        <v>1431</v>
      </c>
      <c r="F101" s="3576"/>
      <c r="G101" s="1825" t="s">
        <v>1432</v>
      </c>
      <c r="H101" s="2593" t="e">
        <f ca="1">H118</f>
        <v>#REF!</v>
      </c>
      <c r="I101" s="129"/>
    </row>
    <row r="102" spans="1:35" ht="18.75" customHeight="1">
      <c r="A102" s="3607" t="s">
        <v>1433</v>
      </c>
      <c r="B102" s="2582" t="s">
        <v>1432</v>
      </c>
      <c r="C102" s="2583">
        <f ca="1">IF(D32="楼面单价",ROUND(C19,0),C19)</f>
        <v>6</v>
      </c>
      <c r="D102" s="2584">
        <f ca="1">IF(D32="楼面单价",ROUND(D19,0),D19)</f>
        <v>6</v>
      </c>
      <c r="E102" s="3575"/>
      <c r="F102" s="3576"/>
      <c r="G102" s="1825" t="s">
        <v>1434</v>
      </c>
      <c r="H102" s="2553" t="e">
        <f ca="1">I118</f>
        <v>#REF!</v>
      </c>
      <c r="I102" s="129"/>
    </row>
    <row r="103" spans="1:35" ht="42.75" customHeight="1">
      <c r="A103" s="3607"/>
      <c r="B103" s="2582" t="s">
        <v>1434</v>
      </c>
      <c r="C103" s="2585">
        <f ca="1">C20</f>
        <v>4.0999999999999996</v>
      </c>
      <c r="D103" s="2586">
        <f ca="1">D20</f>
        <v>4.0999999999999996</v>
      </c>
      <c r="E103" s="3568" t="s">
        <v>1435</v>
      </c>
      <c r="F103" s="3569"/>
      <c r="G103" s="1826" t="s">
        <v>1436</v>
      </c>
      <c r="H103" s="2593">
        <f>IF(D36="正常操作",H104+H105+H106,H105+H106)</f>
        <v>0</v>
      </c>
      <c r="I103" s="129"/>
    </row>
    <row r="104" spans="1:35" ht="18.75" customHeight="1">
      <c r="A104" s="360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17"/>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8" t="str">
        <f>IF(项目基本情况!E8="已注销","——","3.房地产抵押价值")</f>
        <v>3.房地产抵押价值</v>
      </c>
      <c r="F107" s="3576"/>
      <c r="G107" s="1825" t="s">
        <v>1432</v>
      </c>
      <c r="H107" s="2593" t="e">
        <f ca="1">IF(E107="——","——",H101-H103)</f>
        <v>#REF!</v>
      </c>
      <c r="I107" s="129"/>
    </row>
    <row r="108" spans="1:35" ht="18.75" customHeight="1">
      <c r="A108" s="129"/>
      <c r="B108" s="129"/>
      <c r="C108" s="129"/>
      <c r="D108" s="129"/>
      <c r="E108" s="3608"/>
      <c r="F108" s="3576"/>
      <c r="G108" s="1825" t="s">
        <v>1434</v>
      </c>
      <c r="H108" s="2553">
        <f ca="1">IF(H107=H101,H102,ROUND(H107*10000/'数据-汇总表'!E3,0))</f>
        <v>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5" t="s">
        <v>1432</v>
      </c>
      <c r="H109" s="2596" t="str">
        <f>IF(E109="——","——",H101-H105-H106)</f>
        <v>——</v>
      </c>
      <c r="I109" s="129"/>
    </row>
    <row r="110" spans="1:35" ht="18.75" customHeight="1">
      <c r="A110" s="129"/>
      <c r="B110" s="129"/>
      <c r="C110" s="129"/>
      <c r="D110" s="129"/>
      <c r="E110" s="3608"/>
      <c r="F110" s="3576"/>
      <c r="G110" s="1825" t="s">
        <v>1434</v>
      </c>
      <c r="H110" s="2553"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5" t="s">
        <v>1432</v>
      </c>
      <c r="H111" s="2593" t="str">
        <f>IF(E111="——","——",N59)</f>
        <v>——</v>
      </c>
      <c r="I111" s="129"/>
    </row>
    <row r="112" spans="1:35" ht="18.75" customHeight="1" thickBot="1">
      <c r="A112" s="129"/>
      <c r="B112" s="129"/>
      <c r="C112" s="129"/>
      <c r="D112" s="129"/>
      <c r="E112" s="3610"/>
      <c r="F112" s="3611"/>
      <c r="G112" s="1828" t="s">
        <v>1434</v>
      </c>
      <c r="H112" s="2597" t="str">
        <f>IF(E111="——","——",N61)</f>
        <v>——</v>
      </c>
      <c r="I112" s="129"/>
    </row>
    <row r="113" spans="1:27" ht="18.75" customHeight="1">
      <c r="A113" s="129"/>
      <c r="B113" s="129"/>
      <c r="C113" s="129"/>
      <c r="D113" s="129"/>
      <c r="E113" s="3618" t="s">
        <v>1440</v>
      </c>
      <c r="F113" s="3618"/>
      <c r="G113" s="3618"/>
      <c r="H113" s="3618"/>
      <c r="I113" s="129"/>
    </row>
    <row r="114" spans="1:27" ht="3.75" customHeight="1">
      <c r="A114" s="1745"/>
      <c r="B114" s="1745"/>
      <c r="C114" s="1745"/>
      <c r="D114" s="1745"/>
      <c r="E114" s="1807"/>
      <c r="F114" s="1807"/>
      <c r="G114" s="1807"/>
      <c r="H114" s="1807"/>
      <c r="I114" s="1745"/>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7" t="s">
        <v>1449</v>
      </c>
      <c r="E117" s="2327" t="s">
        <v>1450</v>
      </c>
      <c r="F117" s="2327" t="s">
        <v>1449</v>
      </c>
      <c r="G117" s="2327" t="s">
        <v>1451</v>
      </c>
      <c r="H117" s="2327" t="s">
        <v>1449</v>
      </c>
      <c r="I117" s="2327" t="s">
        <v>1451</v>
      </c>
    </row>
    <row r="118" spans="1:27" ht="24.75" customHeight="1">
      <c r="A118" s="2598" t="str">
        <f>项目基本情况!S2</f>
        <v>北京市石景山玉泉路59号院2号楼4层401-1501房地产</v>
      </c>
      <c r="B118" s="2327">
        <f>M18</f>
        <v>15080.55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83" t="s">
        <v>1452</v>
      </c>
      <c r="B119" s="3583"/>
      <c r="C119" s="3583"/>
      <c r="D119" s="3589" t="e">
        <f ca="1">NUMBERSTRING(INT(D118*10000),2)&amp;"元整"</f>
        <v>#REF!</v>
      </c>
      <c r="E119" s="3590"/>
      <c r="F119" s="3589" t="e">
        <f ca="1">NUMBERSTRING(INT(F118*10000),2)&amp;"元整"</f>
        <v>#REF!</v>
      </c>
      <c r="G119" s="3590"/>
      <c r="H119" s="3589" t="e">
        <f ca="1">NUMBERSTRING(INT(H118*10000),2)&amp;"元整"</f>
        <v>#REF!</v>
      </c>
      <c r="I119" s="3590"/>
    </row>
    <row r="120" spans="1:27" ht="18.75" customHeight="1">
      <c r="A120" s="3584" t="str">
        <f>IF(项目基本情况!B9="房地产市场价值","",MID(E103,3,LEN(E103)-2))</f>
        <v/>
      </c>
      <c r="B120" s="3585"/>
      <c r="C120" s="3586"/>
      <c r="D120" s="3584">
        <f>H103</f>
        <v>0</v>
      </c>
      <c r="E120" s="3585"/>
      <c r="F120" s="3585"/>
      <c r="G120" s="3585"/>
      <c r="H120" s="3585"/>
      <c r="I120" s="3586"/>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89" t="s">
        <v>1452</v>
      </c>
      <c r="B121" s="3591"/>
      <c r="C121" s="3590"/>
      <c r="D121" s="3589" t="str">
        <f>IF(D120=0,"零元整",NUMBERSTRING(INT(D120*10000),2)&amp;"元整")</f>
        <v>零元整</v>
      </c>
      <c r="E121" s="3591"/>
      <c r="F121" s="3591"/>
      <c r="G121" s="3591"/>
      <c r="H121" s="3591"/>
      <c r="I121" s="3590"/>
      <c r="AA121" s="724"/>
    </row>
    <row r="122" spans="1:27" ht="18.75" customHeight="1">
      <c r="A122" s="3595" t="str">
        <f>IF(项目基本情况!B9="房地产市场价值","",MID(E107,3,LEN(E107)-2))</f>
        <v/>
      </c>
      <c r="B122" s="3595"/>
      <c r="C122" s="3595"/>
      <c r="D122" s="3584" t="e">
        <f ca="1">H107</f>
        <v>#REF!</v>
      </c>
      <c r="E122" s="3585"/>
      <c r="F122" s="3585"/>
      <c r="G122" s="3585"/>
      <c r="H122" s="3585"/>
      <c r="I122" s="3586"/>
      <c r="AA122" s="724"/>
    </row>
    <row r="123" spans="1:27" ht="18.75" customHeight="1">
      <c r="A123" s="3583" t="s">
        <v>1452</v>
      </c>
      <c r="B123" s="3583"/>
      <c r="C123" s="3583"/>
      <c r="D123" s="3589" t="e">
        <f ca="1">NUMBERSTRING(INT(D122*10000),2)&amp;"元整"</f>
        <v>#REF!</v>
      </c>
      <c r="E123" s="3591"/>
      <c r="F123" s="3591"/>
      <c r="G123" s="3591"/>
      <c r="H123" s="3591"/>
      <c r="I123" s="3590"/>
      <c r="AA123" s="724"/>
    </row>
    <row r="124" spans="1:27" ht="18.75" customHeight="1">
      <c r="A124" s="3595" t="str">
        <f>IF(项目基本情况!B9="房地产市场价值","",MID(E109,3,LEN(E109)-2))</f>
        <v/>
      </c>
      <c r="B124" s="3595"/>
      <c r="C124" s="3595"/>
      <c r="D124" s="3584" t="str">
        <f>H109</f>
        <v>——</v>
      </c>
      <c r="E124" s="3585"/>
      <c r="F124" s="3585"/>
      <c r="G124" s="3585"/>
      <c r="H124" s="3585"/>
      <c r="I124" s="3586"/>
      <c r="AA124" s="724"/>
    </row>
    <row r="125" spans="1:27" ht="18.75" customHeight="1">
      <c r="A125" s="3583" t="s">
        <v>1452</v>
      </c>
      <c r="B125" s="3583"/>
      <c r="C125" s="3583"/>
      <c r="D125" s="3589" t="e">
        <f>NUMBERSTRING(INT(D124*10000),2)&amp;"元整"</f>
        <v>#VALUE!</v>
      </c>
      <c r="E125" s="3591"/>
      <c r="F125" s="3591"/>
      <c r="G125" s="3591"/>
      <c r="H125" s="3591"/>
      <c r="I125" s="3590"/>
      <c r="AA125" s="724"/>
    </row>
    <row r="126" spans="1:27" ht="18.75" customHeight="1">
      <c r="A126" s="3595" t="str">
        <f>IF(项目基本情况!B9="房地产市场价值","",MID(E111,3,LEN(E111)-2))</f>
        <v/>
      </c>
      <c r="B126" s="3595"/>
      <c r="C126" s="3595"/>
      <c r="D126" s="3584" t="str">
        <f>H111</f>
        <v>——</v>
      </c>
      <c r="E126" s="3585"/>
      <c r="F126" s="3585"/>
      <c r="G126" s="3585"/>
      <c r="H126" s="3585"/>
      <c r="I126" s="3586"/>
      <c r="AA126" s="724"/>
    </row>
    <row r="127" spans="1:27" ht="18.75" customHeight="1">
      <c r="A127" s="3583" t="s">
        <v>1452</v>
      </c>
      <c r="B127" s="3583"/>
      <c r="C127" s="3583"/>
      <c r="D127" s="3589" t="e">
        <f>NUMBERSTRING(INT(D126*10000),2)&amp;"元整"</f>
        <v>#VALUE!</v>
      </c>
      <c r="E127" s="3591"/>
      <c r="F127" s="3591"/>
      <c r="G127" s="3591"/>
      <c r="H127" s="3591"/>
      <c r="I127" s="3590"/>
      <c r="AA127" s="724"/>
    </row>
    <row r="128" spans="1:27" ht="21.75" customHeight="1">
      <c r="A128" s="3592" t="s">
        <v>1453</v>
      </c>
      <c r="B128" s="3592"/>
      <c r="C128" s="3592"/>
      <c r="D128" s="3592"/>
      <c r="E128" s="3592"/>
      <c r="F128" s="3592"/>
      <c r="G128" s="3592"/>
      <c r="H128" s="3592"/>
      <c r="I128" s="3592"/>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8" t="str">
        <f>项目基本情况!B1</f>
        <v>北京市石景山玉泉路59号院2号楼4层401-1501房地产市场价值预评估</v>
      </c>
      <c r="C37" s="3478"/>
      <c r="D37" s="3478"/>
      <c r="E37" s="3478"/>
      <c r="F37" s="3478"/>
      <c r="G37" s="3478"/>
      <c r="H37" s="3478"/>
      <c r="I37" s="347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6840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4536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c r="H9" s="1135"/>
      <c r="I9" s="1856" t="s">
        <v>1479</v>
      </c>
    </row>
    <row r="10" spans="1:9" s="214" customFormat="1" ht="13.5" customHeight="1">
      <c r="A10" s="778" t="s">
        <v>356</v>
      </c>
      <c r="B10" s="224" t="s">
        <v>1480</v>
      </c>
      <c r="C10" s="225">
        <f ca="1">ROUND(D10*E10/10000,0)</f>
        <v>302</v>
      </c>
      <c r="D10" s="844">
        <f ca="1">IF(B1="",'数据-汇总表'!E6,IF(INDIRECT("'数据-取费表'!c"&amp;$G$1)="住宅",INDIRECT("'数据-取费表'!s"&amp;$G$1),INDIRECT("'数据-取费表'!k"&amp;$G$1)+INDIRECT("'数据-取费表'!s"&amp;$G$1)))</f>
        <v>15080.55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302</v>
      </c>
      <c r="D19" s="848">
        <f ca="1">D9+D10</f>
        <v>15080.55</v>
      </c>
      <c r="E19" s="211">
        <f>'数据-取费表'!B31</f>
        <v>200</v>
      </c>
      <c r="F19" s="231"/>
      <c r="G19" s="1854"/>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21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46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5923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5278</v>
      </c>
      <c r="D34" s="217"/>
      <c r="E34" s="220"/>
      <c r="F34" s="257">
        <f ca="1">IF('数据-取费表'!B24=0,1,IF(B1="",'数据-取费表'!N16,INDIRECT("'数据-取费表'!n"&amp;$G$1)))</f>
        <v>1</v>
      </c>
      <c r="G34" s="219" t="s">
        <v>1526</v>
      </c>
    </row>
    <row r="35" spans="1:7" ht="13.5" customHeight="1">
      <c r="A35" s="779" t="s">
        <v>351</v>
      </c>
      <c r="B35" s="215" t="s">
        <v>1527</v>
      </c>
      <c r="C35" s="220">
        <f ca="1">ROUND(C34*F35,0)</f>
        <v>264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302</v>
      </c>
      <c r="D37" s="217">
        <f ca="1">D19</f>
        <v>15080.55</v>
      </c>
      <c r="E37" s="249">
        <f>'数据-取费表'!B35</f>
        <v>200</v>
      </c>
      <c r="F37" s="259"/>
      <c r="G37" s="261" t="s">
        <v>1532</v>
      </c>
    </row>
    <row r="38" spans="1:7" ht="13.5" customHeight="1">
      <c r="A38" s="779" t="s">
        <v>354</v>
      </c>
      <c r="B38" s="215" t="s">
        <v>1533</v>
      </c>
      <c r="C38" s="220">
        <f ca="1">ROUND(C34*F38,0)</f>
        <v>79</v>
      </c>
      <c r="D38" s="220"/>
      <c r="E38" s="220"/>
      <c r="F38" s="259">
        <f>'数据-取费表'!B36</f>
        <v>1.4999999999999999E-2</v>
      </c>
      <c r="G38" s="219" t="s">
        <v>1528</v>
      </c>
    </row>
    <row r="39" spans="1:7" s="214" customFormat="1" ht="13.5" customHeight="1">
      <c r="A39" s="255" t="s">
        <v>1534</v>
      </c>
      <c r="B39" s="210" t="s">
        <v>1535</v>
      </c>
      <c r="C39" s="232">
        <f ca="1">ROUND(C33*F20,0)</f>
        <v>118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204</v>
      </c>
      <c r="D42" s="238"/>
      <c r="E42" s="238"/>
      <c r="F42" s="239"/>
      <c r="G42" s="3662" t="s">
        <v>1544</v>
      </c>
    </row>
    <row r="43" spans="1:7" ht="13.5" customHeight="1">
      <c r="A43" s="779" t="s">
        <v>347</v>
      </c>
      <c r="B43" s="215" t="s">
        <v>1545</v>
      </c>
      <c r="C43" s="238">
        <f ca="1">ROUND(IF('数据-取费表'!B22&lt;=1,C39*F22*'数据-取费表'!B21/2,C39*(POWER((1+F22),'数据-取费表'!B21/2)-1)),0)</f>
        <v>4</v>
      </c>
      <c r="D43" s="238"/>
      <c r="E43" s="238"/>
      <c r="F43" s="239"/>
      <c r="G43" s="3663"/>
    </row>
    <row r="44" spans="1:7" ht="13.5" customHeight="1">
      <c r="A44" s="779" t="s">
        <v>348</v>
      </c>
      <c r="B44" s="215" t="s">
        <v>1546</v>
      </c>
      <c r="C44" s="238">
        <f ca="1">ROUND(IF('数据-取费表'!B22&lt;=1,C40*F22*'数据-取费表'!B21/2,C40*(POWER((1+F22),'数据-取费表'!B21/2)-1)),4)</f>
        <v>6.9999999999999999E-4</v>
      </c>
      <c r="D44" s="238"/>
      <c r="E44" s="238"/>
      <c r="F44" s="239"/>
      <c r="G44" s="3664"/>
    </row>
    <row r="45" spans="1:7" s="214" customFormat="1" ht="13.5" customHeight="1">
      <c r="A45" s="255" t="s">
        <v>1547</v>
      </c>
      <c r="B45" s="244" t="s">
        <v>1513</v>
      </c>
      <c r="C45" s="245">
        <f ca="1">C46</f>
        <v>906</v>
      </c>
      <c r="D45" s="235">
        <f ca="1">C47</f>
        <v>3.0000000000000001E-3</v>
      </c>
      <c r="E45" s="236" t="s">
        <v>1539</v>
      </c>
      <c r="F45" s="246">
        <f ca="1">F27</f>
        <v>0.15</v>
      </c>
      <c r="G45" s="247" t="s">
        <v>1548</v>
      </c>
    </row>
    <row r="46" spans="1:7" s="214" customFormat="1" ht="13.5" customHeight="1">
      <c r="A46" s="779" t="s">
        <v>346</v>
      </c>
      <c r="B46" s="248" t="s">
        <v>1549</v>
      </c>
      <c r="C46" s="249">
        <f ca="1">ROUND((C33+C39)*F27,0)</f>
        <v>906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7752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6434</v>
      </c>
      <c r="D51" s="232"/>
      <c r="E51" s="232"/>
      <c r="F51" s="264"/>
      <c r="G51" s="234" t="s">
        <v>1560</v>
      </c>
    </row>
    <row r="52" spans="1:7" s="208" customFormat="1" ht="16.5" thickBot="1">
      <c r="A52" s="265" t="s">
        <v>1561</v>
      </c>
      <c r="B52" s="266"/>
      <c r="C52" s="267">
        <f ca="1">C31+C51</f>
        <v>6840</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7247.8792000000003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3016110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3016110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3016110</v>
      </c>
      <c r="D10" s="844">
        <f ca="1">IF(B1="",'数据-汇总表'!E6,IF(INDIRECT("'数据-取费表'!c"&amp;$G$1)="住宅",INDIRECT("'数据-取费表'!s"&amp;$G$1),INDIRECT("'数据-取费表'!k"&amp;$G$1)+INDIRECT("'数据-取费表'!s"&amp;$G$1)))</f>
        <v>15080.55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3016110</v>
      </c>
      <c r="D19" s="848">
        <f ca="1">D9+D10</f>
        <v>15080.55</v>
      </c>
      <c r="E19" s="211">
        <f>'数据-取费表'!B31</f>
        <v>200</v>
      </c>
      <c r="F19" s="231"/>
      <c r="G19" s="1854"/>
    </row>
    <row r="20" spans="1:7" s="214" customFormat="1" ht="13.5" customHeight="1">
      <c r="A20" s="255" t="s">
        <v>1574</v>
      </c>
      <c r="B20" s="210" t="s">
        <v>1575</v>
      </c>
      <c r="C20" s="232">
        <f ca="1">ROUND((C5+C19)*F20,0)</f>
        <v>120644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427566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211702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211702</v>
      </c>
      <c r="D24" s="238"/>
      <c r="E24" s="238"/>
      <c r="F24" s="239"/>
      <c r="G24" s="240" t="s">
        <v>1586</v>
      </c>
    </row>
    <row r="25" spans="1:7" s="214" customFormat="1" ht="24">
      <c r="A25" s="779" t="s">
        <v>1476</v>
      </c>
      <c r="B25" s="215" t="s">
        <v>1587</v>
      </c>
      <c r="C25" s="1126">
        <f ca="1">ROUND(IF('数据-取费表'!B22&lt;=1,C20*F22*'数据-取费表'!B22/2,C20*(POWER((1+F22),'数据-取费表'!B22/2)-1)),0)</f>
        <v>4162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922930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922930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8129317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59228860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52781925</v>
      </c>
      <c r="D34" s="217"/>
      <c r="E34" s="220"/>
      <c r="F34" s="257"/>
      <c r="G34" s="219"/>
    </row>
    <row r="35" spans="1:7" ht="13.5" customHeight="1">
      <c r="A35" s="779" t="s">
        <v>351</v>
      </c>
      <c r="B35" s="215" t="s">
        <v>1527</v>
      </c>
      <c r="C35" s="220">
        <f ca="1">ROUND(C34*F35,0)</f>
        <v>2639096</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3016110</v>
      </c>
      <c r="D37" s="217">
        <f ca="1">D19</f>
        <v>15080.55</v>
      </c>
      <c r="E37" s="249">
        <f>'数据-取费表'!B35</f>
        <v>200</v>
      </c>
      <c r="F37" s="259"/>
      <c r="G37" s="261"/>
    </row>
    <row r="38" spans="1:7" ht="13.5" customHeight="1">
      <c r="A38" s="779" t="s">
        <v>354</v>
      </c>
      <c r="B38" s="215" t="s">
        <v>1533</v>
      </c>
      <c r="C38" s="220">
        <f ca="1">ROUND(C34*F38,0)</f>
        <v>791729</v>
      </c>
      <c r="D38" s="220"/>
      <c r="E38" s="220"/>
      <c r="F38" s="259">
        <f>'数据-取费表'!B36</f>
        <v>1.4999999999999999E-2</v>
      </c>
      <c r="G38" s="219" t="s">
        <v>1528</v>
      </c>
    </row>
    <row r="39" spans="1:7" s="214" customFormat="1" ht="13.5" customHeight="1">
      <c r="A39" s="255" t="s">
        <v>1534</v>
      </c>
      <c r="B39" s="210" t="s">
        <v>1535</v>
      </c>
      <c r="C39" s="232">
        <f ca="1">ROUND(C33*F20,0)</f>
        <v>1184577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2084264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2043396</v>
      </c>
      <c r="D42" s="238"/>
      <c r="E42" s="238"/>
      <c r="F42" s="239"/>
      <c r="G42" s="3662" t="s">
        <v>1591</v>
      </c>
    </row>
    <row r="43" spans="1:7" ht="13.5" customHeight="1">
      <c r="A43" s="779" t="s">
        <v>347</v>
      </c>
      <c r="B43" s="215" t="s">
        <v>1545</v>
      </c>
      <c r="C43" s="238">
        <f ca="1">ROUND(IF('数据-取费表'!B22&lt;=1,C39*F22*'数据-取费表'!B20/2,C39*(POWER((1+F22),'数据-取费表'!B20/2)-1)),0)</f>
        <v>40868</v>
      </c>
      <c r="D43" s="238"/>
      <c r="E43" s="238"/>
      <c r="F43" s="239"/>
      <c r="G43" s="3663"/>
    </row>
    <row r="44" spans="1:7" ht="13.5" customHeight="1">
      <c r="A44" s="779" t="s">
        <v>348</v>
      </c>
      <c r="B44" s="215" t="s">
        <v>1546</v>
      </c>
      <c r="C44" s="238">
        <f ca="1">ROUND(IF('数据-取费表'!B22&lt;=1,C40*F22*'数据-取费表'!B20/2,C40*(POWER((1+F22),'数据-取费表'!B20/2)-1)),4)</f>
        <v>6.9999999999999999E-4</v>
      </c>
      <c r="D44" s="238"/>
      <c r="E44" s="238"/>
      <c r="F44" s="239"/>
      <c r="G44" s="3664"/>
    </row>
    <row r="45" spans="1:7" s="214" customFormat="1" ht="13.5" customHeight="1">
      <c r="A45" s="255" t="s">
        <v>1547</v>
      </c>
      <c r="B45" s="244" t="s">
        <v>1513</v>
      </c>
      <c r="C45" s="245">
        <f ca="1">C46</f>
        <v>9062016</v>
      </c>
      <c r="D45" s="235">
        <f ca="1">C47</f>
        <v>3.0000000000000001E-3</v>
      </c>
      <c r="E45" s="236" t="s">
        <v>1539</v>
      </c>
      <c r="F45" s="246">
        <f ca="1">F27</f>
        <v>0.15</v>
      </c>
      <c r="G45" s="247" t="s">
        <v>1548</v>
      </c>
    </row>
    <row r="46" spans="1:7" s="214" customFormat="1" ht="13.5" customHeight="1">
      <c r="A46" s="779" t="s">
        <v>346</v>
      </c>
      <c r="B46" s="248" t="s">
        <v>1549</v>
      </c>
      <c r="C46" s="249">
        <f ca="1">ROUND((C33+C39)*F27,0)</f>
        <v>9062016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77529488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64349475</v>
      </c>
      <c r="D51" s="232"/>
      <c r="E51" s="232"/>
      <c r="F51" s="264"/>
      <c r="G51" s="234" t="s">
        <v>1560</v>
      </c>
    </row>
    <row r="52" spans="1:7" s="208" customFormat="1" ht="16.5" thickBot="1">
      <c r="A52" s="265" t="s">
        <v>1561</v>
      </c>
      <c r="B52" s="266"/>
      <c r="C52" s="267">
        <f ca="1">C31+C51</f>
        <v>72478792</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-344</v>
      </c>
      <c r="C2" s="276" t="s">
        <v>1595</v>
      </c>
      <c r="D2" s="276"/>
      <c r="E2" s="2804"/>
      <c r="F2" s="2804"/>
      <c r="G2" s="2804"/>
      <c r="H2" s="2804"/>
      <c r="I2" s="2804"/>
      <c r="J2" s="2804"/>
      <c r="K2" s="2804"/>
    </row>
    <row r="3" spans="1:33" ht="18" customHeight="1" thickBot="1">
      <c r="A3" s="203" t="s">
        <v>1464</v>
      </c>
      <c r="B3" s="204">
        <f ca="1">ROUND(B2*10000/IF(C1="",'数据-汇总表'!E3,INDIRECT("'数据-取费表'!K"&amp;$K$1)),0)</f>
        <v>-228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15080.55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15080.55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302</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302</v>
      </c>
      <c r="D20" s="845">
        <f ca="1">IF(C1="",'数据-汇总表'!E6,IF(INDIRECT("'数据-取费表'!c"&amp;$K$1)="住宅",INDIRECT("'数据-取费表'!s"&amp;$K$1),INDIRECT("'数据-取费表'!k"&amp;$K$1)+INDIRECT("'数据-取费表'!s"&amp;$K$1)))</f>
        <v>15080.55</v>
      </c>
      <c r="E20" s="21">
        <f>'数据-取费表'!B28</f>
        <v>200</v>
      </c>
      <c r="F20" s="803"/>
      <c r="G20" s="12"/>
      <c r="H20" s="808"/>
      <c r="I20" s="808"/>
      <c r="J20" s="808"/>
      <c r="K20" s="809"/>
    </row>
    <row r="21" spans="1:33" s="802" customFormat="1" ht="13.5" customHeight="1">
      <c r="A21" s="789" t="s">
        <v>357</v>
      </c>
      <c r="B21" s="812" t="s">
        <v>1628</v>
      </c>
      <c r="C21" s="813">
        <f ca="1">C16+C17+C18</f>
        <v>302</v>
      </c>
      <c r="D21" s="814"/>
      <c r="E21" s="281"/>
      <c r="F21" s="281"/>
      <c r="G21" s="131" t="s">
        <v>1629</v>
      </c>
      <c r="H21" s="806"/>
      <c r="I21" s="806"/>
      <c r="J21" s="806"/>
      <c r="K21" s="807"/>
    </row>
    <row r="22" spans="1:33" s="802" customFormat="1" ht="13.5" customHeight="1">
      <c r="A22" s="789" t="s">
        <v>1601</v>
      </c>
      <c r="B22" s="812" t="s">
        <v>1630</v>
      </c>
      <c r="C22" s="813">
        <f ca="1">ROUND(C21*F22,0)</f>
        <v>6</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46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46</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-344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67" t="s">
        <v>694</v>
      </c>
      <c r="C6" s="1072">
        <f ca="1">ROUND(F6*F8*F7*(1-F9)/10000,0)</f>
        <v>0</v>
      </c>
      <c r="D6" s="155" t="s">
        <v>2108</v>
      </c>
      <c r="E6" s="302" t="s">
        <v>696</v>
      </c>
      <c r="F6" s="303">
        <f ca="1">INDIRECT("'数据-取费表'!u"&amp;$G$1)</f>
        <v>0</v>
      </c>
      <c r="G6" s="1382"/>
      <c r="H6" s="1067" t="s">
        <v>398</v>
      </c>
      <c r="I6" s="3667" t="s">
        <v>694</v>
      </c>
      <c r="J6" s="301">
        <f ca="1">ROUND(M6*M8*M7*(1-M9)/10000,0)</f>
        <v>0</v>
      </c>
      <c r="K6" s="155" t="s">
        <v>2107</v>
      </c>
      <c r="L6" s="302" t="s">
        <v>696</v>
      </c>
      <c r="M6" s="303">
        <f ca="1">INDIRECT("'数据-取费表'!z"&amp;$G$1)</f>
        <v>0</v>
      </c>
    </row>
    <row r="7" spans="1:37" ht="18" customHeight="1">
      <c r="A7" s="1071"/>
      <c r="B7" s="3668"/>
      <c r="C7" s="1073"/>
      <c r="D7" s="307"/>
      <c r="E7" s="1074" t="s">
        <v>697</v>
      </c>
      <c r="F7" s="303">
        <f ca="1">IF(INDIRECT("'数据-取费表'!ah"&amp;$G$1)="",INDIRECT("'数据-取费表'!k"&amp;$G$1),INDIRECT("'数据-取费表'!ah"&amp;$G$1))</f>
        <v>0</v>
      </c>
      <c r="G7" s="1382"/>
      <c r="H7" s="304"/>
      <c r="I7" s="3668"/>
      <c r="J7" s="306"/>
      <c r="K7" s="307"/>
      <c r="L7" s="302" t="s">
        <v>697</v>
      </c>
      <c r="M7" s="303">
        <f ca="1">F7</f>
        <v>0</v>
      </c>
    </row>
    <row r="8" spans="1:37" ht="18" customHeight="1">
      <c r="A8" s="304"/>
      <c r="B8" s="3668"/>
      <c r="C8" s="306"/>
      <c r="D8" s="307"/>
      <c r="E8" s="302" t="s">
        <v>698</v>
      </c>
      <c r="F8" s="303">
        <f ca="1">INDIRECT("'数据-取费表'!ai"&amp;$G$1)</f>
        <v>0</v>
      </c>
      <c r="G8" s="1382"/>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2"/>
      <c r="H9" s="304"/>
      <c r="I9" s="366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8"/>
      <c r="D11" s="1366"/>
      <c r="E11" s="313" t="s">
        <v>702</v>
      </c>
      <c r="F11" s="314">
        <f ca="1">'数据-取费表'!B39</f>
        <v>1.4999999999999999E-2</v>
      </c>
      <c r="G11" s="1382"/>
      <c r="H11" s="1075"/>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3" t="s">
        <v>2109</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65" t="s">
        <v>837</v>
      </c>
      <c r="L53" s="3666"/>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67" t="s">
        <v>694</v>
      </c>
      <c r="C6" s="1072">
        <f ca="1">ROUND(F6*F8*F7*(1-F9),0)</f>
        <v>0</v>
      </c>
      <c r="D6" s="155" t="s">
        <v>2105</v>
      </c>
      <c r="E6" s="302" t="s">
        <v>696</v>
      </c>
      <c r="F6" s="303">
        <f ca="1">INDIRECT("'数据-取费表'!u"&amp;$G$1)</f>
        <v>0</v>
      </c>
      <c r="G6" s="1382"/>
      <c r="H6" s="1067" t="s">
        <v>398</v>
      </c>
      <c r="I6" s="3667" t="s">
        <v>694</v>
      </c>
      <c r="J6" s="301">
        <f ca="1">ROUND(M6*M8*M7*(1-M9),0)</f>
        <v>0</v>
      </c>
      <c r="K6" s="1374" t="s">
        <v>2106</v>
      </c>
      <c r="L6" s="302" t="s">
        <v>696</v>
      </c>
      <c r="M6" s="303">
        <f ca="1">INDIRECT("'数据-取费表'!z"&amp;$G$1)</f>
        <v>0</v>
      </c>
    </row>
    <row r="7" spans="1:37" ht="18" customHeight="1">
      <c r="A7" s="1071"/>
      <c r="B7" s="3668"/>
      <c r="C7" s="1073"/>
      <c r="D7" s="307"/>
      <c r="E7" s="1074" t="s">
        <v>697</v>
      </c>
      <c r="F7" s="303">
        <f ca="1">IF(INDIRECT("'数据-取费表'!ah"&amp;$G$1)="",INDIRECT("'数据-取费表'!k"&amp;$G$1),INDIRECT("'数据-取费表'!ah"&amp;$G$1))</f>
        <v>0</v>
      </c>
      <c r="G7" s="1382"/>
      <c r="H7" s="304"/>
      <c r="I7" s="3668"/>
      <c r="J7" s="306"/>
      <c r="K7" s="307"/>
      <c r="L7" s="302" t="s">
        <v>697</v>
      </c>
      <c r="M7" s="303">
        <f ca="1">F7</f>
        <v>0</v>
      </c>
    </row>
    <row r="8" spans="1:37" ht="18" customHeight="1">
      <c r="A8" s="304"/>
      <c r="B8" s="3668"/>
      <c r="C8" s="306"/>
      <c r="D8" s="307"/>
      <c r="E8" s="302" t="s">
        <v>698</v>
      </c>
      <c r="F8" s="303">
        <f ca="1">INDIRECT("'数据-取费表'!ai"&amp;$G$1)</f>
        <v>0</v>
      </c>
      <c r="G8" s="1382"/>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2"/>
      <c r="H9" s="304"/>
      <c r="I9" s="366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8"/>
      <c r="D11" s="307"/>
      <c r="E11" s="313" t="s">
        <v>702</v>
      </c>
      <c r="F11" s="314">
        <f ca="1">'数据-取费表'!B39</f>
        <v>1.4999999999999999E-2</v>
      </c>
      <c r="G11" s="1382"/>
      <c r="H11" s="1075"/>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t="e">
        <f ca="1">ROUND((C68-C40)/10000,4)</f>
        <v>#DIV/0!</v>
      </c>
      <c r="D45" s="3430"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65" t="s">
        <v>837</v>
      </c>
      <c r="L53" s="3666"/>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70" t="s">
        <v>2320</v>
      </c>
      <c r="K2" s="367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72" t="s">
        <v>2330</v>
      </c>
      <c r="K3" s="367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72" t="s">
        <v>2332</v>
      </c>
      <c r="K4" s="367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74" t="s">
        <v>2336</v>
      </c>
      <c r="B6" s="3675"/>
      <c r="C6" s="3676"/>
      <c r="D6" s="2868"/>
      <c r="E6" s="2869"/>
      <c r="F6" s="2870"/>
      <c r="G6" s="2871"/>
      <c r="H6" s="2846"/>
      <c r="I6" s="2847"/>
      <c r="J6" s="3677">
        <v>1</v>
      </c>
      <c r="K6" s="367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77"/>
      <c r="K7" s="367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81" t="s">
        <v>2350</v>
      </c>
      <c r="C8" s="3682"/>
      <c r="D8" s="2887" t="s">
        <v>2351</v>
      </c>
      <c r="E8" s="2888" t="s">
        <v>2352</v>
      </c>
      <c r="F8" s="2889" t="s">
        <v>2353</v>
      </c>
      <c r="G8" s="2890"/>
      <c r="H8" s="2846"/>
      <c r="I8" s="2847"/>
      <c r="J8" s="3677"/>
      <c r="K8" s="367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81" t="s">
        <v>2356</v>
      </c>
      <c r="C9" s="3682"/>
      <c r="D9" s="2887">
        <f>ROUND(D6*E9,0)</f>
        <v>0</v>
      </c>
      <c r="E9" s="2891"/>
      <c r="F9" s="2892" t="s">
        <v>2357</v>
      </c>
      <c r="G9" s="2871"/>
      <c r="H9" s="2846"/>
      <c r="I9" s="2847"/>
      <c r="J9" s="3677"/>
      <c r="K9" s="3679"/>
      <c r="L9" s="2881" t="s">
        <v>2358</v>
      </c>
      <c r="M9" s="2882"/>
      <c r="N9" s="2858"/>
      <c r="O9" s="2883"/>
      <c r="P9" s="2883"/>
      <c r="Q9" s="2884">
        <v>365</v>
      </c>
      <c r="R9" s="2885">
        <f t="shared" si="0"/>
        <v>0</v>
      </c>
      <c r="S9" s="2839"/>
      <c r="T9" s="2839"/>
      <c r="U9" s="2839"/>
      <c r="V9" s="2847"/>
    </row>
    <row r="10" spans="1:22" s="2851" customFormat="1" ht="13.15" customHeight="1">
      <c r="A10" s="2886">
        <v>2</v>
      </c>
      <c r="B10" s="3681" t="s">
        <v>2359</v>
      </c>
      <c r="C10" s="3682"/>
      <c r="D10" s="2887">
        <f>ROUND(D6*E10,0)</f>
        <v>0</v>
      </c>
      <c r="E10" s="2891"/>
      <c r="F10" s="2892" t="s">
        <v>2360</v>
      </c>
      <c r="G10" s="2871"/>
      <c r="H10" s="2846"/>
      <c r="I10" s="2847"/>
      <c r="J10" s="3677"/>
      <c r="K10" s="3679"/>
      <c r="L10" s="2881" t="s">
        <v>2361</v>
      </c>
      <c r="M10" s="2882"/>
      <c r="N10" s="2858"/>
      <c r="O10" s="2883"/>
      <c r="P10" s="2883"/>
      <c r="Q10" s="2884">
        <v>365</v>
      </c>
      <c r="R10" s="2885">
        <f t="shared" si="0"/>
        <v>0</v>
      </c>
      <c r="S10" s="2839"/>
      <c r="T10" s="2839"/>
      <c r="U10" s="2839"/>
      <c r="V10" s="2847"/>
    </row>
    <row r="11" spans="1:22" s="2851" customFormat="1" ht="13.15" customHeight="1">
      <c r="A11" s="2886">
        <v>3</v>
      </c>
      <c r="B11" s="3681" t="s">
        <v>2362</v>
      </c>
      <c r="C11" s="3682"/>
      <c r="D11" s="2887">
        <f>D12+D14+D15+D16</f>
        <v>0</v>
      </c>
      <c r="E11" s="2893" t="e">
        <f>D11/D6</f>
        <v>#DIV/0!</v>
      </c>
      <c r="F11" s="2889"/>
      <c r="G11" s="2890"/>
      <c r="H11" s="2846"/>
      <c r="I11" s="2847"/>
      <c r="J11" s="3677"/>
      <c r="K11" s="367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83" t="s">
        <v>2365</v>
      </c>
      <c r="C12" s="3684"/>
      <c r="D12" s="2895">
        <f>ROUND(D13*1.2%*(1-30%),0)</f>
        <v>0</v>
      </c>
      <c r="E12" s="2896">
        <v>1.2E-2</v>
      </c>
      <c r="F12" s="2889" t="s">
        <v>2366</v>
      </c>
      <c r="G12" s="2890"/>
      <c r="H12" s="2846"/>
      <c r="I12" s="2847"/>
      <c r="J12" s="3677"/>
      <c r="K12" s="367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77"/>
      <c r="K13" s="367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83" t="s">
        <v>2371</v>
      </c>
      <c r="C14" s="3684"/>
      <c r="D14" s="2895">
        <f>ROUND(E14*B5/10000,0)</f>
        <v>0</v>
      </c>
      <c r="E14" s="2884"/>
      <c r="F14" s="2889" t="s">
        <v>2372</v>
      </c>
      <c r="G14" s="2890"/>
      <c r="H14" s="2846"/>
      <c r="I14" s="2847"/>
      <c r="J14" s="3677"/>
      <c r="K14" s="368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83" t="s">
        <v>2375</v>
      </c>
      <c r="C15" s="3684"/>
      <c r="D15" s="2895">
        <f>ROUND(D6*E15,0)</f>
        <v>0</v>
      </c>
      <c r="E15" s="2896">
        <v>5.5E-2</v>
      </c>
      <c r="F15" s="2889" t="s">
        <v>2376</v>
      </c>
      <c r="G15" s="2871"/>
      <c r="H15" s="2846"/>
      <c r="I15" s="2847"/>
      <c r="J15" s="3677">
        <v>2</v>
      </c>
      <c r="K15" s="367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83" t="s">
        <v>2384</v>
      </c>
      <c r="C16" s="3684"/>
      <c r="D16" s="2906">
        <f>D6*E16</f>
        <v>0</v>
      </c>
      <c r="E16" s="2907"/>
      <c r="F16" s="2892" t="s">
        <v>2385</v>
      </c>
      <c r="G16" s="2871"/>
      <c r="H16" s="2846"/>
      <c r="I16" s="2847"/>
      <c r="J16" s="3677"/>
      <c r="K16" s="367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85" t="s">
        <v>2387</v>
      </c>
      <c r="C17" s="3686"/>
      <c r="D17" s="2909">
        <f>ROUND(D6*E17,0)</f>
        <v>0</v>
      </c>
      <c r="E17" s="2910"/>
      <c r="F17" s="2911" t="s">
        <v>2388</v>
      </c>
      <c r="G17" s="2871"/>
      <c r="H17" s="2846"/>
      <c r="I17" s="2847"/>
      <c r="J17" s="3677"/>
      <c r="K17" s="367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77"/>
      <c r="K18" s="367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77"/>
      <c r="K19" s="368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7">
        <v>3</v>
      </c>
      <c r="K20" s="367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77"/>
      <c r="K21" s="367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77"/>
      <c r="K22" s="367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77"/>
      <c r="K23" s="367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77"/>
      <c r="K24" s="368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8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8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70" t="s">
        <v>2320</v>
      </c>
      <c r="K32" s="367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72" t="s">
        <v>2330</v>
      </c>
      <c r="K33" s="367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72" t="s">
        <v>2332</v>
      </c>
      <c r="K34" s="367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77">
        <v>1</v>
      </c>
      <c r="K36" s="367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77"/>
      <c r="K37" s="367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7"/>
      <c r="K38" s="367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77"/>
      <c r="K39" s="367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77"/>
      <c r="K40" s="368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8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0</v>
      </c>
      <c r="C2" s="1870" t="s">
        <v>1651</v>
      </c>
      <c r="D2" s="1871" t="s">
        <v>1652</v>
      </c>
      <c r="E2" s="2605">
        <f>SUM(E6:E13)</f>
        <v>0</v>
      </c>
      <c r="F2" s="2705"/>
      <c r="G2" s="1487"/>
      <c r="H2" s="1487"/>
      <c r="I2" s="1487"/>
      <c r="J2" s="1487"/>
      <c r="K2" s="1487"/>
      <c r="L2" s="1487"/>
      <c r="M2" s="1487"/>
      <c r="N2" s="1487"/>
      <c r="O2" s="1487"/>
      <c r="P2" s="1487"/>
      <c r="Q2" s="1487"/>
      <c r="R2" s="1487"/>
      <c r="S2" s="1487"/>
    </row>
    <row r="3" spans="1:22" ht="15.75">
      <c r="A3" s="1868" t="s">
        <v>686</v>
      </c>
      <c r="B3" s="2599" t="e">
        <f ca="1">ROUND(B2*10000/E2,0)</f>
        <v>#DIV/0!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89" t="s">
        <v>1654</v>
      </c>
      <c r="C5" s="3690"/>
      <c r="D5" s="2706"/>
      <c r="E5" s="1872" t="s">
        <v>1655</v>
      </c>
      <c r="F5" s="1873" t="s">
        <v>1656</v>
      </c>
      <c r="G5" s="1487"/>
      <c r="H5" s="1487"/>
      <c r="I5" s="1487"/>
      <c r="J5" s="1487"/>
      <c r="K5" s="1487"/>
      <c r="L5" s="1487"/>
      <c r="M5" s="1487"/>
      <c r="N5" s="1487"/>
      <c r="O5" s="1487"/>
      <c r="P5" s="1487"/>
      <c r="Q5" s="1487"/>
      <c r="R5" s="1487"/>
      <c r="S5" s="1487"/>
    </row>
    <row r="6" spans="1:22">
      <c r="A6" s="2602">
        <f>'数据-取费表'!AN6</f>
        <v>0</v>
      </c>
      <c r="B6" s="2600" t="e">
        <f ca="1">IF(F6="是",'数据-取费表'!AO6,0)</f>
        <v>#REF!</v>
      </c>
      <c r="C6" s="1870" t="s">
        <v>1651</v>
      </c>
      <c r="D6" s="2707"/>
      <c r="E6" s="2604">
        <f>IF(OR(A6=0,F6="否"),0,'数据-取费表'!K6+'数据-取费表'!S6)</f>
        <v>0</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15080.55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09" t="s">
        <v>1667</v>
      </c>
      <c r="D4" s="3710"/>
      <c r="E4" s="3711" t="s">
        <v>1668</v>
      </c>
      <c r="F4" s="3712"/>
      <c r="G4" s="3709" t="s">
        <v>1669</v>
      </c>
      <c r="H4" s="3710"/>
      <c r="I4" s="3709" t="s">
        <v>1670</v>
      </c>
      <c r="J4" s="3710"/>
      <c r="K4" s="1887" t="s">
        <v>1671</v>
      </c>
      <c r="L4" s="2713"/>
      <c r="M4" s="2714"/>
      <c r="N4" s="2714"/>
      <c r="O4" s="2714"/>
      <c r="P4" s="3713" t="s">
        <v>1672</v>
      </c>
      <c r="Q4" s="3714"/>
      <c r="R4" s="3696" t="s">
        <v>1668</v>
      </c>
      <c r="S4" s="3697"/>
      <c r="T4" s="3696" t="s">
        <v>1669</v>
      </c>
      <c r="U4" s="3697"/>
      <c r="V4" s="3721" t="s">
        <v>1670</v>
      </c>
      <c r="W4" s="3721"/>
      <c r="X4" s="1353"/>
      <c r="Y4" s="3696" t="s">
        <v>1672</v>
      </c>
      <c r="Z4" s="3697"/>
      <c r="AA4" s="3691" t="s">
        <v>1668</v>
      </c>
      <c r="AB4" s="3691" t="s">
        <v>1669</v>
      </c>
      <c r="AC4" s="3691" t="s">
        <v>1670</v>
      </c>
    </row>
    <row r="5" spans="1:29" ht="15">
      <c r="A5" s="358"/>
      <c r="B5" s="359"/>
      <c r="C5" s="3702" t="s">
        <v>1673</v>
      </c>
      <c r="D5" s="3703"/>
      <c r="E5" s="3700" t="s">
        <v>1674</v>
      </c>
      <c r="F5" s="3701"/>
      <c r="G5" s="3702" t="s">
        <v>1675</v>
      </c>
      <c r="H5" s="3703"/>
      <c r="I5" s="3702" t="s">
        <v>1676</v>
      </c>
      <c r="J5" s="3703"/>
      <c r="K5" s="1888"/>
      <c r="L5" s="2713"/>
      <c r="M5" s="2714"/>
      <c r="N5" s="2714"/>
      <c r="O5" s="2714"/>
      <c r="P5" s="3715"/>
      <c r="Q5" s="3716"/>
      <c r="R5" s="3698"/>
      <c r="S5" s="3699"/>
      <c r="T5" s="3698"/>
      <c r="U5" s="3699"/>
      <c r="V5" s="3721"/>
      <c r="W5" s="3721"/>
      <c r="X5" s="1353"/>
      <c r="Y5" s="3698"/>
      <c r="Z5" s="3699"/>
      <c r="AA5" s="3692"/>
      <c r="AB5" s="3692"/>
      <c r="AC5" s="3692"/>
    </row>
    <row r="6" spans="1:29" ht="15.75" thickBot="1">
      <c r="A6" s="360"/>
      <c r="B6" s="361"/>
      <c r="C6" s="3704" t="s">
        <v>1677</v>
      </c>
      <c r="D6" s="3705"/>
      <c r="E6" s="3706" t="s">
        <v>1677</v>
      </c>
      <c r="F6" s="3707"/>
      <c r="G6" s="3704" t="s">
        <v>1677</v>
      </c>
      <c r="H6" s="3705"/>
      <c r="I6" s="3704" t="s">
        <v>1677</v>
      </c>
      <c r="J6" s="3705"/>
      <c r="K6" s="1888" t="s">
        <v>1678</v>
      </c>
      <c r="L6" s="2713"/>
      <c r="M6" s="2714"/>
      <c r="N6" s="2714"/>
      <c r="O6" s="2714"/>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4" t="s">
        <v>1680</v>
      </c>
      <c r="Q7" s="3722"/>
      <c r="R7" s="700" t="s">
        <v>20</v>
      </c>
      <c r="S7" s="701">
        <f t="shared" ref="S7:S15" si="0">F7</f>
        <v>0</v>
      </c>
      <c r="T7" s="700" t="s">
        <v>20</v>
      </c>
      <c r="U7" s="701">
        <f t="shared" ref="U7:U15" si="1">H7</f>
        <v>0</v>
      </c>
      <c r="V7" s="700" t="s">
        <v>20</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4" t="s">
        <v>1683</v>
      </c>
      <c r="Q8" s="3695"/>
      <c r="R8" s="700" t="s">
        <v>20</v>
      </c>
      <c r="S8" s="701">
        <f t="shared" si="0"/>
        <v>100</v>
      </c>
      <c r="T8" s="700" t="s">
        <v>20</v>
      </c>
      <c r="U8" s="701">
        <f t="shared" si="1"/>
        <v>100</v>
      </c>
      <c r="V8" s="700" t="s">
        <v>20</v>
      </c>
      <c r="W8" s="701">
        <f t="shared" si="2"/>
        <v>100</v>
      </c>
      <c r="X8" s="702"/>
      <c r="Y8" s="3694" t="s">
        <v>1683</v>
      </c>
      <c r="Z8" s="369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8"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8"/>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8"/>
      <c r="Q11" s="1341" t="str">
        <f t="shared" si="6"/>
        <v>容积率</v>
      </c>
      <c r="R11" s="700" t="s">
        <v>18</v>
      </c>
      <c r="S11" s="701" t="e">
        <f t="shared" si="0"/>
        <v>#N/A</v>
      </c>
      <c r="T11" s="700" t="s">
        <v>18</v>
      </c>
      <c r="U11" s="701" t="e">
        <f t="shared" si="1"/>
        <v>#N/A</v>
      </c>
      <c r="V11" s="700" t="s">
        <v>18</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8"/>
      <c r="Q12" s="1341">
        <f t="shared" si="6"/>
        <v>111</v>
      </c>
      <c r="R12" s="700" t="s">
        <v>18</v>
      </c>
      <c r="S12" s="701">
        <f t="shared" si="0"/>
        <v>100</v>
      </c>
      <c r="T12" s="700" t="s">
        <v>18</v>
      </c>
      <c r="U12" s="701">
        <f t="shared" si="1"/>
        <v>100</v>
      </c>
      <c r="V12" s="700" t="s">
        <v>18</v>
      </c>
      <c r="W12" s="701">
        <f t="shared" si="2"/>
        <v>100</v>
      </c>
      <c r="X12" s="702"/>
      <c r="Y12" s="363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8"/>
      <c r="Q13" s="1341">
        <f t="shared" si="6"/>
        <v>111</v>
      </c>
      <c r="R13" s="700" t="s">
        <v>18</v>
      </c>
      <c r="S13" s="701">
        <f t="shared" si="0"/>
        <v>100</v>
      </c>
      <c r="T13" s="700" t="s">
        <v>18</v>
      </c>
      <c r="U13" s="701">
        <f t="shared" si="1"/>
        <v>100</v>
      </c>
      <c r="V13" s="700" t="s">
        <v>18</v>
      </c>
      <c r="W13" s="701">
        <f t="shared" si="2"/>
        <v>100</v>
      </c>
      <c r="X13" s="702"/>
      <c r="Y13" s="3638"/>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8"/>
      <c r="Q14" s="1341">
        <f t="shared" si="6"/>
        <v>111</v>
      </c>
      <c r="R14" s="700" t="s">
        <v>18</v>
      </c>
      <c r="S14" s="701">
        <f t="shared" si="0"/>
        <v>100</v>
      </c>
      <c r="T14" s="700" t="s">
        <v>18</v>
      </c>
      <c r="U14" s="701">
        <f t="shared" si="1"/>
        <v>100</v>
      </c>
      <c r="V14" s="700" t="s">
        <v>18</v>
      </c>
      <c r="W14" s="701">
        <f t="shared" si="2"/>
        <v>100</v>
      </c>
      <c r="X14" s="702"/>
      <c r="Y14" s="3638"/>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5" t="s">
        <v>1691</v>
      </c>
      <c r="Q15" s="1350" t="str">
        <f t="shared" si="6"/>
        <v>居住社区成熟度</v>
      </c>
      <c r="R15" s="704" t="s">
        <v>18</v>
      </c>
      <c r="S15" s="705">
        <f t="shared" si="0"/>
        <v>100</v>
      </c>
      <c r="T15" s="704" t="s">
        <v>18</v>
      </c>
      <c r="U15" s="705">
        <f t="shared" si="1"/>
        <v>100</v>
      </c>
      <c r="V15" s="704" t="s">
        <v>18</v>
      </c>
      <c r="W15" s="705">
        <f t="shared" si="2"/>
        <v>100</v>
      </c>
      <c r="X15" s="1353"/>
      <c r="Y15" s="372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36"/>
      <c r="Q16" s="1350"/>
      <c r="R16" s="704"/>
      <c r="S16" s="705"/>
      <c r="T16" s="704"/>
      <c r="U16" s="705"/>
      <c r="V16" s="704"/>
      <c r="W16" s="705"/>
      <c r="X16" s="1353"/>
      <c r="Y16" s="372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6"/>
      <c r="Q17" s="1350" t="str">
        <f>B17</f>
        <v>交通便捷度</v>
      </c>
      <c r="R17" s="704" t="s">
        <v>18</v>
      </c>
      <c r="S17" s="705">
        <f>F17</f>
        <v>100</v>
      </c>
      <c r="T17" s="704" t="s">
        <v>18</v>
      </c>
      <c r="U17" s="705">
        <f>H17</f>
        <v>100</v>
      </c>
      <c r="V17" s="704" t="s">
        <v>18</v>
      </c>
      <c r="W17" s="705">
        <f>J17</f>
        <v>100</v>
      </c>
      <c r="X17" s="1353"/>
      <c r="Y17" s="372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36"/>
      <c r="Q18" s="1350"/>
      <c r="R18" s="704"/>
      <c r="S18" s="705"/>
      <c r="T18" s="704"/>
      <c r="U18" s="705"/>
      <c r="V18" s="704"/>
      <c r="W18" s="705"/>
      <c r="X18" s="1353"/>
      <c r="Y18" s="372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6"/>
      <c r="Q19" s="1350" t="str">
        <f>B19</f>
        <v>公共配套设施</v>
      </c>
      <c r="R19" s="704" t="s">
        <v>18</v>
      </c>
      <c r="S19" s="705">
        <f>F19</f>
        <v>100</v>
      </c>
      <c r="T19" s="704" t="s">
        <v>18</v>
      </c>
      <c r="U19" s="705">
        <f>H19</f>
        <v>100</v>
      </c>
      <c r="V19" s="704" t="s">
        <v>18</v>
      </c>
      <c r="W19" s="705">
        <f>J19</f>
        <v>100</v>
      </c>
      <c r="X19" s="1353"/>
      <c r="Y19" s="372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36"/>
      <c r="Q20" s="1350"/>
      <c r="R20" s="704"/>
      <c r="S20" s="705"/>
      <c r="T20" s="704"/>
      <c r="U20" s="705"/>
      <c r="V20" s="704"/>
      <c r="W20" s="705"/>
      <c r="X20" s="1353"/>
      <c r="Y20" s="372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6"/>
      <c r="Q21" s="1350" t="str">
        <f>B21</f>
        <v>基础设施水平</v>
      </c>
      <c r="R21" s="704" t="s">
        <v>14</v>
      </c>
      <c r="S21" s="705">
        <f>F21</f>
        <v>100</v>
      </c>
      <c r="T21" s="704" t="s">
        <v>14</v>
      </c>
      <c r="U21" s="705">
        <f>H21</f>
        <v>100</v>
      </c>
      <c r="V21" s="704" t="s">
        <v>14</v>
      </c>
      <c r="W21" s="705">
        <f>J21</f>
        <v>100</v>
      </c>
      <c r="X21" s="1353"/>
      <c r="Y21" s="372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36"/>
      <c r="Q22" s="1350"/>
      <c r="R22" s="704"/>
      <c r="S22" s="705"/>
      <c r="T22" s="704"/>
      <c r="U22" s="705"/>
      <c r="V22" s="704"/>
      <c r="W22" s="705"/>
      <c r="X22" s="1353"/>
      <c r="Y22" s="372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6"/>
      <c r="Q23" s="1350" t="str">
        <f>B23</f>
        <v>自然及人文环境</v>
      </c>
      <c r="R23" s="704" t="s">
        <v>18</v>
      </c>
      <c r="S23" s="705">
        <f>F23</f>
        <v>100</v>
      </c>
      <c r="T23" s="704" t="s">
        <v>18</v>
      </c>
      <c r="U23" s="705">
        <f>H23</f>
        <v>100</v>
      </c>
      <c r="V23" s="704" t="s">
        <v>18</v>
      </c>
      <c r="W23" s="705">
        <f>J23</f>
        <v>100</v>
      </c>
      <c r="X23" s="1353"/>
      <c r="Y23" s="372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36"/>
      <c r="Q24" s="1350"/>
      <c r="R24" s="704"/>
      <c r="S24" s="705"/>
      <c r="T24" s="704"/>
      <c r="U24" s="705"/>
      <c r="V24" s="704"/>
      <c r="W24" s="705"/>
      <c r="X24" s="1353"/>
      <c r="Y24" s="372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2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36"/>
      <c r="Q26" s="1350" t="str">
        <f t="shared" si="11"/>
        <v>朝向</v>
      </c>
      <c r="R26" s="704" t="s">
        <v>18</v>
      </c>
      <c r="S26" s="705">
        <f t="shared" si="12"/>
        <v>100</v>
      </c>
      <c r="T26" s="704" t="s">
        <v>18</v>
      </c>
      <c r="U26" s="705">
        <f t="shared" si="13"/>
        <v>100</v>
      </c>
      <c r="V26" s="704" t="s">
        <v>18</v>
      </c>
      <c r="W26" s="705">
        <f t="shared" si="14"/>
        <v>100</v>
      </c>
      <c r="X26" s="1353"/>
      <c r="Y26" s="372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36"/>
      <c r="Q27" s="1341">
        <f t="shared" si="11"/>
        <v>111</v>
      </c>
      <c r="R27" s="700" t="s">
        <v>18</v>
      </c>
      <c r="S27" s="701">
        <f t="shared" si="12"/>
        <v>100</v>
      </c>
      <c r="T27" s="700" t="s">
        <v>18</v>
      </c>
      <c r="U27" s="701">
        <f t="shared" si="13"/>
        <v>100</v>
      </c>
      <c r="V27" s="700" t="s">
        <v>18</v>
      </c>
      <c r="W27" s="701">
        <f t="shared" si="14"/>
        <v>100</v>
      </c>
      <c r="X27" s="702"/>
      <c r="Y27" s="372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6"/>
      <c r="Q28" s="1350">
        <f t="shared" si="11"/>
        <v>111</v>
      </c>
      <c r="R28" s="704" t="s">
        <v>18</v>
      </c>
      <c r="S28" s="705">
        <f t="shared" si="12"/>
        <v>100</v>
      </c>
      <c r="T28" s="704" t="s">
        <v>18</v>
      </c>
      <c r="U28" s="705">
        <f t="shared" si="13"/>
        <v>100</v>
      </c>
      <c r="V28" s="704" t="s">
        <v>18</v>
      </c>
      <c r="W28" s="705">
        <f t="shared" si="14"/>
        <v>100</v>
      </c>
      <c r="X28" s="1353"/>
      <c r="Y28" s="372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6"/>
      <c r="Q29" s="1350">
        <f t="shared" si="11"/>
        <v>111</v>
      </c>
      <c r="R29" s="704" t="s">
        <v>18</v>
      </c>
      <c r="S29" s="705">
        <f t="shared" si="12"/>
        <v>100</v>
      </c>
      <c r="T29" s="704" t="s">
        <v>18</v>
      </c>
      <c r="U29" s="705">
        <f t="shared" si="13"/>
        <v>100</v>
      </c>
      <c r="V29" s="704" t="s">
        <v>18</v>
      </c>
      <c r="W29" s="705">
        <f t="shared" si="14"/>
        <v>100</v>
      </c>
      <c r="X29" s="1353"/>
      <c r="Y29" s="372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6"/>
      <c r="Q30" s="1350">
        <f t="shared" si="11"/>
        <v>111</v>
      </c>
      <c r="R30" s="704" t="s">
        <v>18</v>
      </c>
      <c r="S30" s="705">
        <f t="shared" si="12"/>
        <v>100</v>
      </c>
      <c r="T30" s="704" t="s">
        <v>18</v>
      </c>
      <c r="U30" s="705">
        <f t="shared" si="13"/>
        <v>100</v>
      </c>
      <c r="V30" s="704" t="s">
        <v>18</v>
      </c>
      <c r="W30" s="705">
        <f t="shared" si="14"/>
        <v>100</v>
      </c>
      <c r="X30" s="1353"/>
      <c r="Y30" s="372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6"/>
      <c r="Q31" s="1350">
        <f t="shared" si="11"/>
        <v>111</v>
      </c>
      <c r="R31" s="704" t="s">
        <v>18</v>
      </c>
      <c r="S31" s="705">
        <f t="shared" si="12"/>
        <v>100</v>
      </c>
      <c r="T31" s="704" t="s">
        <v>18</v>
      </c>
      <c r="U31" s="705">
        <f t="shared" si="13"/>
        <v>100</v>
      </c>
      <c r="V31" s="704" t="s">
        <v>18</v>
      </c>
      <c r="W31" s="705">
        <f t="shared" si="14"/>
        <v>100</v>
      </c>
      <c r="X31" s="1353"/>
      <c r="Y31" s="372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30" t="s">
        <v>1696</v>
      </c>
      <c r="Q32" s="1350" t="str">
        <f t="shared" si="11"/>
        <v>建筑类型</v>
      </c>
      <c r="R32" s="704" t="s">
        <v>18</v>
      </c>
      <c r="S32" s="705">
        <f t="shared" si="12"/>
        <v>100</v>
      </c>
      <c r="T32" s="704" t="s">
        <v>18</v>
      </c>
      <c r="U32" s="705">
        <f t="shared" si="13"/>
        <v>100</v>
      </c>
      <c r="V32" s="704" t="s">
        <v>18</v>
      </c>
      <c r="W32" s="705">
        <f t="shared" si="14"/>
        <v>100</v>
      </c>
      <c r="X32" s="1353"/>
      <c r="Y32" s="373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31"/>
      <c r="Q33" s="706" t="str">
        <f t="shared" si="11"/>
        <v>项目建筑规模</v>
      </c>
      <c r="R33" s="707" t="s">
        <v>18</v>
      </c>
      <c r="S33" s="708" t="e">
        <f t="shared" si="12"/>
        <v>#N/A</v>
      </c>
      <c r="T33" s="707" t="s">
        <v>18</v>
      </c>
      <c r="U33" s="708" t="e">
        <f t="shared" si="13"/>
        <v>#N/A</v>
      </c>
      <c r="V33" s="707" t="s">
        <v>18</v>
      </c>
      <c r="W33" s="708" t="e">
        <f t="shared" si="14"/>
        <v>#N/A</v>
      </c>
      <c r="X33" s="709"/>
      <c r="Y33" s="3733"/>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31"/>
      <c r="Q34" s="1350" t="str">
        <f t="shared" si="11"/>
        <v>建筑结构</v>
      </c>
      <c r="R34" s="704" t="s">
        <v>18</v>
      </c>
      <c r="S34" s="705">
        <f t="shared" si="12"/>
        <v>100</v>
      </c>
      <c r="T34" s="704" t="s">
        <v>18</v>
      </c>
      <c r="U34" s="705">
        <f t="shared" si="13"/>
        <v>100</v>
      </c>
      <c r="V34" s="704" t="s">
        <v>18</v>
      </c>
      <c r="W34" s="705">
        <f t="shared" si="14"/>
        <v>100</v>
      </c>
      <c r="X34" s="1353"/>
      <c r="Y34" s="373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31"/>
      <c r="Q35" s="1350" t="str">
        <f t="shared" si="11"/>
        <v>建筑品质</v>
      </c>
      <c r="R35" s="704" t="s">
        <v>18</v>
      </c>
      <c r="S35" s="705">
        <f t="shared" si="12"/>
        <v>100</v>
      </c>
      <c r="T35" s="704" t="s">
        <v>18</v>
      </c>
      <c r="U35" s="705">
        <f t="shared" si="13"/>
        <v>100</v>
      </c>
      <c r="V35" s="704" t="s">
        <v>18</v>
      </c>
      <c r="W35" s="705">
        <f t="shared" si="14"/>
        <v>100</v>
      </c>
      <c r="X35" s="1353"/>
      <c r="Y35" s="373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31"/>
      <c r="Q36" s="1350" t="str">
        <f t="shared" si="11"/>
        <v>公共部分装修</v>
      </c>
      <c r="R36" s="704" t="s">
        <v>18</v>
      </c>
      <c r="S36" s="705">
        <f t="shared" si="12"/>
        <v>100</v>
      </c>
      <c r="T36" s="704" t="s">
        <v>18</v>
      </c>
      <c r="U36" s="705">
        <f t="shared" si="13"/>
        <v>100</v>
      </c>
      <c r="V36" s="704" t="s">
        <v>18</v>
      </c>
      <c r="W36" s="705">
        <f t="shared" si="14"/>
        <v>100</v>
      </c>
      <c r="X36" s="1353"/>
      <c r="Y36" s="373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1"/>
      <c r="Q37" s="1341" t="str">
        <f t="shared" si="11"/>
        <v>成新度</v>
      </c>
      <c r="R37" s="700" t="s">
        <v>18</v>
      </c>
      <c r="S37" s="701" t="e">
        <f t="shared" si="12"/>
        <v>#N/A</v>
      </c>
      <c r="T37" s="700" t="s">
        <v>18</v>
      </c>
      <c r="U37" s="701" t="e">
        <f t="shared" si="13"/>
        <v>#N/A</v>
      </c>
      <c r="V37" s="700" t="s">
        <v>18</v>
      </c>
      <c r="W37" s="701" t="e">
        <f t="shared" si="14"/>
        <v>#N/A</v>
      </c>
      <c r="X37" s="702"/>
      <c r="Y37" s="3733"/>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31" t="s">
        <v>1696</v>
      </c>
      <c r="Q38" s="1350" t="str">
        <f t="shared" si="11"/>
        <v>物业管理</v>
      </c>
      <c r="R38" s="704" t="s">
        <v>18</v>
      </c>
      <c r="S38" s="705">
        <f t="shared" si="12"/>
        <v>100</v>
      </c>
      <c r="T38" s="704" t="s">
        <v>18</v>
      </c>
      <c r="U38" s="705">
        <f t="shared" si="13"/>
        <v>100</v>
      </c>
      <c r="V38" s="704" t="s">
        <v>18</v>
      </c>
      <c r="W38" s="705">
        <f t="shared" si="14"/>
        <v>100</v>
      </c>
      <c r="X38" s="1353"/>
      <c r="Y38" s="373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31"/>
      <c r="Q39" s="1350" t="str">
        <f t="shared" si="11"/>
        <v>市政基础设施</v>
      </c>
      <c r="R39" s="704" t="s">
        <v>18</v>
      </c>
      <c r="S39" s="705">
        <f t="shared" si="12"/>
        <v>100</v>
      </c>
      <c r="T39" s="704" t="s">
        <v>18</v>
      </c>
      <c r="U39" s="705">
        <f t="shared" si="13"/>
        <v>100</v>
      </c>
      <c r="V39" s="704" t="s">
        <v>18</v>
      </c>
      <c r="W39" s="705">
        <f t="shared" si="14"/>
        <v>100</v>
      </c>
      <c r="X39" s="1353"/>
      <c r="Y39" s="373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31"/>
      <c r="Q40" s="1350" t="str">
        <f t="shared" si="11"/>
        <v>房型</v>
      </c>
      <c r="R40" s="704" t="s">
        <v>18</v>
      </c>
      <c r="S40" s="705">
        <f t="shared" si="12"/>
        <v>100</v>
      </c>
      <c r="T40" s="704" t="s">
        <v>18</v>
      </c>
      <c r="U40" s="705">
        <f t="shared" si="13"/>
        <v>100</v>
      </c>
      <c r="V40" s="704" t="s">
        <v>18</v>
      </c>
      <c r="W40" s="705">
        <f t="shared" si="14"/>
        <v>100</v>
      </c>
      <c r="X40" s="1353"/>
      <c r="Y40" s="373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31"/>
      <c r="Q41" s="706" t="str">
        <f t="shared" si="11"/>
        <v>单套/主力户型建筑面积</v>
      </c>
      <c r="R41" s="707" t="s">
        <v>18</v>
      </c>
      <c r="S41" s="708">
        <f t="shared" si="12"/>
        <v>100</v>
      </c>
      <c r="T41" s="707" t="s">
        <v>18</v>
      </c>
      <c r="U41" s="708">
        <f t="shared" si="13"/>
        <v>100</v>
      </c>
      <c r="V41" s="707" t="s">
        <v>18</v>
      </c>
      <c r="W41" s="708">
        <f t="shared" si="14"/>
        <v>100</v>
      </c>
      <c r="X41" s="709"/>
      <c r="Y41" s="3733"/>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31"/>
      <c r="Q42" s="1350" t="str">
        <f t="shared" si="11"/>
        <v>内部装修</v>
      </c>
      <c r="R42" s="704" t="s">
        <v>18</v>
      </c>
      <c r="S42" s="705">
        <f t="shared" si="12"/>
        <v>100</v>
      </c>
      <c r="T42" s="704" t="s">
        <v>18</v>
      </c>
      <c r="U42" s="705">
        <f t="shared" si="13"/>
        <v>100</v>
      </c>
      <c r="V42" s="704" t="s">
        <v>18</v>
      </c>
      <c r="W42" s="705">
        <f t="shared" si="14"/>
        <v>100</v>
      </c>
      <c r="X42" s="1353"/>
      <c r="Y42" s="373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31"/>
      <c r="Q43" s="1350" t="str">
        <f t="shared" si="11"/>
        <v>内部装修维护情况</v>
      </c>
      <c r="R43" s="704" t="s">
        <v>18</v>
      </c>
      <c r="S43" s="705">
        <f t="shared" si="12"/>
        <v>100</v>
      </c>
      <c r="T43" s="704" t="s">
        <v>18</v>
      </c>
      <c r="U43" s="705">
        <f t="shared" si="13"/>
        <v>100</v>
      </c>
      <c r="V43" s="704" t="s">
        <v>18</v>
      </c>
      <c r="W43" s="705">
        <f t="shared" si="14"/>
        <v>100</v>
      </c>
      <c r="X43" s="1353"/>
      <c r="Y43" s="373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31"/>
      <c r="Q44" s="1341">
        <f t="shared" si="11"/>
        <v>111</v>
      </c>
      <c r="R44" s="700" t="s">
        <v>18</v>
      </c>
      <c r="S44" s="701">
        <f t="shared" si="12"/>
        <v>100</v>
      </c>
      <c r="T44" s="700" t="s">
        <v>18</v>
      </c>
      <c r="U44" s="701">
        <f t="shared" si="13"/>
        <v>100</v>
      </c>
      <c r="V44" s="700" t="s">
        <v>18</v>
      </c>
      <c r="W44" s="701">
        <f t="shared" si="14"/>
        <v>100</v>
      </c>
      <c r="X44" s="702"/>
      <c r="Y44" s="3733"/>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31"/>
      <c r="Q45" s="1350">
        <f t="shared" si="11"/>
        <v>111</v>
      </c>
      <c r="R45" s="704" t="s">
        <v>18</v>
      </c>
      <c r="S45" s="705">
        <f t="shared" si="12"/>
        <v>100</v>
      </c>
      <c r="T45" s="704" t="s">
        <v>18</v>
      </c>
      <c r="U45" s="705">
        <f t="shared" si="13"/>
        <v>100</v>
      </c>
      <c r="V45" s="704" t="s">
        <v>18</v>
      </c>
      <c r="W45" s="705">
        <f t="shared" si="14"/>
        <v>100</v>
      </c>
      <c r="X45" s="1353"/>
      <c r="Y45" s="373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32"/>
      <c r="Q46" s="1350">
        <f t="shared" si="11"/>
        <v>111</v>
      </c>
      <c r="R46" s="704" t="s">
        <v>17</v>
      </c>
      <c r="S46" s="705">
        <f t="shared" si="12"/>
        <v>100</v>
      </c>
      <c r="T46" s="704" t="s">
        <v>17</v>
      </c>
      <c r="U46" s="705">
        <f t="shared" si="13"/>
        <v>100</v>
      </c>
      <c r="V46" s="704" t="s">
        <v>17</v>
      </c>
      <c r="W46" s="705">
        <f t="shared" si="14"/>
        <v>100</v>
      </c>
      <c r="X46" s="1353"/>
      <c r="Y46" s="373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26" t="str">
        <f>A47</f>
        <v>成交单价（元/平方米）</v>
      </c>
      <c r="Q47" s="3726"/>
      <c r="R47" s="3727">
        <f>E47</f>
        <v>0</v>
      </c>
      <c r="S47" s="3727"/>
      <c r="T47" s="3727">
        <f>G47</f>
        <v>0</v>
      </c>
      <c r="U47" s="3727"/>
      <c r="V47" s="3727">
        <f>I47</f>
        <v>0</v>
      </c>
      <c r="W47" s="3727"/>
      <c r="X47" s="689"/>
      <c r="Y47" s="711"/>
      <c r="Z47" s="689"/>
      <c r="AA47" s="689"/>
      <c r="AB47" s="689"/>
      <c r="AC47" s="689"/>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15080.55</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721" t="s">
        <v>1772</v>
      </c>
      <c r="AC4" s="3691" t="s">
        <v>1773</v>
      </c>
    </row>
    <row r="5" spans="1:29"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721"/>
      <c r="AC5" s="3692"/>
    </row>
    <row r="6" spans="1:29" ht="15.75" thickBot="1">
      <c r="A6" s="360"/>
      <c r="B6" s="361"/>
      <c r="C6" s="3704" t="s">
        <v>1677</v>
      </c>
      <c r="D6" s="3705"/>
      <c r="E6" s="3706" t="s">
        <v>1677</v>
      </c>
      <c r="F6" s="3707"/>
      <c r="G6" s="3704" t="s">
        <v>1677</v>
      </c>
      <c r="H6" s="3705"/>
      <c r="I6" s="3704" t="s">
        <v>1677</v>
      </c>
      <c r="J6" s="3705"/>
      <c r="K6" s="559" t="s">
        <v>1678</v>
      </c>
      <c r="L6" s="2713"/>
      <c r="M6" s="2714"/>
      <c r="N6" s="2714"/>
      <c r="O6" s="2714"/>
      <c r="P6" s="3717"/>
      <c r="Q6" s="3718"/>
      <c r="R6" s="3698"/>
      <c r="S6" s="3699"/>
      <c r="T6" s="3719"/>
      <c r="U6" s="3720"/>
      <c r="V6" s="3721"/>
      <c r="W6" s="3721"/>
      <c r="X6" s="1353"/>
      <c r="Y6" s="3719"/>
      <c r="Z6" s="3720"/>
      <c r="AA6" s="3693"/>
      <c r="AB6" s="3721"/>
      <c r="AC6" s="3693"/>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4" t="s">
        <v>1683</v>
      </c>
      <c r="Q8" s="3695"/>
      <c r="R8" s="700" t="s">
        <v>14</v>
      </c>
      <c r="S8" s="701">
        <f t="shared" si="0"/>
        <v>100</v>
      </c>
      <c r="T8" s="700" t="s">
        <v>14</v>
      </c>
      <c r="U8" s="701">
        <f t="shared" si="1"/>
        <v>100</v>
      </c>
      <c r="V8" s="700" t="s">
        <v>14</v>
      </c>
      <c r="W8" s="701">
        <f t="shared" si="2"/>
        <v>100</v>
      </c>
      <c r="X8" s="702"/>
      <c r="Y8" s="3694" t="s">
        <v>1683</v>
      </c>
      <c r="Z8" s="3695"/>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8"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8"/>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8"/>
      <c r="Q11" s="1341"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8"/>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8"/>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8"/>
      <c r="Q14" s="1341">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5" t="s">
        <v>1691</v>
      </c>
      <c r="Q15" s="1350" t="str">
        <f t="shared" si="6"/>
        <v>商业繁华度</v>
      </c>
      <c r="R15" s="704" t="s">
        <v>14</v>
      </c>
      <c r="S15" s="705">
        <f t="shared" si="0"/>
        <v>100</v>
      </c>
      <c r="T15" s="704" t="s">
        <v>14</v>
      </c>
      <c r="U15" s="705">
        <f t="shared" si="1"/>
        <v>100</v>
      </c>
      <c r="V15" s="704" t="s">
        <v>14</v>
      </c>
      <c r="W15" s="705">
        <f t="shared" si="2"/>
        <v>100</v>
      </c>
      <c r="X15" s="1353"/>
      <c r="Y15" s="372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36"/>
      <c r="Q16" s="1350"/>
      <c r="R16" s="704"/>
      <c r="S16" s="705"/>
      <c r="T16" s="704"/>
      <c r="U16" s="705"/>
      <c r="V16" s="704"/>
      <c r="W16" s="705"/>
      <c r="X16" s="1353"/>
      <c r="Y16" s="372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6"/>
      <c r="Q17" s="1350" t="str">
        <f>B17</f>
        <v>交通便捷度</v>
      </c>
      <c r="R17" s="704" t="s">
        <v>14</v>
      </c>
      <c r="S17" s="705">
        <f>F17</f>
        <v>100</v>
      </c>
      <c r="T17" s="704" t="s">
        <v>14</v>
      </c>
      <c r="U17" s="705">
        <f>H17</f>
        <v>100</v>
      </c>
      <c r="V17" s="704" t="s">
        <v>14</v>
      </c>
      <c r="W17" s="705">
        <f>J17</f>
        <v>100</v>
      </c>
      <c r="X17" s="1353"/>
      <c r="Y17" s="372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36"/>
      <c r="Q18" s="1350"/>
      <c r="R18" s="704"/>
      <c r="S18" s="705"/>
      <c r="T18" s="704"/>
      <c r="U18" s="705"/>
      <c r="V18" s="704"/>
      <c r="W18" s="705"/>
      <c r="X18" s="1353"/>
      <c r="Y18" s="372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6"/>
      <c r="Q19" s="1350" t="str">
        <f>B19</f>
        <v>公共配套设施</v>
      </c>
      <c r="R19" s="704" t="s">
        <v>14</v>
      </c>
      <c r="S19" s="705">
        <f>F19</f>
        <v>100</v>
      </c>
      <c r="T19" s="704" t="s">
        <v>14</v>
      </c>
      <c r="U19" s="705">
        <f>H19</f>
        <v>100</v>
      </c>
      <c r="V19" s="704" t="s">
        <v>14</v>
      </c>
      <c r="W19" s="705">
        <f>J19</f>
        <v>100</v>
      </c>
      <c r="X19" s="1353"/>
      <c r="Y19" s="372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36"/>
      <c r="Q20" s="1350"/>
      <c r="R20" s="704"/>
      <c r="S20" s="705"/>
      <c r="T20" s="704"/>
      <c r="U20" s="705"/>
      <c r="V20" s="704"/>
      <c r="W20" s="705"/>
      <c r="X20" s="1353"/>
      <c r="Y20" s="372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6"/>
      <c r="Q21" s="1350" t="str">
        <f>B21</f>
        <v>基础设施水平</v>
      </c>
      <c r="R21" s="704" t="s">
        <v>14</v>
      </c>
      <c r="S21" s="705">
        <f>F21</f>
        <v>100</v>
      </c>
      <c r="T21" s="704" t="s">
        <v>14</v>
      </c>
      <c r="U21" s="705">
        <f>H21</f>
        <v>100</v>
      </c>
      <c r="V21" s="704" t="s">
        <v>14</v>
      </c>
      <c r="W21" s="705">
        <f>J21</f>
        <v>100</v>
      </c>
      <c r="X21" s="1353"/>
      <c r="Y21" s="372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36"/>
      <c r="Q22" s="1350"/>
      <c r="R22" s="704"/>
      <c r="S22" s="705"/>
      <c r="T22" s="704"/>
      <c r="U22" s="705"/>
      <c r="V22" s="704"/>
      <c r="W22" s="705"/>
      <c r="X22" s="1353"/>
      <c r="Y22" s="372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6"/>
      <c r="Q23" s="1350" t="str">
        <f>B23</f>
        <v>自然及人文环境</v>
      </c>
      <c r="R23" s="704" t="s">
        <v>14</v>
      </c>
      <c r="S23" s="705">
        <f>F23</f>
        <v>100</v>
      </c>
      <c r="T23" s="704" t="s">
        <v>14</v>
      </c>
      <c r="U23" s="705">
        <f>H23</f>
        <v>100</v>
      </c>
      <c r="V23" s="704" t="s">
        <v>14</v>
      </c>
      <c r="W23" s="705">
        <f>J23</f>
        <v>100</v>
      </c>
      <c r="X23" s="1353"/>
      <c r="Y23" s="372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36"/>
      <c r="Q24" s="1350"/>
      <c r="R24" s="704"/>
      <c r="S24" s="705"/>
      <c r="T24" s="704"/>
      <c r="U24" s="705"/>
      <c r="V24" s="704"/>
      <c r="W24" s="705"/>
      <c r="X24" s="1353"/>
      <c r="Y24" s="372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6"/>
      <c r="Q25" s="1350" t="str">
        <f t="shared" ref="Q25:Q46" si="11">B25</f>
        <v>临街状况</v>
      </c>
      <c r="R25" s="704" t="s">
        <v>14</v>
      </c>
      <c r="S25" s="705">
        <f>F25</f>
        <v>100</v>
      </c>
      <c r="T25" s="704" t="s">
        <v>14</v>
      </c>
      <c r="U25" s="705">
        <f>H25</f>
        <v>100</v>
      </c>
      <c r="V25" s="704" t="s">
        <v>14</v>
      </c>
      <c r="W25" s="705">
        <f>J25</f>
        <v>100</v>
      </c>
      <c r="X25" s="1353"/>
      <c r="Y25" s="372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6"/>
      <c r="Q26" s="1350" t="str">
        <f t="shared" si="11"/>
        <v>平面位置/可视性</v>
      </c>
      <c r="R26" s="704" t="s">
        <v>14</v>
      </c>
      <c r="S26" s="705">
        <f>F26</f>
        <v>100</v>
      </c>
      <c r="T26" s="704" t="s">
        <v>14</v>
      </c>
      <c r="U26" s="705">
        <f>H26</f>
        <v>100</v>
      </c>
      <c r="V26" s="704" t="s">
        <v>14</v>
      </c>
      <c r="W26" s="705">
        <f>J26</f>
        <v>100</v>
      </c>
      <c r="X26" s="1353"/>
      <c r="Y26" s="372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6"/>
      <c r="Q27" s="1341" t="str">
        <f t="shared" si="11"/>
        <v>人流量</v>
      </c>
      <c r="R27" s="700" t="s">
        <v>14</v>
      </c>
      <c r="S27" s="701">
        <f>F27</f>
        <v>100</v>
      </c>
      <c r="T27" s="700" t="s">
        <v>14</v>
      </c>
      <c r="U27" s="701">
        <f>H27</f>
        <v>100</v>
      </c>
      <c r="V27" s="700" t="s">
        <v>14</v>
      </c>
      <c r="W27" s="701">
        <f>J27</f>
        <v>100</v>
      </c>
      <c r="X27" s="702"/>
      <c r="Y27" s="372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2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6"/>
      <c r="Q29" s="1350">
        <f t="shared" si="11"/>
        <v>111</v>
      </c>
      <c r="R29" s="704" t="s">
        <v>14</v>
      </c>
      <c r="S29" s="705">
        <f t="shared" si="12"/>
        <v>100</v>
      </c>
      <c r="T29" s="704" t="s">
        <v>14</v>
      </c>
      <c r="U29" s="705">
        <f t="shared" si="13"/>
        <v>100</v>
      </c>
      <c r="V29" s="704" t="s">
        <v>14</v>
      </c>
      <c r="W29" s="705">
        <f t="shared" si="14"/>
        <v>100</v>
      </c>
      <c r="X29" s="1353"/>
      <c r="Y29" s="372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6"/>
      <c r="Q30" s="1350">
        <f t="shared" si="11"/>
        <v>111</v>
      </c>
      <c r="R30" s="704" t="s">
        <v>14</v>
      </c>
      <c r="S30" s="705">
        <f t="shared" si="12"/>
        <v>100</v>
      </c>
      <c r="T30" s="704" t="s">
        <v>14</v>
      </c>
      <c r="U30" s="705">
        <f t="shared" si="13"/>
        <v>100</v>
      </c>
      <c r="V30" s="704" t="s">
        <v>14</v>
      </c>
      <c r="W30" s="705">
        <f t="shared" si="14"/>
        <v>100</v>
      </c>
      <c r="X30" s="1353"/>
      <c r="Y30" s="372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6"/>
      <c r="Q31" s="1350">
        <f t="shared" si="11"/>
        <v>111</v>
      </c>
      <c r="R31" s="704" t="s">
        <v>14</v>
      </c>
      <c r="S31" s="705">
        <f t="shared" si="12"/>
        <v>100</v>
      </c>
      <c r="T31" s="704" t="s">
        <v>14</v>
      </c>
      <c r="U31" s="705">
        <f t="shared" si="13"/>
        <v>100</v>
      </c>
      <c r="V31" s="704" t="s">
        <v>14</v>
      </c>
      <c r="W31" s="705">
        <f t="shared" si="14"/>
        <v>100</v>
      </c>
      <c r="X31" s="1353"/>
      <c r="Y31" s="372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30" t="s">
        <v>1696</v>
      </c>
      <c r="Q32" s="1350" t="str">
        <f t="shared" si="11"/>
        <v>商业类型</v>
      </c>
      <c r="R32" s="704" t="s">
        <v>14</v>
      </c>
      <c r="S32" s="705">
        <f t="shared" si="12"/>
        <v>100</v>
      </c>
      <c r="T32" s="704" t="s">
        <v>14</v>
      </c>
      <c r="U32" s="705">
        <f t="shared" si="13"/>
        <v>100</v>
      </c>
      <c r="V32" s="704" t="s">
        <v>14</v>
      </c>
      <c r="W32" s="705">
        <f t="shared" si="14"/>
        <v>100</v>
      </c>
      <c r="X32" s="1353"/>
      <c r="Y32" s="373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1"/>
      <c r="Q33" s="706" t="str">
        <f t="shared" si="11"/>
        <v>项目建筑规模</v>
      </c>
      <c r="R33" s="707" t="s">
        <v>14</v>
      </c>
      <c r="S33" s="708" t="e">
        <f t="shared" si="12"/>
        <v>#N/A</v>
      </c>
      <c r="T33" s="707" t="s">
        <v>14</v>
      </c>
      <c r="U33" s="708" t="e">
        <f t="shared" si="13"/>
        <v>#N/A</v>
      </c>
      <c r="V33" s="707" t="s">
        <v>14</v>
      </c>
      <c r="W33" s="708" t="e">
        <f t="shared" si="14"/>
        <v>#N/A</v>
      </c>
      <c r="X33" s="709"/>
      <c r="Y33" s="3733"/>
      <c r="Z33" s="710"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31"/>
      <c r="Q34" s="1350" t="str">
        <f t="shared" si="11"/>
        <v>建筑结构</v>
      </c>
      <c r="R34" s="704" t="s">
        <v>14</v>
      </c>
      <c r="S34" s="705">
        <f t="shared" si="12"/>
        <v>100</v>
      </c>
      <c r="T34" s="704" t="s">
        <v>14</v>
      </c>
      <c r="U34" s="705">
        <f t="shared" si="13"/>
        <v>100</v>
      </c>
      <c r="V34" s="704" t="s">
        <v>14</v>
      </c>
      <c r="W34" s="705">
        <f t="shared" si="14"/>
        <v>100</v>
      </c>
      <c r="X34" s="1353"/>
      <c r="Y34" s="373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31"/>
      <c r="Q35" s="1350" t="str">
        <f t="shared" si="11"/>
        <v>公共部分装修</v>
      </c>
      <c r="R35" s="704" t="s">
        <v>14</v>
      </c>
      <c r="S35" s="705">
        <f t="shared" si="12"/>
        <v>100</v>
      </c>
      <c r="T35" s="704" t="s">
        <v>14</v>
      </c>
      <c r="U35" s="705">
        <f t="shared" si="13"/>
        <v>100</v>
      </c>
      <c r="V35" s="704" t="s">
        <v>14</v>
      </c>
      <c r="W35" s="705">
        <f t="shared" si="14"/>
        <v>100</v>
      </c>
      <c r="X35" s="1353"/>
      <c r="Y35" s="373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1"/>
      <c r="Q36" s="1350" t="str">
        <f t="shared" si="11"/>
        <v>成新度</v>
      </c>
      <c r="R36" s="704" t="s">
        <v>14</v>
      </c>
      <c r="S36" s="705" t="e">
        <f t="shared" si="12"/>
        <v>#N/A</v>
      </c>
      <c r="T36" s="704" t="s">
        <v>14</v>
      </c>
      <c r="U36" s="705" t="e">
        <f t="shared" si="13"/>
        <v>#N/A</v>
      </c>
      <c r="V36" s="704" t="s">
        <v>14</v>
      </c>
      <c r="W36" s="705" t="e">
        <f t="shared" si="14"/>
        <v>#N/A</v>
      </c>
      <c r="X36" s="1353"/>
      <c r="Y36" s="373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31"/>
      <c r="Q37" s="1341" t="str">
        <f t="shared" si="11"/>
        <v>市政基础设施</v>
      </c>
      <c r="R37" s="700" t="s">
        <v>14</v>
      </c>
      <c r="S37" s="701">
        <f t="shared" si="12"/>
        <v>100</v>
      </c>
      <c r="T37" s="700" t="s">
        <v>14</v>
      </c>
      <c r="U37" s="701">
        <f t="shared" si="13"/>
        <v>100</v>
      </c>
      <c r="V37" s="700" t="s">
        <v>14</v>
      </c>
      <c r="W37" s="701">
        <f t="shared" si="14"/>
        <v>100</v>
      </c>
      <c r="X37" s="702"/>
      <c r="Y37" s="3733"/>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31" t="s">
        <v>1696</v>
      </c>
      <c r="Q38" s="1350" t="str">
        <f t="shared" si="11"/>
        <v>业态</v>
      </c>
      <c r="R38" s="704" t="s">
        <v>14</v>
      </c>
      <c r="S38" s="705">
        <f t="shared" si="12"/>
        <v>100</v>
      </c>
      <c r="T38" s="704" t="s">
        <v>14</v>
      </c>
      <c r="U38" s="705">
        <f t="shared" si="13"/>
        <v>100</v>
      </c>
      <c r="V38" s="704" t="s">
        <v>14</v>
      </c>
      <c r="W38" s="705">
        <f t="shared" si="14"/>
        <v>100</v>
      </c>
      <c r="X38" s="1353"/>
      <c r="Y38" s="373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31"/>
      <c r="Q39" s="1350" t="str">
        <f t="shared" si="11"/>
        <v>层高</v>
      </c>
      <c r="R39" s="704" t="s">
        <v>14</v>
      </c>
      <c r="S39" s="705">
        <f t="shared" si="12"/>
        <v>100</v>
      </c>
      <c r="T39" s="704" t="s">
        <v>14</v>
      </c>
      <c r="U39" s="705">
        <f t="shared" si="13"/>
        <v>100</v>
      </c>
      <c r="V39" s="704" t="s">
        <v>14</v>
      </c>
      <c r="W39" s="705">
        <f t="shared" si="14"/>
        <v>100</v>
      </c>
      <c r="X39" s="1353"/>
      <c r="Y39" s="373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1"/>
      <c r="Q40" s="1350" t="str">
        <f t="shared" si="11"/>
        <v>单套建筑面积</v>
      </c>
      <c r="R40" s="704" t="s">
        <v>14</v>
      </c>
      <c r="S40" s="705">
        <f t="shared" si="12"/>
        <v>100</v>
      </c>
      <c r="T40" s="704" t="s">
        <v>14</v>
      </c>
      <c r="U40" s="705">
        <f t="shared" si="13"/>
        <v>100</v>
      </c>
      <c r="V40" s="704" t="s">
        <v>14</v>
      </c>
      <c r="W40" s="705">
        <f t="shared" si="14"/>
        <v>100</v>
      </c>
      <c r="X40" s="1353"/>
      <c r="Y40" s="373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1"/>
      <c r="Q41" s="706" t="str">
        <f t="shared" si="11"/>
        <v>进深比</v>
      </c>
      <c r="R41" s="707" t="s">
        <v>14</v>
      </c>
      <c r="S41" s="708">
        <f t="shared" si="12"/>
        <v>100</v>
      </c>
      <c r="T41" s="707" t="s">
        <v>14</v>
      </c>
      <c r="U41" s="708">
        <f t="shared" si="13"/>
        <v>100</v>
      </c>
      <c r="V41" s="707" t="s">
        <v>14</v>
      </c>
      <c r="W41" s="708">
        <f t="shared" si="14"/>
        <v>100</v>
      </c>
      <c r="X41" s="709"/>
      <c r="Y41" s="3733"/>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31"/>
      <c r="Q42" s="1350" t="str">
        <f t="shared" si="11"/>
        <v>内部装修</v>
      </c>
      <c r="R42" s="704" t="s">
        <v>14</v>
      </c>
      <c r="S42" s="705">
        <f t="shared" si="12"/>
        <v>100</v>
      </c>
      <c r="T42" s="704" t="s">
        <v>14</v>
      </c>
      <c r="U42" s="705">
        <f t="shared" si="13"/>
        <v>100</v>
      </c>
      <c r="V42" s="704" t="s">
        <v>14</v>
      </c>
      <c r="W42" s="705">
        <f t="shared" si="14"/>
        <v>100</v>
      </c>
      <c r="X42" s="1353"/>
      <c r="Y42" s="373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31"/>
      <c r="Q43" s="1350" t="str">
        <f t="shared" si="11"/>
        <v>内部装修维护情况</v>
      </c>
      <c r="R43" s="704" t="s">
        <v>14</v>
      </c>
      <c r="S43" s="705">
        <f t="shared" si="12"/>
        <v>100</v>
      </c>
      <c r="T43" s="704" t="s">
        <v>14</v>
      </c>
      <c r="U43" s="705">
        <f t="shared" si="13"/>
        <v>100</v>
      </c>
      <c r="V43" s="704" t="s">
        <v>14</v>
      </c>
      <c r="W43" s="705">
        <f t="shared" si="14"/>
        <v>100</v>
      </c>
      <c r="X43" s="1353"/>
      <c r="Y43" s="373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1"/>
      <c r="Q44" s="1341">
        <f t="shared" si="11"/>
        <v>111</v>
      </c>
      <c r="R44" s="700" t="s">
        <v>14</v>
      </c>
      <c r="S44" s="701">
        <f t="shared" si="12"/>
        <v>100</v>
      </c>
      <c r="T44" s="700" t="s">
        <v>14</v>
      </c>
      <c r="U44" s="701">
        <f t="shared" si="13"/>
        <v>100</v>
      </c>
      <c r="V44" s="700" t="s">
        <v>14</v>
      </c>
      <c r="W44" s="701">
        <f t="shared" si="14"/>
        <v>100</v>
      </c>
      <c r="X44" s="702"/>
      <c r="Y44" s="3733"/>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1"/>
      <c r="Q45" s="1350">
        <f t="shared" si="11"/>
        <v>111</v>
      </c>
      <c r="R45" s="704" t="s">
        <v>14</v>
      </c>
      <c r="S45" s="705">
        <f t="shared" si="12"/>
        <v>100</v>
      </c>
      <c r="T45" s="704" t="s">
        <v>14</v>
      </c>
      <c r="U45" s="705">
        <f t="shared" si="13"/>
        <v>100</v>
      </c>
      <c r="V45" s="704" t="s">
        <v>14</v>
      </c>
      <c r="W45" s="705">
        <f t="shared" si="14"/>
        <v>100</v>
      </c>
      <c r="X45" s="1353"/>
      <c r="Y45" s="373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2"/>
      <c r="Q46" s="1350">
        <f t="shared" si="11"/>
        <v>111</v>
      </c>
      <c r="R46" s="704" t="s">
        <v>14</v>
      </c>
      <c r="S46" s="705">
        <f t="shared" si="12"/>
        <v>100</v>
      </c>
      <c r="T46" s="704" t="s">
        <v>14</v>
      </c>
      <c r="U46" s="705">
        <f t="shared" si="13"/>
        <v>100</v>
      </c>
      <c r="V46" s="704" t="s">
        <v>14</v>
      </c>
      <c r="W46" s="705">
        <f t="shared" si="14"/>
        <v>100</v>
      </c>
      <c r="X46" s="1353"/>
      <c r="Y46" s="373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3"/>
      <c r="L47" s="2722"/>
      <c r="M47" s="2723"/>
      <c r="N47" s="2714"/>
      <c r="O47" s="2723"/>
      <c r="P47" s="3726" t="str">
        <f>A47</f>
        <v>成交单价（元/平方米）</v>
      </c>
      <c r="Q47" s="3726"/>
      <c r="R47" s="3721">
        <f>E47</f>
        <v>0</v>
      </c>
      <c r="S47" s="3721"/>
      <c r="T47" s="3721">
        <f>G47</f>
        <v>0</v>
      </c>
      <c r="U47" s="3721"/>
      <c r="V47" s="3721">
        <f>I47</f>
        <v>0</v>
      </c>
      <c r="W47" s="3721"/>
      <c r="X47" s="689"/>
      <c r="Y47" s="711"/>
      <c r="Z47" s="689"/>
      <c r="AA47" s="689"/>
      <c r="AB47" s="689"/>
      <c r="AC47" s="689"/>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9"/>
      <c r="Y48" s="689"/>
      <c r="Z48" s="689"/>
      <c r="AA48" s="689"/>
      <c r="AB48" s="689"/>
      <c r="AC48" s="689"/>
    </row>
    <row r="49" spans="1:29" ht="15.75" thickBot="1">
      <c r="A49" s="441" t="s">
        <v>1794</v>
      </c>
      <c r="B49" s="442"/>
      <c r="C49" s="1161" t="e">
        <f>R49</f>
        <v>#DIV/0!</v>
      </c>
      <c r="D49" s="1161"/>
      <c r="E49" s="1161"/>
      <c r="F49" s="1161"/>
      <c r="G49" s="1161"/>
      <c r="H49" s="1161"/>
      <c r="I49" s="1161"/>
      <c r="J49" s="1161"/>
      <c r="K49" s="714"/>
      <c r="L49" s="2722"/>
      <c r="M49" s="2723"/>
      <c r="N49" s="2714"/>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9" zoomScale="80" zoomScaleNormal="70" zoomScaleSheetLayoutView="80" workbookViewId="0">
      <selection activeCell="M47" sqref="M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125" style="357" customWidth="1"/>
    <col min="6" max="6" width="12.25" style="357" customWidth="1"/>
    <col min="7" max="7" width="15.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3439</v>
      </c>
      <c r="E1" s="3431" t="s">
        <v>3443</v>
      </c>
      <c r="F1" s="1877" t="s">
        <v>3442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4.0999999999999996</v>
      </c>
      <c r="C3" s="354" t="s">
        <v>1768</v>
      </c>
      <c r="D3" s="353">
        <f>IF(D1="",'数据-汇总表'!E3,SUMIF('数据-汇总表'!$C19:$C33,D1,'数据-汇总表'!$E19:$E33))</f>
        <v>15080.55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45" t="s">
        <v>1775</v>
      </c>
      <c r="Q4" s="3746"/>
      <c r="R4" s="3738" t="s">
        <v>1771</v>
      </c>
      <c r="S4" s="3739"/>
      <c r="T4" s="3738" t="s">
        <v>1772</v>
      </c>
      <c r="U4" s="3739"/>
      <c r="V4" s="3749" t="s">
        <v>1773</v>
      </c>
      <c r="W4" s="3749"/>
      <c r="X4" s="1956"/>
      <c r="Y4" s="3738" t="s">
        <v>1775</v>
      </c>
      <c r="Z4" s="3739"/>
      <c r="AA4" s="3737" t="s">
        <v>1771</v>
      </c>
      <c r="AB4" s="3737" t="s">
        <v>1772</v>
      </c>
      <c r="AC4" s="3742" t="s">
        <v>1773</v>
      </c>
    </row>
    <row r="5" spans="1:29" ht="15">
      <c r="A5" s="358"/>
      <c r="B5" s="359"/>
      <c r="C5" s="3741" t="s">
        <v>3479</v>
      </c>
      <c r="D5" s="3703"/>
      <c r="E5" s="3740" t="s">
        <v>3521</v>
      </c>
      <c r="F5" s="3701"/>
      <c r="G5" s="3741" t="s">
        <v>3522</v>
      </c>
      <c r="H5" s="3703"/>
      <c r="I5" s="3741" t="s">
        <v>3523</v>
      </c>
      <c r="J5" s="3703"/>
      <c r="K5" s="559"/>
      <c r="L5" s="2713"/>
      <c r="M5" s="2714"/>
      <c r="N5" s="2714"/>
      <c r="O5" s="2714"/>
      <c r="P5" s="3747"/>
      <c r="Q5" s="3716"/>
      <c r="R5" s="3698"/>
      <c r="S5" s="3699"/>
      <c r="T5" s="3698"/>
      <c r="U5" s="3699"/>
      <c r="V5" s="3721"/>
      <c r="W5" s="3721"/>
      <c r="X5" s="1353"/>
      <c r="Y5" s="3698"/>
      <c r="Z5" s="3699"/>
      <c r="AA5" s="3692"/>
      <c r="AB5" s="3692"/>
      <c r="AC5" s="3743"/>
    </row>
    <row r="6" spans="1:29" ht="15.75" thickBot="1">
      <c r="A6" s="360"/>
      <c r="B6" s="361"/>
      <c r="C6" s="3704" t="s">
        <v>1677</v>
      </c>
      <c r="D6" s="3705"/>
      <c r="E6" s="3706" t="s">
        <v>1677</v>
      </c>
      <c r="F6" s="3707"/>
      <c r="G6" s="3704" t="s">
        <v>1677</v>
      </c>
      <c r="H6" s="3705"/>
      <c r="I6" s="3704" t="s">
        <v>1677</v>
      </c>
      <c r="J6" s="3705"/>
      <c r="K6" s="559" t="s">
        <v>1678</v>
      </c>
      <c r="L6" s="2713"/>
      <c r="M6" s="2714"/>
      <c r="N6" s="2714"/>
      <c r="O6" s="2714"/>
      <c r="P6" s="3748"/>
      <c r="Q6" s="3718"/>
      <c r="R6" s="3698"/>
      <c r="S6" s="3699"/>
      <c r="T6" s="3719"/>
      <c r="U6" s="3720"/>
      <c r="V6" s="3721"/>
      <c r="W6" s="3721"/>
      <c r="X6" s="1353"/>
      <c r="Y6" s="3719"/>
      <c r="Z6" s="3720"/>
      <c r="AA6" s="3693"/>
      <c r="AB6" s="3693"/>
      <c r="AC6" s="3744"/>
    </row>
    <row r="7" spans="1:29" s="108" customFormat="1" ht="15.75" thickBot="1">
      <c r="A7" s="362" t="s">
        <v>1679</v>
      </c>
      <c r="B7" s="363"/>
      <c r="C7" s="364">
        <f>'数据-取费表'!B2</f>
        <v>45212</v>
      </c>
      <c r="D7" s="365">
        <v>100</v>
      </c>
      <c r="E7" s="366">
        <f>C7</f>
        <v>45212</v>
      </c>
      <c r="F7" s="367">
        <f>SUMIF(59:59,YEAR(E7)&amp;"-"&amp;MONTH(E7),60:60)</f>
        <v>100</v>
      </c>
      <c r="G7" s="366">
        <f>C7</f>
        <v>45212</v>
      </c>
      <c r="H7" s="365">
        <f>SUMIF(59:59,YEAR(G7)&amp;"-"&amp;MONTH(G7),60:60)</f>
        <v>100</v>
      </c>
      <c r="I7" s="366">
        <f>C7</f>
        <v>45212</v>
      </c>
      <c r="J7" s="365">
        <f>SUMIF(59:59,YEAR(I7)&amp;"-"&amp;MONTH(I7),60:60)</f>
        <v>100</v>
      </c>
      <c r="K7" s="560"/>
      <c r="L7" s="2715"/>
      <c r="M7" s="2716"/>
      <c r="N7" s="2716"/>
      <c r="O7" s="2716"/>
      <c r="P7" s="3750" t="s">
        <v>1680</v>
      </c>
      <c r="Q7" s="3722"/>
      <c r="R7" s="700" t="s">
        <v>14</v>
      </c>
      <c r="S7" s="701">
        <f t="shared" ref="S7:S15" si="0">F7</f>
        <v>100</v>
      </c>
      <c r="T7" s="700" t="s">
        <v>14</v>
      </c>
      <c r="U7" s="701">
        <f t="shared" ref="U7:U15" si="1">H7</f>
        <v>100</v>
      </c>
      <c r="V7" s="700" t="s">
        <v>14</v>
      </c>
      <c r="W7" s="701">
        <f t="shared" ref="W7:W15" si="2">J7</f>
        <v>100</v>
      </c>
      <c r="X7" s="702"/>
      <c r="Y7" s="3694" t="s">
        <v>1680</v>
      </c>
      <c r="Z7" s="3695"/>
      <c r="AA7" s="703">
        <f>D7/F7</f>
        <v>1</v>
      </c>
      <c r="AB7" s="703">
        <f>D7/H7</f>
        <v>1</v>
      </c>
      <c r="AC7" s="1957">
        <f>D7/J7</f>
        <v>1</v>
      </c>
    </row>
    <row r="8" spans="1:29" s="108" customFormat="1" ht="15.75" thickBot="1">
      <c r="A8" s="362" t="s">
        <v>1681</v>
      </c>
      <c r="B8" s="363"/>
      <c r="C8" s="368" t="s">
        <v>3445</v>
      </c>
      <c r="D8" s="365">
        <v>100</v>
      </c>
      <c r="E8" s="368" t="s">
        <v>3480</v>
      </c>
      <c r="F8" s="367">
        <f>SUMIF(62:62,E8,63:63)-SUMIF(62:62,C8,63:63)+100</f>
        <v>105</v>
      </c>
      <c r="G8" s="368" t="s">
        <v>3480</v>
      </c>
      <c r="H8" s="365">
        <f>SUMIF(62:62,G8,63:63)-SUMIF(62:62,C8,63:63)+100</f>
        <v>105</v>
      </c>
      <c r="I8" s="368" t="s">
        <v>3480</v>
      </c>
      <c r="J8" s="365">
        <f>SUMIF(62:62,I8,63:63)-SUMIF(62:62,C8,63:63)+100</f>
        <v>105</v>
      </c>
      <c r="K8" s="560"/>
      <c r="L8" s="2715"/>
      <c r="M8" s="2716"/>
      <c r="N8" s="2716"/>
      <c r="O8" s="2716"/>
      <c r="P8" s="3750" t="s">
        <v>1683</v>
      </c>
      <c r="Q8" s="3695"/>
      <c r="R8" s="700" t="s">
        <v>14</v>
      </c>
      <c r="S8" s="701">
        <f t="shared" si="0"/>
        <v>105</v>
      </c>
      <c r="T8" s="700" t="s">
        <v>14</v>
      </c>
      <c r="U8" s="701">
        <f t="shared" si="1"/>
        <v>105</v>
      </c>
      <c r="V8" s="700" t="s">
        <v>14</v>
      </c>
      <c r="W8" s="701">
        <f t="shared" si="2"/>
        <v>105</v>
      </c>
      <c r="X8" s="702"/>
      <c r="Y8" s="3694" t="s">
        <v>1683</v>
      </c>
      <c r="Z8" s="3695"/>
      <c r="AA8" s="703">
        <f t="shared" ref="AA8:AA47" si="3">D8/F8</f>
        <v>0.95238095238095233</v>
      </c>
      <c r="AB8" s="703">
        <f t="shared" ref="AB8:AB47" si="4">D8/H8</f>
        <v>0.95238095238095233</v>
      </c>
      <c r="AC8" s="1957">
        <f t="shared" ref="AC8:AC47" si="5">D8/J8</f>
        <v>0.95238095238095233</v>
      </c>
    </row>
    <row r="9" spans="1:29" s="108" customFormat="1">
      <c r="A9" s="369" t="s">
        <v>1684</v>
      </c>
      <c r="B9" s="63" t="s">
        <v>1685</v>
      </c>
      <c r="C9" s="3464" t="s">
        <v>3446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8"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1957">
        <f t="shared" si="5"/>
        <v>1</v>
      </c>
    </row>
    <row r="10" spans="1:29" s="378" customFormat="1" ht="27">
      <c r="A10" s="374"/>
      <c r="B10" s="375" t="s">
        <v>1688</v>
      </c>
      <c r="C10" s="3432" t="s">
        <v>3461</v>
      </c>
      <c r="D10" s="127">
        <v>100</v>
      </c>
      <c r="E10" s="3432" t="s">
        <v>3484</v>
      </c>
      <c r="F10" s="127">
        <f>SUMIF(66:66,E10,67:67)-SUMIF(66:66,C10,67:67)+100</f>
        <v>97</v>
      </c>
      <c r="G10" s="3432" t="s">
        <v>3488</v>
      </c>
      <c r="H10" s="127">
        <f>SUMIF(66:66,G10,67:67)-SUMIF(66:66,C10,67:67)+100</f>
        <v>94</v>
      </c>
      <c r="I10" s="3432" t="s">
        <v>3488</v>
      </c>
      <c r="J10" s="127">
        <f>SUMIF(66:66,I10,67:67)-SUMIF(66:66,C10,67:67)+100</f>
        <v>94</v>
      </c>
      <c r="K10" s="560"/>
      <c r="L10" s="2717"/>
      <c r="M10" s="2718"/>
      <c r="N10" s="2718"/>
      <c r="O10" s="2718"/>
      <c r="P10" s="3708"/>
      <c r="Q10" s="1341" t="str">
        <f t="shared" si="6"/>
        <v>土地使用年限（年）</v>
      </c>
      <c r="R10" s="700" t="s">
        <v>14</v>
      </c>
      <c r="S10" s="701">
        <f t="shared" si="0"/>
        <v>97</v>
      </c>
      <c r="T10" s="700" t="s">
        <v>14</v>
      </c>
      <c r="U10" s="701">
        <f t="shared" si="1"/>
        <v>94</v>
      </c>
      <c r="V10" s="700" t="s">
        <v>14</v>
      </c>
      <c r="W10" s="701">
        <f t="shared" si="2"/>
        <v>94</v>
      </c>
      <c r="X10" s="702"/>
      <c r="Y10" s="3638"/>
      <c r="Z10" s="52" t="str">
        <f t="shared" si="7"/>
        <v>土地使用年限（年）</v>
      </c>
      <c r="AA10" s="703">
        <f t="shared" si="3"/>
        <v>1.0309278350515463</v>
      </c>
      <c r="AB10" s="703">
        <f t="shared" si="4"/>
        <v>1.0638297872340425</v>
      </c>
      <c r="AC10" s="1957">
        <f t="shared" si="5"/>
        <v>1.0638297872340425</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1341"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8"/>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8"/>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8"/>
      <c r="Q14" s="1341">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0"/>
      <c r="M15" s="2714"/>
      <c r="N15" s="2714"/>
      <c r="O15" s="2714"/>
      <c r="P15" s="3735" t="s">
        <v>1691</v>
      </c>
      <c r="Q15" s="1350" t="str">
        <f t="shared" si="6"/>
        <v>办公集聚程度</v>
      </c>
      <c r="R15" s="704" t="s">
        <v>14</v>
      </c>
      <c r="S15" s="705">
        <f t="shared" si="0"/>
        <v>100</v>
      </c>
      <c r="T15" s="704" t="s">
        <v>14</v>
      </c>
      <c r="U15" s="705">
        <f t="shared" si="1"/>
        <v>100</v>
      </c>
      <c r="V15" s="704" t="s">
        <v>14</v>
      </c>
      <c r="W15" s="705">
        <f t="shared" si="2"/>
        <v>100</v>
      </c>
      <c r="X15" s="1353"/>
      <c r="Y15" s="3728" t="s">
        <v>1691</v>
      </c>
      <c r="Z15" s="1354" t="str">
        <f t="shared" si="7"/>
        <v>办公集聚程度</v>
      </c>
      <c r="AA15" s="1351">
        <f t="shared" si="3"/>
        <v>1</v>
      </c>
      <c r="AB15" s="1351">
        <f t="shared" si="4"/>
        <v>1</v>
      </c>
      <c r="AC15" s="1960">
        <f t="shared" si="5"/>
        <v>1</v>
      </c>
    </row>
    <row r="16" spans="1:29" ht="15">
      <c r="A16" s="379"/>
      <c r="B16" s="578"/>
      <c r="C16" s="1902" t="s">
        <v>3462</v>
      </c>
      <c r="D16" s="399"/>
      <c r="E16" s="1902" t="s">
        <v>3462</v>
      </c>
      <c r="F16" s="399"/>
      <c r="G16" s="1902" t="s">
        <v>3462</v>
      </c>
      <c r="H16" s="401"/>
      <c r="I16" s="398" t="s">
        <v>3462</v>
      </c>
      <c r="J16" s="399"/>
      <c r="K16" s="564"/>
      <c r="L16" s="2720"/>
      <c r="M16" s="2714"/>
      <c r="N16" s="2714"/>
      <c r="O16" s="2714"/>
      <c r="P16" s="3736"/>
      <c r="Q16" s="1350"/>
      <c r="R16" s="704"/>
      <c r="S16" s="705"/>
      <c r="T16" s="704"/>
      <c r="U16" s="705"/>
      <c r="V16" s="704"/>
      <c r="W16" s="705"/>
      <c r="X16" s="1353"/>
      <c r="Y16" s="372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36"/>
      <c r="Q17" s="1350" t="str">
        <f>B17</f>
        <v>交通便捷度</v>
      </c>
      <c r="R17" s="704" t="s">
        <v>14</v>
      </c>
      <c r="S17" s="705">
        <f>F17</f>
        <v>100</v>
      </c>
      <c r="T17" s="704" t="s">
        <v>14</v>
      </c>
      <c r="U17" s="705">
        <f>H17</f>
        <v>100</v>
      </c>
      <c r="V17" s="704" t="s">
        <v>14</v>
      </c>
      <c r="W17" s="705">
        <f>J17</f>
        <v>100</v>
      </c>
      <c r="X17" s="1353"/>
      <c r="Y17" s="3729"/>
      <c r="Z17" s="1354" t="str">
        <f>Q17</f>
        <v>交通便捷度</v>
      </c>
      <c r="AA17" s="1351">
        <f t="shared" si="3"/>
        <v>1</v>
      </c>
      <c r="AB17" s="1351">
        <f t="shared" si="4"/>
        <v>1</v>
      </c>
      <c r="AC17" s="1960">
        <f t="shared" si="5"/>
        <v>1</v>
      </c>
    </row>
    <row r="18" spans="1:29" ht="15">
      <c r="A18" s="379"/>
      <c r="B18" s="580"/>
      <c r="C18" s="1962" t="s">
        <v>3462</v>
      </c>
      <c r="D18" s="401"/>
      <c r="E18" s="1962" t="s">
        <v>3462</v>
      </c>
      <c r="F18" s="401"/>
      <c r="G18" s="1901" t="s">
        <v>3462</v>
      </c>
      <c r="H18" s="399"/>
      <c r="I18" s="1901" t="s">
        <v>3462</v>
      </c>
      <c r="J18" s="399"/>
      <c r="K18" s="564"/>
      <c r="L18" s="2720"/>
      <c r="M18" s="2714"/>
      <c r="N18" s="2714"/>
      <c r="O18" s="2714"/>
      <c r="P18" s="3736"/>
      <c r="Q18" s="1350"/>
      <c r="R18" s="704"/>
      <c r="S18" s="705"/>
      <c r="T18" s="704"/>
      <c r="U18" s="705"/>
      <c r="V18" s="704"/>
      <c r="W18" s="705"/>
      <c r="X18" s="1353"/>
      <c r="Y18" s="372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36"/>
      <c r="Q19" s="1350" t="str">
        <f>B19</f>
        <v>公共配套设施</v>
      </c>
      <c r="R19" s="704" t="s">
        <v>14</v>
      </c>
      <c r="S19" s="705">
        <f>F19</f>
        <v>100</v>
      </c>
      <c r="T19" s="704" t="s">
        <v>14</v>
      </c>
      <c r="U19" s="705">
        <f>H19</f>
        <v>100</v>
      </c>
      <c r="V19" s="704" t="s">
        <v>14</v>
      </c>
      <c r="W19" s="705">
        <f>J19</f>
        <v>100</v>
      </c>
      <c r="X19" s="1353"/>
      <c r="Y19" s="3729"/>
      <c r="Z19" s="1354" t="str">
        <f>Q19</f>
        <v>公共配套设施</v>
      </c>
      <c r="AA19" s="1351">
        <f t="shared" si="3"/>
        <v>1</v>
      </c>
      <c r="AB19" s="1351">
        <f t="shared" si="4"/>
        <v>1</v>
      </c>
      <c r="AC19" s="1960">
        <f t="shared" si="5"/>
        <v>1</v>
      </c>
    </row>
    <row r="20" spans="1:29" ht="15">
      <c r="A20" s="379"/>
      <c r="B20" s="580"/>
      <c r="C20" s="1902" t="s">
        <v>3462</v>
      </c>
      <c r="D20" s="399"/>
      <c r="E20" s="1902" t="s">
        <v>3462</v>
      </c>
      <c r="F20" s="399"/>
      <c r="G20" s="1896" t="s">
        <v>3462</v>
      </c>
      <c r="H20" s="399"/>
      <c r="I20" s="1896" t="s">
        <v>3462</v>
      </c>
      <c r="J20" s="399"/>
      <c r="K20" s="564"/>
      <c r="L20" s="2720"/>
      <c r="M20" s="2714"/>
      <c r="N20" s="2714"/>
      <c r="O20" s="2714"/>
      <c r="P20" s="3736"/>
      <c r="Q20" s="1350"/>
      <c r="R20" s="704"/>
      <c r="S20" s="705"/>
      <c r="T20" s="704"/>
      <c r="U20" s="705"/>
      <c r="V20" s="704"/>
      <c r="W20" s="705"/>
      <c r="X20" s="1353"/>
      <c r="Y20" s="372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36"/>
      <c r="Q21" s="1350" t="str">
        <f>B21</f>
        <v>基础设施水平</v>
      </c>
      <c r="R21" s="704" t="s">
        <v>14</v>
      </c>
      <c r="S21" s="705">
        <f>F21</f>
        <v>100</v>
      </c>
      <c r="T21" s="704" t="s">
        <v>14</v>
      </c>
      <c r="U21" s="705">
        <f>H21</f>
        <v>100</v>
      </c>
      <c r="V21" s="704" t="s">
        <v>14</v>
      </c>
      <c r="W21" s="705">
        <f>J21</f>
        <v>100</v>
      </c>
      <c r="X21" s="1353"/>
      <c r="Y21" s="3729"/>
      <c r="Z21" s="1354" t="str">
        <f>Q21</f>
        <v>基础设施水平</v>
      </c>
      <c r="AA21" s="1351">
        <f t="shared" ref="AA21" si="8">D21/F21</f>
        <v>1</v>
      </c>
      <c r="AB21" s="1351">
        <f t="shared" ref="AB21" si="9">D21/H21</f>
        <v>1</v>
      </c>
      <c r="AC21" s="1960">
        <f t="shared" ref="AC21" si="10">D21/J21</f>
        <v>1</v>
      </c>
    </row>
    <row r="22" spans="1:29" ht="15">
      <c r="A22" s="379"/>
      <c r="B22" s="581"/>
      <c r="C22" s="1962" t="s">
        <v>3482</v>
      </c>
      <c r="D22" s="399"/>
      <c r="E22" s="1962" t="s">
        <v>3482</v>
      </c>
      <c r="F22" s="399"/>
      <c r="G22" s="1962" t="s">
        <v>3482</v>
      </c>
      <c r="H22" s="399"/>
      <c r="I22" s="1962" t="s">
        <v>3482</v>
      </c>
      <c r="J22" s="399"/>
      <c r="K22" s="1128"/>
      <c r="L22" s="2720"/>
      <c r="M22" s="2714"/>
      <c r="N22" s="2714"/>
      <c r="O22" s="2714"/>
      <c r="P22" s="3736"/>
      <c r="Q22" s="1350"/>
      <c r="R22" s="704"/>
      <c r="S22" s="705"/>
      <c r="T22" s="704"/>
      <c r="U22" s="705"/>
      <c r="V22" s="704"/>
      <c r="W22" s="705"/>
      <c r="X22" s="1353"/>
      <c r="Y22" s="372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36"/>
      <c r="Q23" s="1350" t="str">
        <f>B23</f>
        <v>环境质量</v>
      </c>
      <c r="R23" s="704" t="s">
        <v>14</v>
      </c>
      <c r="S23" s="705">
        <f>F23</f>
        <v>100</v>
      </c>
      <c r="T23" s="704" t="s">
        <v>14</v>
      </c>
      <c r="U23" s="705">
        <f>H23</f>
        <v>100</v>
      </c>
      <c r="V23" s="704" t="s">
        <v>14</v>
      </c>
      <c r="W23" s="705">
        <f>J23</f>
        <v>100</v>
      </c>
      <c r="X23" s="1353"/>
      <c r="Y23" s="3729"/>
      <c r="Z23" s="1354" t="str">
        <f>Q23</f>
        <v>环境质量</v>
      </c>
      <c r="AA23" s="1351">
        <f t="shared" si="3"/>
        <v>1</v>
      </c>
      <c r="AB23" s="1351">
        <f t="shared" si="4"/>
        <v>1</v>
      </c>
      <c r="AC23" s="1960">
        <f t="shared" si="5"/>
        <v>1</v>
      </c>
    </row>
    <row r="24" spans="1:29" ht="15">
      <c r="A24" s="379"/>
      <c r="B24" s="581"/>
      <c r="C24" s="1902" t="s">
        <v>3462</v>
      </c>
      <c r="D24" s="399"/>
      <c r="E24" s="1895" t="s">
        <v>3462</v>
      </c>
      <c r="F24" s="399"/>
      <c r="G24" s="1896" t="s">
        <v>3462</v>
      </c>
      <c r="H24" s="399"/>
      <c r="I24" s="1896" t="s">
        <v>3462</v>
      </c>
      <c r="J24" s="399"/>
      <c r="K24" s="564"/>
      <c r="L24" s="2720"/>
      <c r="M24" s="2714"/>
      <c r="N24" s="2714"/>
      <c r="O24" s="2714"/>
      <c r="P24" s="3736"/>
      <c r="Q24" s="1350"/>
      <c r="R24" s="704"/>
      <c r="S24" s="705"/>
      <c r="T24" s="704"/>
      <c r="U24" s="705"/>
      <c r="V24" s="704"/>
      <c r="W24" s="705"/>
      <c r="X24" s="1353"/>
      <c r="Y24" s="3729"/>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100</v>
      </c>
      <c r="K25" s="563">
        <v>2</v>
      </c>
      <c r="L25" s="2720"/>
      <c r="M25" s="2714"/>
      <c r="N25" s="2714"/>
      <c r="O25" s="2714"/>
      <c r="P25" s="3736"/>
      <c r="Q25" s="1350" t="str">
        <f>B25</f>
        <v>毗邻道路的类型与等级</v>
      </c>
      <c r="R25" s="704" t="s">
        <v>14</v>
      </c>
      <c r="S25" s="705">
        <f>F25</f>
        <v>98</v>
      </c>
      <c r="T25" s="704" t="s">
        <v>14</v>
      </c>
      <c r="U25" s="705">
        <f>H25</f>
        <v>98</v>
      </c>
      <c r="V25" s="704" t="s">
        <v>14</v>
      </c>
      <c r="W25" s="705">
        <f>J25</f>
        <v>100</v>
      </c>
      <c r="X25" s="1353"/>
      <c r="Y25" s="3729"/>
      <c r="Z25" s="1354" t="str">
        <f>Q25</f>
        <v>毗邻道路的类型与等级</v>
      </c>
      <c r="AA25" s="1351">
        <f t="shared" si="3"/>
        <v>1.0204081632653061</v>
      </c>
      <c r="AB25" s="1351">
        <f t="shared" si="4"/>
        <v>1.0204081632653061</v>
      </c>
      <c r="AC25" s="1960">
        <f t="shared" si="5"/>
        <v>1</v>
      </c>
    </row>
    <row r="26" spans="1:29" ht="15">
      <c r="A26" s="358"/>
      <c r="B26" s="580"/>
      <c r="C26" s="582" t="s">
        <v>3504</v>
      </c>
      <c r="D26" s="386"/>
      <c r="E26" s="3475" t="s">
        <v>3506</v>
      </c>
      <c r="F26" s="386"/>
      <c r="G26" s="3475" t="s">
        <v>3506</v>
      </c>
      <c r="H26" s="386"/>
      <c r="I26" s="582" t="s">
        <v>3504</v>
      </c>
      <c r="J26" s="386"/>
      <c r="K26" s="564"/>
      <c r="L26" s="2720"/>
      <c r="M26" s="2714"/>
      <c r="N26" s="2714"/>
      <c r="O26" s="2714"/>
      <c r="P26" s="3736"/>
      <c r="Q26" s="1350"/>
      <c r="R26" s="704"/>
      <c r="S26" s="705"/>
      <c r="T26" s="704"/>
      <c r="U26" s="705"/>
      <c r="V26" s="704"/>
      <c r="W26" s="705"/>
      <c r="X26" s="1353"/>
      <c r="Y26" s="3729"/>
      <c r="Z26" s="1354"/>
      <c r="AA26" s="1351">
        <v>1</v>
      </c>
      <c r="AB26" s="1351">
        <v>1</v>
      </c>
      <c r="AC26" s="1960">
        <v>1</v>
      </c>
    </row>
    <row r="27" spans="1:29" ht="15">
      <c r="A27" s="379"/>
      <c r="B27" s="580" t="s">
        <v>1783</v>
      </c>
      <c r="C27" s="582" t="s">
        <v>3448</v>
      </c>
      <c r="D27" s="386">
        <v>100</v>
      </c>
      <c r="E27" s="565" t="s">
        <v>3448</v>
      </c>
      <c r="F27" s="386">
        <f>SUMIF(89:89,E27,90:90)-SUMIF(89:89,C27,90:90)+100</f>
        <v>100</v>
      </c>
      <c r="G27" s="582" t="s">
        <v>3489</v>
      </c>
      <c r="H27" s="386">
        <f>SUMIF(89:89,G27,90:90)-SUMIF(89:89,C27,90:90)+100</f>
        <v>97</v>
      </c>
      <c r="I27" s="565" t="s">
        <v>3448</v>
      </c>
      <c r="J27" s="386">
        <f>SUMIF(89:89,I27,90:90)-SUMIF(89:89,C27,90:90)+100</f>
        <v>100</v>
      </c>
      <c r="K27" s="561">
        <v>3</v>
      </c>
      <c r="L27" s="2720"/>
      <c r="M27" s="2714"/>
      <c r="N27" s="2714"/>
      <c r="O27" s="2714"/>
      <c r="P27" s="3736"/>
      <c r="Q27" s="1350" t="str">
        <f t="shared" ref="Q27:Q47" si="11">B27</f>
        <v>楼层</v>
      </c>
      <c r="R27" s="704" t="s">
        <v>14</v>
      </c>
      <c r="S27" s="705">
        <f>F27</f>
        <v>100</v>
      </c>
      <c r="T27" s="704" t="s">
        <v>14</v>
      </c>
      <c r="U27" s="705">
        <f>H27</f>
        <v>97</v>
      </c>
      <c r="V27" s="704" t="s">
        <v>14</v>
      </c>
      <c r="W27" s="705">
        <f>J27</f>
        <v>100</v>
      </c>
      <c r="X27" s="1353"/>
      <c r="Y27" s="3729"/>
      <c r="Z27" s="1354" t="str">
        <f>Q27</f>
        <v>楼层</v>
      </c>
      <c r="AA27" s="1351">
        <f t="shared" si="3"/>
        <v>1</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6"/>
      <c r="Q28" s="1341" t="str">
        <f t="shared" si="11"/>
        <v>朝向</v>
      </c>
      <c r="R28" s="700" t="s">
        <v>14</v>
      </c>
      <c r="S28" s="701">
        <f>F28</f>
        <v>100</v>
      </c>
      <c r="T28" s="700" t="s">
        <v>14</v>
      </c>
      <c r="U28" s="701">
        <f>H28</f>
        <v>100</v>
      </c>
      <c r="V28" s="700" t="s">
        <v>14</v>
      </c>
      <c r="W28" s="701">
        <f>J28</f>
        <v>100</v>
      </c>
      <c r="X28" s="702"/>
      <c r="Y28" s="372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6"/>
      <c r="Q29" s="1350">
        <f t="shared" si="11"/>
        <v>111</v>
      </c>
      <c r="R29" s="704" t="s">
        <v>14</v>
      </c>
      <c r="S29" s="705">
        <f t="shared" ref="S29:S47" si="12">F29</f>
        <v>100</v>
      </c>
      <c r="T29" s="704" t="s">
        <v>14</v>
      </c>
      <c r="U29" s="705">
        <f t="shared" ref="U29:U47" si="13">H29</f>
        <v>100</v>
      </c>
      <c r="V29" s="704" t="s">
        <v>14</v>
      </c>
      <c r="W29" s="705">
        <f t="shared" ref="W29:W47" si="14">J29</f>
        <v>100</v>
      </c>
      <c r="X29" s="1353"/>
      <c r="Y29" s="372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6"/>
      <c r="Q30" s="1350">
        <f t="shared" si="11"/>
        <v>111</v>
      </c>
      <c r="R30" s="704" t="s">
        <v>14</v>
      </c>
      <c r="S30" s="705">
        <f t="shared" si="12"/>
        <v>100</v>
      </c>
      <c r="T30" s="704" t="s">
        <v>14</v>
      </c>
      <c r="U30" s="705">
        <f t="shared" si="13"/>
        <v>100</v>
      </c>
      <c r="V30" s="704" t="s">
        <v>14</v>
      </c>
      <c r="W30" s="705">
        <f t="shared" si="14"/>
        <v>100</v>
      </c>
      <c r="X30" s="1353"/>
      <c r="Y30" s="372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6"/>
      <c r="Q31" s="1350">
        <f t="shared" si="11"/>
        <v>111</v>
      </c>
      <c r="R31" s="704" t="s">
        <v>14</v>
      </c>
      <c r="S31" s="705">
        <f t="shared" si="12"/>
        <v>100</v>
      </c>
      <c r="T31" s="704" t="s">
        <v>14</v>
      </c>
      <c r="U31" s="705">
        <f t="shared" si="13"/>
        <v>100</v>
      </c>
      <c r="V31" s="704" t="s">
        <v>14</v>
      </c>
      <c r="W31" s="705">
        <f t="shared" si="14"/>
        <v>100</v>
      </c>
      <c r="X31" s="1353"/>
      <c r="Y31" s="372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6"/>
      <c r="Q32" s="1350">
        <f t="shared" si="11"/>
        <v>111</v>
      </c>
      <c r="R32" s="704" t="s">
        <v>14</v>
      </c>
      <c r="S32" s="705">
        <f t="shared" si="12"/>
        <v>100</v>
      </c>
      <c r="T32" s="704" t="s">
        <v>14</v>
      </c>
      <c r="U32" s="705">
        <f t="shared" si="13"/>
        <v>100</v>
      </c>
      <c r="V32" s="704" t="s">
        <v>14</v>
      </c>
      <c r="W32" s="705">
        <f t="shared" si="14"/>
        <v>100</v>
      </c>
      <c r="X32" s="1353"/>
      <c r="Y32" s="3729"/>
      <c r="Z32" s="1354">
        <f t="shared" si="15"/>
        <v>111</v>
      </c>
      <c r="AA32" s="1351">
        <f t="shared" si="3"/>
        <v>1</v>
      </c>
      <c r="AB32" s="1351">
        <f t="shared" si="4"/>
        <v>1</v>
      </c>
      <c r="AC32" s="1960">
        <f t="shared" si="5"/>
        <v>1</v>
      </c>
    </row>
    <row r="33" spans="1:29" ht="15">
      <c r="A33" s="391" t="s">
        <v>1694</v>
      </c>
      <c r="B33" s="63" t="s">
        <v>1817</v>
      </c>
      <c r="C33" s="1965" t="s">
        <v>3451</v>
      </c>
      <c r="D33" s="418">
        <v>100</v>
      </c>
      <c r="E33" s="1965" t="s">
        <v>3451</v>
      </c>
      <c r="F33" s="412">
        <f>SUMIF(101:101,E33,102:102)-SUMIF(101:101,C33,102:102)+100</f>
        <v>100</v>
      </c>
      <c r="G33" s="1965" t="s">
        <v>3451</v>
      </c>
      <c r="H33" s="386">
        <f>SUMIF(101:101,G33,102:102)-SUMIF(101:101,C33,102:102)+100</f>
        <v>100</v>
      </c>
      <c r="I33" s="1965" t="s">
        <v>3451</v>
      </c>
      <c r="J33" s="418">
        <f>SUMIF(101:101,I33,102:102)-SUMIF(101:101,C33,102:102)+100</f>
        <v>100</v>
      </c>
      <c r="K33" s="561">
        <v>2</v>
      </c>
      <c r="L33" s="2720"/>
      <c r="M33" s="2714"/>
      <c r="N33" s="2714"/>
      <c r="O33" s="2714"/>
      <c r="P33" s="3730" t="s">
        <v>1696</v>
      </c>
      <c r="Q33" s="1350" t="str">
        <f t="shared" si="11"/>
        <v>建筑类型</v>
      </c>
      <c r="R33" s="704" t="s">
        <v>14</v>
      </c>
      <c r="S33" s="705">
        <f t="shared" si="12"/>
        <v>100</v>
      </c>
      <c r="T33" s="704" t="s">
        <v>14</v>
      </c>
      <c r="U33" s="705">
        <f t="shared" si="13"/>
        <v>100</v>
      </c>
      <c r="V33" s="704" t="s">
        <v>14</v>
      </c>
      <c r="W33" s="705">
        <f t="shared" si="14"/>
        <v>100</v>
      </c>
      <c r="X33" s="1353"/>
      <c r="Y33" s="3733" t="s">
        <v>1696</v>
      </c>
      <c r="Z33" s="1354" t="str">
        <f t="shared" si="15"/>
        <v>建筑类型</v>
      </c>
      <c r="AA33" s="1351">
        <f t="shared" si="3"/>
        <v>1</v>
      </c>
      <c r="AB33" s="1351">
        <f t="shared" si="4"/>
        <v>1</v>
      </c>
      <c r="AC33" s="1960">
        <f t="shared" si="5"/>
        <v>1</v>
      </c>
    </row>
    <row r="34" spans="1:29" s="422" customFormat="1" ht="15">
      <c r="A34" s="419"/>
      <c r="B34" s="375" t="s">
        <v>1697</v>
      </c>
      <c r="C34" s="420">
        <f>燕保房屋清单!I7</f>
        <v>1387.78</v>
      </c>
      <c r="D34" s="127">
        <v>100</v>
      </c>
      <c r="E34" s="381">
        <v>531</v>
      </c>
      <c r="F34" s="376">
        <f>LOOKUP(E34,104:104,105:105)-LOOKUP(C34,104:104,105:105)+100</f>
        <v>101</v>
      </c>
      <c r="G34" s="380">
        <v>263.12</v>
      </c>
      <c r="H34" s="127">
        <f>LOOKUP(G34,104:104,105:105)-LOOKUP(C34,104:104,105:105)+100</f>
        <v>103</v>
      </c>
      <c r="I34" s="380">
        <v>300</v>
      </c>
      <c r="J34" s="127">
        <f>LOOKUP(I34,104:104,105:105)-LOOKUP(C34,104:104,105:105)+100</f>
        <v>102</v>
      </c>
      <c r="K34" s="562"/>
      <c r="L34" s="2719"/>
      <c r="M34" s="2721"/>
      <c r="N34" s="2721"/>
      <c r="O34" s="2721"/>
      <c r="P34" s="3731"/>
      <c r="Q34" s="706" t="str">
        <f t="shared" si="11"/>
        <v>项目建筑规模</v>
      </c>
      <c r="R34" s="707" t="s">
        <v>14</v>
      </c>
      <c r="S34" s="708">
        <f t="shared" si="12"/>
        <v>101</v>
      </c>
      <c r="T34" s="707" t="s">
        <v>14</v>
      </c>
      <c r="U34" s="708">
        <f t="shared" si="13"/>
        <v>103</v>
      </c>
      <c r="V34" s="707" t="s">
        <v>14</v>
      </c>
      <c r="W34" s="708">
        <f t="shared" si="14"/>
        <v>102</v>
      </c>
      <c r="X34" s="709"/>
      <c r="Y34" s="3733"/>
      <c r="Z34" s="710" t="str">
        <f t="shared" si="15"/>
        <v>项目建筑规模</v>
      </c>
      <c r="AA34" s="1351">
        <f t="shared" si="3"/>
        <v>0.99009900990099009</v>
      </c>
      <c r="AB34" s="1351">
        <f t="shared" si="4"/>
        <v>0.970873786407767</v>
      </c>
      <c r="AC34" s="1960">
        <f t="shared" si="5"/>
        <v>0.98039215686274506</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2</v>
      </c>
      <c r="L35" s="2720"/>
      <c r="M35" s="2714"/>
      <c r="N35" s="2714"/>
      <c r="O35" s="2714"/>
      <c r="P35" s="3731"/>
      <c r="Q35" s="1350" t="str">
        <f t="shared" si="11"/>
        <v>建筑结构</v>
      </c>
      <c r="R35" s="704" t="s">
        <v>14</v>
      </c>
      <c r="S35" s="705">
        <f t="shared" si="12"/>
        <v>100</v>
      </c>
      <c r="T35" s="704" t="s">
        <v>14</v>
      </c>
      <c r="U35" s="705">
        <f t="shared" si="13"/>
        <v>100</v>
      </c>
      <c r="V35" s="704" t="s">
        <v>14</v>
      </c>
      <c r="W35" s="705">
        <f t="shared" si="14"/>
        <v>100</v>
      </c>
      <c r="X35" s="1353"/>
      <c r="Y35" s="3733"/>
      <c r="Z35" s="1354" t="str">
        <f t="shared" si="15"/>
        <v>建筑结构</v>
      </c>
      <c r="AA35" s="1351">
        <f t="shared" si="3"/>
        <v>1</v>
      </c>
      <c r="AB35" s="1351">
        <f t="shared" si="4"/>
        <v>1</v>
      </c>
      <c r="AC35" s="1960">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20"/>
      <c r="M36" s="2714"/>
      <c r="N36" s="2714"/>
      <c r="O36" s="2714"/>
      <c r="P36" s="3731"/>
      <c r="Q36" s="1350" t="str">
        <f t="shared" si="11"/>
        <v>公共部分装修</v>
      </c>
      <c r="R36" s="704" t="s">
        <v>14</v>
      </c>
      <c r="S36" s="705">
        <f t="shared" si="12"/>
        <v>100</v>
      </c>
      <c r="T36" s="704" t="s">
        <v>14</v>
      </c>
      <c r="U36" s="705">
        <f t="shared" si="13"/>
        <v>100</v>
      </c>
      <c r="V36" s="704" t="s">
        <v>14</v>
      </c>
      <c r="W36" s="705">
        <f t="shared" si="14"/>
        <v>100</v>
      </c>
      <c r="X36" s="1353"/>
      <c r="Y36" s="3733"/>
      <c r="Z36" s="1354" t="str">
        <f t="shared" si="15"/>
        <v>公共部分装修</v>
      </c>
      <c r="AA36" s="1351">
        <f t="shared" si="3"/>
        <v>1</v>
      </c>
      <c r="AB36" s="1351">
        <f t="shared" si="4"/>
        <v>1</v>
      </c>
      <c r="AC36" s="1960">
        <f t="shared" si="5"/>
        <v>1</v>
      </c>
    </row>
    <row r="37" spans="1:29" ht="15">
      <c r="A37" s="423"/>
      <c r="B37" s="375" t="s">
        <v>1786</v>
      </c>
      <c r="C37" s="425">
        <f>'数据-取费表'!N6</f>
        <v>0.83</v>
      </c>
      <c r="D37" s="386">
        <v>100</v>
      </c>
      <c r="E37" s="425">
        <f>1-(2023-E51)/60</f>
        <v>0.78333333333333333</v>
      </c>
      <c r="F37" s="412">
        <f>LOOKUP(E37,111:111,112:112)-LOOKUP(C37,111:111,112:112)+100</f>
        <v>99</v>
      </c>
      <c r="G37" s="425">
        <f>1-(2023-G51)/60</f>
        <v>0.68333333333333335</v>
      </c>
      <c r="H37" s="412">
        <f>LOOKUP(G37,111:111,112:112)-LOOKUP(C37,111:111,112:112)+100</f>
        <v>98</v>
      </c>
      <c r="I37" s="425">
        <f>1-(2023-I51)/60</f>
        <v>0.65</v>
      </c>
      <c r="J37" s="386">
        <f>LOOKUP(I37,111:111,112:112)-LOOKUP(C37,111:111,112:112)+100</f>
        <v>98</v>
      </c>
      <c r="K37" s="561">
        <v>1</v>
      </c>
      <c r="L37" s="2720"/>
      <c r="M37" s="2714"/>
      <c r="N37" s="2714"/>
      <c r="O37" s="2714"/>
      <c r="P37" s="3731"/>
      <c r="Q37" s="1350" t="str">
        <f t="shared" si="11"/>
        <v>成新度</v>
      </c>
      <c r="R37" s="704" t="s">
        <v>14</v>
      </c>
      <c r="S37" s="705">
        <f t="shared" si="12"/>
        <v>99</v>
      </c>
      <c r="T37" s="704" t="s">
        <v>14</v>
      </c>
      <c r="U37" s="705">
        <f t="shared" si="13"/>
        <v>98</v>
      </c>
      <c r="V37" s="704" t="s">
        <v>14</v>
      </c>
      <c r="W37" s="705">
        <f t="shared" si="14"/>
        <v>98</v>
      </c>
      <c r="X37" s="1353"/>
      <c r="Y37" s="3733"/>
      <c r="Z37" s="1354" t="str">
        <f t="shared" si="15"/>
        <v>成新度</v>
      </c>
      <c r="AA37" s="1351">
        <f t="shared" si="3"/>
        <v>1.0101010101010102</v>
      </c>
      <c r="AB37" s="1351">
        <f t="shared" si="4"/>
        <v>1.0204081632653061</v>
      </c>
      <c r="AC37" s="1960">
        <f t="shared" si="5"/>
        <v>1.0204081632653061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1"/>
      <c r="Q38" s="1341" t="str">
        <f t="shared" si="11"/>
        <v>写字楼等级</v>
      </c>
      <c r="R38" s="700" t="s">
        <v>14</v>
      </c>
      <c r="S38" s="701">
        <f t="shared" si="12"/>
        <v>100</v>
      </c>
      <c r="T38" s="700" t="s">
        <v>14</v>
      </c>
      <c r="U38" s="701">
        <f t="shared" si="13"/>
        <v>100</v>
      </c>
      <c r="V38" s="700" t="s">
        <v>14</v>
      </c>
      <c r="W38" s="701">
        <f t="shared" si="14"/>
        <v>100</v>
      </c>
      <c r="X38" s="702"/>
      <c r="Y38" s="3733"/>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1" t="s">
        <v>1696</v>
      </c>
      <c r="Q39" s="1350" t="str">
        <f t="shared" si="11"/>
        <v>物业管理</v>
      </c>
      <c r="R39" s="704" t="s">
        <v>14</v>
      </c>
      <c r="S39" s="705">
        <f t="shared" si="12"/>
        <v>100</v>
      </c>
      <c r="T39" s="704" t="s">
        <v>14</v>
      </c>
      <c r="U39" s="705">
        <f t="shared" si="13"/>
        <v>100</v>
      </c>
      <c r="V39" s="704" t="s">
        <v>14</v>
      </c>
      <c r="W39" s="705">
        <f t="shared" si="14"/>
        <v>100</v>
      </c>
      <c r="X39" s="1353"/>
      <c r="Y39" s="373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1"/>
      <c r="Q40" s="1350" t="str">
        <f t="shared" si="11"/>
        <v>市政基础设施</v>
      </c>
      <c r="R40" s="704" t="s">
        <v>14</v>
      </c>
      <c r="S40" s="705">
        <f t="shared" si="12"/>
        <v>100</v>
      </c>
      <c r="T40" s="704" t="s">
        <v>14</v>
      </c>
      <c r="U40" s="705">
        <f t="shared" si="13"/>
        <v>100</v>
      </c>
      <c r="V40" s="704" t="s">
        <v>14</v>
      </c>
      <c r="W40" s="705">
        <f t="shared" si="14"/>
        <v>100</v>
      </c>
      <c r="X40" s="1353"/>
      <c r="Y40" s="3733"/>
      <c r="Z40" s="1354" t="str">
        <f t="shared" si="15"/>
        <v>市政基础设施</v>
      </c>
      <c r="AA40" s="1351">
        <f t="shared" si="3"/>
        <v>1</v>
      </c>
      <c r="AB40" s="1351">
        <f t="shared" si="4"/>
        <v>1</v>
      </c>
      <c r="AC40" s="1960">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10</v>
      </c>
      <c r="L41" s="2720"/>
      <c r="M41" s="2714"/>
      <c r="N41" s="2714"/>
      <c r="O41" s="2714"/>
      <c r="P41" s="3731"/>
      <c r="Q41" s="1350" t="str">
        <f t="shared" si="11"/>
        <v>层高</v>
      </c>
      <c r="R41" s="704" t="s">
        <v>14</v>
      </c>
      <c r="S41" s="705">
        <f t="shared" si="12"/>
        <v>100</v>
      </c>
      <c r="T41" s="704" t="s">
        <v>14</v>
      </c>
      <c r="U41" s="705">
        <f t="shared" si="13"/>
        <v>100</v>
      </c>
      <c r="V41" s="704" t="s">
        <v>14</v>
      </c>
      <c r="W41" s="705">
        <f t="shared" si="14"/>
        <v>100</v>
      </c>
      <c r="X41" s="1353"/>
      <c r="Y41" s="373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6" t="str">
        <f t="shared" si="11"/>
        <v>单套建筑面积</v>
      </c>
      <c r="R42" s="707" t="s">
        <v>14</v>
      </c>
      <c r="S42" s="708">
        <f t="shared" si="12"/>
        <v>100</v>
      </c>
      <c r="T42" s="707" t="s">
        <v>14</v>
      </c>
      <c r="U42" s="708">
        <f t="shared" si="13"/>
        <v>100</v>
      </c>
      <c r="V42" s="707" t="s">
        <v>14</v>
      </c>
      <c r="W42" s="708">
        <f t="shared" si="14"/>
        <v>100</v>
      </c>
      <c r="X42" s="709"/>
      <c r="Y42" s="3733"/>
      <c r="Z42" s="710" t="str">
        <f t="shared" si="15"/>
        <v>单套建筑面积</v>
      </c>
      <c r="AA42" s="1351">
        <f t="shared" si="3"/>
        <v>1</v>
      </c>
      <c r="AB42" s="1351">
        <f t="shared" si="4"/>
        <v>1</v>
      </c>
      <c r="AC42" s="1960">
        <f t="shared" si="5"/>
        <v>1</v>
      </c>
    </row>
    <row r="43" spans="1:29" ht="15">
      <c r="A43" s="423"/>
      <c r="B43" s="375" t="s">
        <v>1792</v>
      </c>
      <c r="C43" s="411" t="s">
        <v>3465</v>
      </c>
      <c r="D43" s="386">
        <v>100</v>
      </c>
      <c r="E43" s="411" t="s">
        <v>3483</v>
      </c>
      <c r="F43" s="412">
        <f>SUMIF(123:123,E43,124:124)-SUMIF(123:123,C43,124:124)+100</f>
        <v>98</v>
      </c>
      <c r="G43" s="411" t="s">
        <v>3465</v>
      </c>
      <c r="H43" s="386">
        <f>SUMIF(123:123,G43,124:124)-SUMIF(123:123,C43,124:124)+100</f>
        <v>100</v>
      </c>
      <c r="I43" s="411" t="s">
        <v>3463</v>
      </c>
      <c r="J43" s="386">
        <f>SUMIF(123:123,I43,124:124)-SUMIF(123:123,C43,124:124)+100</f>
        <v>102</v>
      </c>
      <c r="K43" s="561">
        <v>2</v>
      </c>
      <c r="L43" s="2720"/>
      <c r="M43" s="2714"/>
      <c r="N43" s="2714"/>
      <c r="O43" s="2714"/>
      <c r="P43" s="3731"/>
      <c r="Q43" s="1350" t="str">
        <f t="shared" si="11"/>
        <v>内部装修</v>
      </c>
      <c r="R43" s="704" t="s">
        <v>14</v>
      </c>
      <c r="S43" s="705">
        <f t="shared" si="12"/>
        <v>98</v>
      </c>
      <c r="T43" s="704" t="s">
        <v>14</v>
      </c>
      <c r="U43" s="705">
        <f t="shared" si="13"/>
        <v>100</v>
      </c>
      <c r="V43" s="704" t="s">
        <v>14</v>
      </c>
      <c r="W43" s="705">
        <f t="shared" si="14"/>
        <v>102</v>
      </c>
      <c r="X43" s="1353"/>
      <c r="Y43" s="3733"/>
      <c r="Z43" s="1354" t="str">
        <f t="shared" si="15"/>
        <v>内部装修</v>
      </c>
      <c r="AA43" s="1351">
        <f t="shared" si="3"/>
        <v>1.0204081632653061</v>
      </c>
      <c r="AB43" s="1351">
        <f t="shared" si="4"/>
        <v>1</v>
      </c>
      <c r="AC43" s="1960">
        <f t="shared" si="5"/>
        <v>0.98039215686274506</v>
      </c>
    </row>
    <row r="44" spans="1:29" ht="15">
      <c r="A44" s="423"/>
      <c r="B44" s="375" t="s">
        <v>1707</v>
      </c>
      <c r="C44" s="411" t="s">
        <v>3462</v>
      </c>
      <c r="D44" s="386">
        <v>100</v>
      </c>
      <c r="E44" s="411" t="s">
        <v>3462</v>
      </c>
      <c r="F44" s="412">
        <f>SUMIF(125:125,E44,126:126)-SUMIF(125:125,C44,126:126)+100</f>
        <v>100</v>
      </c>
      <c r="G44" s="411" t="s">
        <v>3462</v>
      </c>
      <c r="H44" s="386">
        <f>SUMIF(125:125,G44,126:126)-SUMIF(125:125,C44,126:126)+100</f>
        <v>100</v>
      </c>
      <c r="I44" s="411" t="s">
        <v>3462</v>
      </c>
      <c r="J44" s="386">
        <f>SUMIF(125:125,I44,126:126)-SUMIF(125:125,C44,126:126)+100</f>
        <v>100</v>
      </c>
      <c r="K44" s="561">
        <v>2</v>
      </c>
      <c r="L44" s="2720"/>
      <c r="M44" s="2714"/>
      <c r="N44" s="2714"/>
      <c r="O44" s="2714"/>
      <c r="P44" s="3731"/>
      <c r="Q44" s="1350" t="str">
        <f t="shared" si="11"/>
        <v>内部装修维护情况</v>
      </c>
      <c r="R44" s="704" t="s">
        <v>14</v>
      </c>
      <c r="S44" s="705">
        <f t="shared" si="12"/>
        <v>100</v>
      </c>
      <c r="T44" s="704" t="s">
        <v>14</v>
      </c>
      <c r="U44" s="705">
        <f t="shared" si="13"/>
        <v>100</v>
      </c>
      <c r="V44" s="704" t="s">
        <v>14</v>
      </c>
      <c r="W44" s="705">
        <f t="shared" si="14"/>
        <v>100</v>
      </c>
      <c r="X44" s="1353"/>
      <c r="Y44" s="3733"/>
      <c r="Z44" s="1354" t="str">
        <f t="shared" si="15"/>
        <v>内部装修维护情况</v>
      </c>
      <c r="AA44" s="1351">
        <f t="shared" si="3"/>
        <v>1</v>
      </c>
      <c r="AB44" s="1351">
        <f t="shared" si="4"/>
        <v>1</v>
      </c>
      <c r="AC44" s="1960">
        <f t="shared" si="5"/>
        <v>1</v>
      </c>
    </row>
    <row r="45" spans="1:29" s="108" customFormat="1" ht="15">
      <c r="A45" s="424"/>
      <c r="B45" s="3469" t="s">
        <v>3490</v>
      </c>
      <c r="C45" s="3470" t="s">
        <v>3491</v>
      </c>
      <c r="D45" s="127">
        <v>100</v>
      </c>
      <c r="E45" s="3470" t="s">
        <v>3491</v>
      </c>
      <c r="F45" s="376">
        <f>SUMIF(127:127,E45,128:128)-SUMIF(127:127,C45,128:128)+100</f>
        <v>100</v>
      </c>
      <c r="G45" s="3471" t="s">
        <v>3492</v>
      </c>
      <c r="H45" s="127">
        <f>SUMIF(127:127,G45,128:128)-SUMIF(127:127,C45,128:128)+100</f>
        <v>97</v>
      </c>
      <c r="I45" s="3470" t="s">
        <v>3491</v>
      </c>
      <c r="J45" s="127">
        <f>SUMIF(127:127,I45,128:128)-SUMIF(127:127,C45,128:128)+100</f>
        <v>100</v>
      </c>
      <c r="K45" s="562"/>
      <c r="L45" s="2715"/>
      <c r="M45" s="2716"/>
      <c r="N45" s="2716"/>
      <c r="O45" s="2716"/>
      <c r="P45" s="3731"/>
      <c r="Q45" s="1341" t="str">
        <f t="shared" si="11"/>
        <v>小业主</v>
      </c>
      <c r="R45" s="700" t="s">
        <v>14</v>
      </c>
      <c r="S45" s="701">
        <f t="shared" si="12"/>
        <v>100</v>
      </c>
      <c r="T45" s="700" t="s">
        <v>14</v>
      </c>
      <c r="U45" s="701">
        <f t="shared" si="13"/>
        <v>97</v>
      </c>
      <c r="V45" s="700" t="s">
        <v>14</v>
      </c>
      <c r="W45" s="701">
        <f t="shared" si="14"/>
        <v>100</v>
      </c>
      <c r="X45" s="702"/>
      <c r="Y45" s="3733"/>
      <c r="Z45" s="52" t="str">
        <f t="shared" si="15"/>
        <v>小业主</v>
      </c>
      <c r="AA45" s="703">
        <f t="shared" si="3"/>
        <v>1</v>
      </c>
      <c r="AB45" s="703">
        <f t="shared" si="4"/>
        <v>1.0309278350515463</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1"/>
      <c r="Q46" s="1350">
        <f t="shared" si="11"/>
        <v>111</v>
      </c>
      <c r="R46" s="704" t="s">
        <v>14</v>
      </c>
      <c r="S46" s="705">
        <f t="shared" si="12"/>
        <v>100</v>
      </c>
      <c r="T46" s="704" t="s">
        <v>14</v>
      </c>
      <c r="U46" s="705">
        <f t="shared" si="13"/>
        <v>100</v>
      </c>
      <c r="V46" s="704" t="s">
        <v>14</v>
      </c>
      <c r="W46" s="705">
        <f t="shared" si="14"/>
        <v>100</v>
      </c>
      <c r="X46" s="1353"/>
      <c r="Y46" s="373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1350">
        <f t="shared" si="11"/>
        <v>111</v>
      </c>
      <c r="R47" s="704" t="s">
        <v>14</v>
      </c>
      <c r="S47" s="705">
        <f t="shared" si="12"/>
        <v>100</v>
      </c>
      <c r="T47" s="704" t="s">
        <v>14</v>
      </c>
      <c r="U47" s="705">
        <f t="shared" si="13"/>
        <v>100</v>
      </c>
      <c r="V47" s="704" t="s">
        <v>14</v>
      </c>
      <c r="W47" s="705">
        <f t="shared" si="14"/>
        <v>100</v>
      </c>
      <c r="X47" s="1353"/>
      <c r="Y47" s="3734"/>
      <c r="Z47" s="1354">
        <f t="shared" si="15"/>
        <v>111</v>
      </c>
      <c r="AA47" s="1351">
        <f t="shared" si="3"/>
        <v>1</v>
      </c>
      <c r="AB47" s="1351">
        <f t="shared" si="4"/>
        <v>1</v>
      </c>
      <c r="AC47" s="1960">
        <f t="shared" si="5"/>
        <v>1</v>
      </c>
    </row>
    <row r="48" spans="1:29" ht="15">
      <c r="A48" s="430" t="s">
        <v>1708</v>
      </c>
      <c r="B48" s="431"/>
      <c r="C48" s="1152" t="s">
        <v>0</v>
      </c>
      <c r="D48" s="1153"/>
      <c r="E48" s="1154">
        <v>3.6</v>
      </c>
      <c r="F48" s="1155"/>
      <c r="G48" s="1156">
        <v>3.8</v>
      </c>
      <c r="H48" s="1157"/>
      <c r="I48" s="1154">
        <v>4.5</v>
      </c>
      <c r="J48" s="436"/>
      <c r="K48" s="713"/>
      <c r="L48" s="2722"/>
      <c r="M48" s="2714"/>
      <c r="N48" s="2714"/>
      <c r="O48" s="2714"/>
      <c r="P48" s="3708" t="str">
        <f>A48</f>
        <v>成交单价（元/平方米）</v>
      </c>
      <c r="Q48" s="3726"/>
      <c r="R48" s="3727">
        <f>E48</f>
        <v>3.6</v>
      </c>
      <c r="S48" s="3727"/>
      <c r="T48" s="3727">
        <f>G48</f>
        <v>3.8</v>
      </c>
      <c r="U48" s="3727"/>
      <c r="V48" s="3727">
        <f>I48</f>
        <v>4.5</v>
      </c>
      <c r="W48" s="3727"/>
      <c r="X48" s="397"/>
      <c r="Y48" s="711"/>
      <c r="Z48" s="397"/>
      <c r="AA48" s="397"/>
      <c r="AB48" s="397"/>
      <c r="AC48" s="578"/>
    </row>
    <row r="49" spans="1:29" ht="15.75" thickBot="1">
      <c r="A49" s="437" t="s">
        <v>1793</v>
      </c>
      <c r="B49" s="438"/>
      <c r="C49" s="1158">
        <f>R50</f>
        <v>4.0999999999999996</v>
      </c>
      <c r="D49" s="2315" t="s">
        <v>2137</v>
      </c>
      <c r="E49" s="1159">
        <f>R49</f>
        <v>3.68</v>
      </c>
      <c r="F49" s="2316"/>
      <c r="G49" s="1158">
        <f>T49</f>
        <v>4.1399999999999997</v>
      </c>
      <c r="H49" s="2316"/>
      <c r="I49" s="1159">
        <f>V49</f>
        <v>4.47</v>
      </c>
      <c r="J49" s="2316"/>
      <c r="K49" s="2318">
        <f>F49+H49+J49</f>
        <v>0</v>
      </c>
      <c r="L49" s="2722"/>
      <c r="M49" s="2714"/>
      <c r="N49" s="2714"/>
      <c r="O49" s="2714"/>
      <c r="P49" s="3708" t="str">
        <f>A49</f>
        <v>比较价值（元/平方米）</v>
      </c>
      <c r="Q49" s="3726"/>
      <c r="R49" s="3727">
        <f>IF(F1="售价",ROUND(PRODUCT(R48,AA7:AA47),0),ROUND(PRODUCT(R48,AA7:AA47),2))</f>
        <v>3.68</v>
      </c>
      <c r="S49" s="3727"/>
      <c r="T49" s="3727">
        <f>IF(F1="售价",ROUND(PRODUCT(T48,AB7:AB47),0),ROUND(PRODUCT(T48,AB7:AB47),2))</f>
        <v>4.1399999999999997</v>
      </c>
      <c r="U49" s="3727"/>
      <c r="V49" s="3727">
        <f>IF(F1="售价",ROUND(PRODUCT(V48,AC7:AC47),0),ROUND(PRODUCT(V48,AC7:AC47),2))</f>
        <v>4.47</v>
      </c>
      <c r="W49" s="3727"/>
      <c r="X49" s="397"/>
      <c r="Y49" s="397"/>
      <c r="Z49" s="397"/>
      <c r="AA49" s="397"/>
      <c r="AB49" s="397"/>
      <c r="AC49" s="578"/>
    </row>
    <row r="50" spans="1:29" ht="15.75" thickBot="1">
      <c r="A50" s="441" t="s">
        <v>1794</v>
      </c>
      <c r="B50" s="442"/>
      <c r="C50" s="1161">
        <f>R50</f>
        <v>4.0999999999999996</v>
      </c>
      <c r="D50" s="1161"/>
      <c r="E50" s="1161"/>
      <c r="F50" s="1161"/>
      <c r="G50" s="1161"/>
      <c r="H50" s="1161"/>
      <c r="I50" s="1161"/>
      <c r="J50" s="443"/>
      <c r="K50" s="714"/>
      <c r="L50" s="2722"/>
      <c r="M50" s="2714"/>
      <c r="N50" s="2714"/>
      <c r="O50" s="2714"/>
      <c r="P50" s="3751" t="str">
        <f>A50</f>
        <v>估价对象XX用房的比较价值（楼面单价，元/平方米）</v>
      </c>
      <c r="Q50" s="3752"/>
      <c r="R50" s="3753">
        <f>IF(F1="售价",ROUND(IF(D49="简单平均",AVERAGE(R49:V49),R49*F49+T49*H49+V49*J49),0),ROUND(IF(D49="简单平均",AVERAGE(R49:V49),R49*F49+T49*H49+V49*J49),2))</f>
        <v>4.0999999999999996</v>
      </c>
      <c r="S50" s="3753"/>
      <c r="T50" s="3753"/>
      <c r="U50" s="3753"/>
      <c r="V50" s="3753"/>
      <c r="W50" s="3753"/>
      <c r="X50" s="1944"/>
      <c r="Y50" s="1944"/>
      <c r="Z50" s="1944"/>
      <c r="AA50" s="1944"/>
      <c r="AB50" s="1944"/>
      <c r="AC50" s="1945"/>
    </row>
    <row r="51" spans="1:29">
      <c r="A51" s="2723"/>
      <c r="B51" s="2723"/>
      <c r="C51" s="2723"/>
      <c r="D51" s="2723"/>
      <c r="E51" s="2723">
        <v>2010</v>
      </c>
      <c r="F51" s="2723"/>
      <c r="G51" s="3468">
        <v>2004</v>
      </c>
      <c r="H51" s="2723"/>
      <c r="I51" s="2723">
        <v>2002</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t="s">
        <v>3494</v>
      </c>
      <c r="F52" s="2723"/>
      <c r="G52" s="2723" t="s">
        <v>3499</v>
      </c>
      <c r="H52" s="2723"/>
      <c r="I52" s="2723" t="s">
        <v>3501</v>
      </c>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2.2222222222222143E-2</v>
      </c>
      <c r="F53" s="449" t="str">
        <f>IF(OR(E53&gt;=0.3,E53&lt;=-0.3),"超过30%","")</f>
        <v/>
      </c>
      <c r="G53" s="448">
        <f>IF(G48&lt;G49,G49/G48-1,G48/G49-1)</f>
        <v>8.9473684210526372E-2</v>
      </c>
      <c r="H53" s="449" t="str">
        <f>IF(OR(G53&gt;=0.3,G53&lt;=-0.3),"超过30%","")</f>
        <v/>
      </c>
      <c r="I53" s="448">
        <f>IF(I48&lt;I49,I49/I48-1,I48/I49-1)</f>
        <v>6.7114093959732557E-3</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0.12499999999999978</v>
      </c>
      <c r="F54" s="449" t="str">
        <f>IF(OR(E54&gt;=0.2,E54&lt;=-0.2),"超过20%","")</f>
        <v/>
      </c>
      <c r="G54" s="448">
        <f>IF(G49&lt;I49,I49/G49-1,G49/I49-1)</f>
        <v>7.9710144927536364E-2</v>
      </c>
      <c r="H54" s="449" t="str">
        <f>IF(OR(G54&gt;=0.2,G54&lt;=-0.2),"超过20%","")</f>
        <v/>
      </c>
      <c r="I54" s="448">
        <f>IF(I49&lt;E49,E49/I49-1,I49/E49-1)</f>
        <v>0.21467391304347805</v>
      </c>
      <c r="J54" s="449" t="str">
        <f>IF(OR(I54&gt;=0.2,I54&lt;=-0.2),"超过20%","")</f>
        <v>超过20%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5.555555555555558E-2</v>
      </c>
      <c r="F55" s="449" t="str">
        <f>IF(OR(E55&gt;=0.3,E55&lt;=-0.3),"超过30%","")</f>
        <v/>
      </c>
      <c r="G55" s="448">
        <f>IF(G48&lt;I48,I48/G48-1,G48/I48-1)</f>
        <v>0.1842105263157896</v>
      </c>
      <c r="H55" s="449" t="str">
        <f>IF(OR(G55&gt;=0.3,G55&lt;=-0.3),"超过30%","")</f>
        <v/>
      </c>
      <c r="I55" s="448">
        <f>IF(I48&lt;E48,E48/I48-1,I48/E48-1)</f>
        <v>0.25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6" t="s">
        <v>3481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85">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27.75" thickTop="1">
      <c r="A64" s="476" t="s">
        <v>1719</v>
      </c>
      <c r="B64" s="477" t="s">
        <v>1685</v>
      </c>
      <c r="C64" s="478" t="str">
        <f>C9</f>
        <v>办公</v>
      </c>
      <c r="D64" s="3466" t="s">
        <v>3487</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98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3453</v>
      </c>
      <c r="D66" s="532" t="s">
        <v>3454</v>
      </c>
      <c r="E66" s="532" t="s">
        <v>3455</v>
      </c>
      <c r="F66" s="532" t="s">
        <v>3456</v>
      </c>
      <c r="G66" s="532" t="s">
        <v>3457</v>
      </c>
      <c r="H66" s="532" t="s">
        <v>3458</v>
      </c>
      <c r="I66" s="532" t="s">
        <v>3459</v>
      </c>
      <c r="J66" s="532" t="s">
        <v>3460</v>
      </c>
      <c r="K66" s="533"/>
      <c r="L66" s="534"/>
      <c r="M66" s="535">
        <v>3</v>
      </c>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C67-$M$66</f>
        <v>97</v>
      </c>
      <c r="E67" s="485">
        <f t="shared" ref="E67:J67" si="17">D67-$M$66</f>
        <v>94</v>
      </c>
      <c r="F67" s="485">
        <f t="shared" si="17"/>
        <v>91</v>
      </c>
      <c r="G67" s="485">
        <f t="shared" si="17"/>
        <v>88</v>
      </c>
      <c r="H67" s="485">
        <f t="shared" si="17"/>
        <v>85</v>
      </c>
      <c r="I67" s="485">
        <f t="shared" si="17"/>
        <v>82</v>
      </c>
      <c r="J67" s="485">
        <f t="shared" si="17"/>
        <v>79</v>
      </c>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v>
      </c>
      <c r="D68" s="496" t="str">
        <f t="shared" ref="D68:L68" si="18">D69&amp;"（含）"&amp;"-"&amp;E69</f>
        <v>（含）-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5" t="s">
        <v>3502</v>
      </c>
      <c r="D87" s="3465" t="s">
        <v>3503</v>
      </c>
      <c r="E87" s="3465" t="s">
        <v>3505</v>
      </c>
      <c r="F87" s="3465" t="s">
        <v>3507</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3447</v>
      </c>
      <c r="D89" s="3465" t="s">
        <v>3449</v>
      </c>
      <c r="E89" s="3465" t="s">
        <v>3450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66" t="s">
        <v>3452</v>
      </c>
      <c r="D101" s="3466" t="s">
        <v>3485</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0(含)-300</v>
      </c>
      <c r="D103" s="527" t="str">
        <f t="shared" ref="D103:L103" si="24">D104&amp;"(含)"&amp;"-"&amp;E104</f>
        <v>300(含)-500</v>
      </c>
      <c r="E103" s="527" t="str">
        <f t="shared" si="24"/>
        <v>500(含)-1000</v>
      </c>
      <c r="F103" s="527" t="str">
        <f t="shared" si="24"/>
        <v>1000(含)-1500</v>
      </c>
      <c r="G103" s="527" t="str">
        <f t="shared" si="24"/>
        <v>1500(含)-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1500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v>97</v>
      </c>
      <c r="G105" s="485">
        <v>96</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5" t="s">
        <v>3470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5" t="s">
        <v>3464</v>
      </c>
      <c r="D108" s="3465" t="s">
        <v>3466</v>
      </c>
      <c r="E108" s="3465" t="s">
        <v>3467</v>
      </c>
      <c r="F108" s="3467" t="s">
        <v>3468</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5" t="s">
        <v>3474</v>
      </c>
      <c r="D117" s="3465" t="s">
        <v>3475</v>
      </c>
      <c r="E117" s="3465" t="s">
        <v>3476</v>
      </c>
      <c r="F117" s="3465" t="s">
        <v>3477</v>
      </c>
      <c r="G117" s="3465" t="s">
        <v>3478</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7" t="s">
        <v>3471</v>
      </c>
      <c r="D119" s="3467" t="s">
        <v>3473</v>
      </c>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90</v>
      </c>
      <c r="E120" s="493">
        <f t="shared" ref="E120:M120" si="30">D120-$K41</f>
        <v>80</v>
      </c>
      <c r="F120" s="493">
        <f t="shared" si="30"/>
        <v>70</v>
      </c>
      <c r="G120" s="493">
        <f t="shared" si="30"/>
        <v>60</v>
      </c>
      <c r="H120" s="493">
        <f t="shared" si="30"/>
        <v>50</v>
      </c>
      <c r="I120" s="493">
        <f t="shared" si="30"/>
        <v>40</v>
      </c>
      <c r="J120" s="493">
        <f t="shared" si="30"/>
        <v>30</v>
      </c>
      <c r="K120" s="493">
        <f t="shared" si="30"/>
        <v>20</v>
      </c>
      <c r="L120" s="493">
        <f t="shared" si="30"/>
        <v>10</v>
      </c>
      <c r="M120" s="493">
        <f t="shared" si="30"/>
        <v>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5" t="s">
        <v>3464</v>
      </c>
      <c r="D123" s="3465" t="s">
        <v>3466</v>
      </c>
      <c r="E123" s="3465" t="s">
        <v>3467</v>
      </c>
      <c r="F123" s="3467" t="s">
        <v>3468</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小业主</v>
      </c>
      <c r="C127" s="3465" t="s">
        <v>3493</v>
      </c>
      <c r="D127" s="3465" t="s">
        <v>3492</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97</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受贵公司委托，我公司对北京市石景山玉泉路59号院2号楼4层401-1501房地产市场价值进行了预评估。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估价对象为北京市石景山玉泉路59号院2号楼4层401-1501房地产，为所有。根据《国有土地使用证》[]，估价对象（分摊）出让国有建设用地使用权面积为0平方米，建筑面积为15080.55平方米。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玉泉路59号院2号楼4层401-1501房地产,属开发建设的，该项目尚在开发建设中。根据《国有土地使用证》[]，估价对象（分摊）出让国有建设用地使用权面积为0平方米，规划建筑面积为15080.55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2023年10月13日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15080.55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912"/>
      <c r="M4" s="913"/>
      <c r="N4" s="913"/>
      <c r="O4" s="913"/>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912"/>
      <c r="M5" s="913"/>
      <c r="N5" s="913"/>
      <c r="O5" s="913"/>
      <c r="P5" s="3715"/>
      <c r="Q5" s="3716"/>
      <c r="R5" s="3698"/>
      <c r="S5" s="3699"/>
      <c r="T5" s="3698"/>
      <c r="U5" s="3699"/>
      <c r="V5" s="3721"/>
      <c r="W5" s="3721"/>
      <c r="X5" s="1353"/>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912"/>
      <c r="M6" s="913"/>
      <c r="N6" s="913"/>
      <c r="O6" s="913"/>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SUMIF(52:52,YEAR(E7)&amp;"-"&amp;MONTH(E7),53:53)</f>
        <v>0</v>
      </c>
      <c r="G7" s="366"/>
      <c r="H7" s="365">
        <f>SUMIF(52:52,YEAR(G7)&amp;"-"&amp;MONTH(G7),53:53)</f>
        <v>0</v>
      </c>
      <c r="I7" s="366"/>
      <c r="J7" s="365">
        <f>SUMIF(52:52,YEAR(I7)&amp;"-"&amp;MONTH(I7),53:53)</f>
        <v>0</v>
      </c>
      <c r="K7" s="560"/>
      <c r="L7" s="914"/>
      <c r="M7" s="915"/>
      <c r="N7" s="915"/>
      <c r="O7" s="915"/>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4" t="s">
        <v>1683</v>
      </c>
      <c r="Q8" s="3695"/>
      <c r="R8" s="700" t="s">
        <v>14</v>
      </c>
      <c r="S8" s="701">
        <f t="shared" si="0"/>
        <v>100</v>
      </c>
      <c r="T8" s="700" t="s">
        <v>14</v>
      </c>
      <c r="U8" s="701">
        <f t="shared" si="1"/>
        <v>100</v>
      </c>
      <c r="V8" s="700" t="s">
        <v>14</v>
      </c>
      <c r="W8" s="701">
        <f t="shared" si="2"/>
        <v>100</v>
      </c>
      <c r="X8" s="702"/>
      <c r="Y8" s="3694" t="s">
        <v>1683</v>
      </c>
      <c r="Z8" s="369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6"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26"/>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6"/>
      <c r="Q11" s="1341"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26"/>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26"/>
      <c r="Q14" s="1341">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8" t="s">
        <v>1691</v>
      </c>
      <c r="Q15" s="1350" t="str">
        <f t="shared" si="6"/>
        <v>产业集聚程度</v>
      </c>
      <c r="R15" s="704" t="s">
        <v>14</v>
      </c>
      <c r="S15" s="705">
        <f t="shared" si="0"/>
        <v>100</v>
      </c>
      <c r="T15" s="704" t="s">
        <v>14</v>
      </c>
      <c r="U15" s="705">
        <f t="shared" si="1"/>
        <v>100</v>
      </c>
      <c r="V15" s="704" t="s">
        <v>14</v>
      </c>
      <c r="W15" s="705">
        <f t="shared" si="2"/>
        <v>100</v>
      </c>
      <c r="X15" s="1353"/>
      <c r="Y15" s="372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29"/>
      <c r="Q16" s="1350"/>
      <c r="R16" s="704"/>
      <c r="S16" s="705"/>
      <c r="T16" s="704"/>
      <c r="U16" s="705"/>
      <c r="V16" s="704"/>
      <c r="W16" s="705"/>
      <c r="X16" s="1353"/>
      <c r="Y16" s="372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9"/>
      <c r="Q17" s="1350" t="str">
        <f>B17</f>
        <v>交通便捷度</v>
      </c>
      <c r="R17" s="704" t="s">
        <v>14</v>
      </c>
      <c r="S17" s="705">
        <f>F17</f>
        <v>100</v>
      </c>
      <c r="T17" s="704" t="s">
        <v>14</v>
      </c>
      <c r="U17" s="705">
        <f>H17</f>
        <v>100</v>
      </c>
      <c r="V17" s="704" t="s">
        <v>14</v>
      </c>
      <c r="W17" s="705">
        <f>J17</f>
        <v>100</v>
      </c>
      <c r="X17" s="1353"/>
      <c r="Y17" s="372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29"/>
      <c r="Q18" s="1350"/>
      <c r="R18" s="704"/>
      <c r="S18" s="705"/>
      <c r="T18" s="704"/>
      <c r="U18" s="705"/>
      <c r="V18" s="704"/>
      <c r="W18" s="705"/>
      <c r="X18" s="1353"/>
      <c r="Y18" s="372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9"/>
      <c r="Q19" s="1350" t="str">
        <f>B19</f>
        <v>公共配套设施</v>
      </c>
      <c r="R19" s="704" t="s">
        <v>14</v>
      </c>
      <c r="S19" s="705">
        <f>F19</f>
        <v>100</v>
      </c>
      <c r="T19" s="704" t="s">
        <v>14</v>
      </c>
      <c r="U19" s="705">
        <f>H19</f>
        <v>100</v>
      </c>
      <c r="V19" s="704" t="s">
        <v>14</v>
      </c>
      <c r="W19" s="705">
        <f>J19</f>
        <v>100</v>
      </c>
      <c r="X19" s="1353"/>
      <c r="Y19" s="372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29"/>
      <c r="Q20" s="1350"/>
      <c r="R20" s="704"/>
      <c r="S20" s="705"/>
      <c r="T20" s="704"/>
      <c r="U20" s="705"/>
      <c r="V20" s="704"/>
      <c r="W20" s="705"/>
      <c r="X20" s="1353"/>
      <c r="Y20" s="372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9"/>
      <c r="Q21" s="1350" t="str">
        <f>B21</f>
        <v>基础设施水平</v>
      </c>
      <c r="R21" s="704" t="s">
        <v>14</v>
      </c>
      <c r="S21" s="705">
        <f>F21</f>
        <v>100</v>
      </c>
      <c r="T21" s="704" t="s">
        <v>14</v>
      </c>
      <c r="U21" s="705">
        <f>H21</f>
        <v>100</v>
      </c>
      <c r="V21" s="704" t="s">
        <v>14</v>
      </c>
      <c r="W21" s="705">
        <f>J21</f>
        <v>100</v>
      </c>
      <c r="X21" s="1353"/>
      <c r="Y21" s="372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29"/>
      <c r="Q22" s="1350"/>
      <c r="R22" s="704"/>
      <c r="S22" s="705"/>
      <c r="T22" s="704"/>
      <c r="U22" s="705"/>
      <c r="V22" s="704"/>
      <c r="W22" s="705"/>
      <c r="X22" s="1353"/>
      <c r="Y22" s="372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9"/>
      <c r="Q23" s="1350" t="str">
        <f>B23</f>
        <v>环境质量</v>
      </c>
      <c r="R23" s="704" t="s">
        <v>14</v>
      </c>
      <c r="S23" s="705">
        <f>F23</f>
        <v>100</v>
      </c>
      <c r="T23" s="704" t="s">
        <v>14</v>
      </c>
      <c r="U23" s="705">
        <f>H23</f>
        <v>100</v>
      </c>
      <c r="V23" s="704" t="s">
        <v>14</v>
      </c>
      <c r="W23" s="705">
        <f>J23</f>
        <v>100</v>
      </c>
      <c r="X23" s="1353"/>
      <c r="Y23" s="372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29"/>
      <c r="Q24" s="1350"/>
      <c r="R24" s="704"/>
      <c r="S24" s="705"/>
      <c r="T24" s="704"/>
      <c r="U24" s="705"/>
      <c r="V24" s="704"/>
      <c r="W24" s="705"/>
      <c r="X24" s="1353"/>
      <c r="Y24" s="372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9"/>
      <c r="Q25" s="1350">
        <f>B25</f>
        <v>111</v>
      </c>
      <c r="R25" s="704" t="s">
        <v>14</v>
      </c>
      <c r="S25" s="705">
        <f>F25</f>
        <v>100</v>
      </c>
      <c r="T25" s="704" t="s">
        <v>14</v>
      </c>
      <c r="U25" s="705">
        <f>H25</f>
        <v>100</v>
      </c>
      <c r="V25" s="704" t="s">
        <v>14</v>
      </c>
      <c r="W25" s="705">
        <f>J25</f>
        <v>100</v>
      </c>
      <c r="X25" s="1353"/>
      <c r="Y25" s="372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9"/>
      <c r="Q26" s="1350">
        <f t="shared" ref="Q26:Q40" si="11">B26</f>
        <v>111</v>
      </c>
      <c r="R26" s="704" t="s">
        <v>14</v>
      </c>
      <c r="S26" s="705">
        <f>F26</f>
        <v>100</v>
      </c>
      <c r="T26" s="704" t="s">
        <v>14</v>
      </c>
      <c r="U26" s="705">
        <f>H26</f>
        <v>100</v>
      </c>
      <c r="V26" s="704" t="s">
        <v>14</v>
      </c>
      <c r="W26" s="705">
        <f>J26</f>
        <v>100</v>
      </c>
      <c r="X26" s="1353"/>
      <c r="Y26" s="372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9"/>
      <c r="Q27" s="1341">
        <f t="shared" si="11"/>
        <v>111</v>
      </c>
      <c r="R27" s="700" t="s">
        <v>14</v>
      </c>
      <c r="S27" s="701">
        <f>F27</f>
        <v>100</v>
      </c>
      <c r="T27" s="700" t="s">
        <v>14</v>
      </c>
      <c r="U27" s="701">
        <f>H27</f>
        <v>100</v>
      </c>
      <c r="V27" s="700" t="s">
        <v>14</v>
      </c>
      <c r="W27" s="701">
        <f>J27</f>
        <v>100</v>
      </c>
      <c r="X27" s="702"/>
      <c r="Y27" s="372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9"/>
      <c r="Q28" s="1350">
        <f t="shared" si="11"/>
        <v>111</v>
      </c>
      <c r="R28" s="704" t="s">
        <v>14</v>
      </c>
      <c r="S28" s="705">
        <f t="shared" ref="S28:S40" si="12">F28</f>
        <v>100</v>
      </c>
      <c r="T28" s="704" t="s">
        <v>14</v>
      </c>
      <c r="U28" s="705">
        <f t="shared" ref="U28:U40" si="13">H28</f>
        <v>100</v>
      </c>
      <c r="V28" s="704" t="s">
        <v>14</v>
      </c>
      <c r="W28" s="705">
        <f t="shared" ref="W28:W40" si="14">J28</f>
        <v>100</v>
      </c>
      <c r="X28" s="1353"/>
      <c r="Y28" s="372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54" t="s">
        <v>1696</v>
      </c>
      <c r="Q29" s="1350" t="str">
        <f t="shared" si="11"/>
        <v>建筑类型</v>
      </c>
      <c r="R29" s="704" t="s">
        <v>14</v>
      </c>
      <c r="S29" s="705">
        <f t="shared" si="12"/>
        <v>100</v>
      </c>
      <c r="T29" s="704" t="s">
        <v>14</v>
      </c>
      <c r="U29" s="705">
        <f t="shared" si="13"/>
        <v>100</v>
      </c>
      <c r="V29" s="704" t="s">
        <v>14</v>
      </c>
      <c r="W29" s="705">
        <f t="shared" si="14"/>
        <v>100</v>
      </c>
      <c r="X29" s="1353"/>
      <c r="Y29" s="373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3"/>
      <c r="Q30" s="706" t="str">
        <f t="shared" si="11"/>
        <v>项目建筑规模</v>
      </c>
      <c r="R30" s="707" t="s">
        <v>14</v>
      </c>
      <c r="S30" s="708" t="e">
        <f t="shared" si="12"/>
        <v>#N/A</v>
      </c>
      <c r="T30" s="707" t="s">
        <v>14</v>
      </c>
      <c r="U30" s="708" t="e">
        <f t="shared" si="13"/>
        <v>#N/A</v>
      </c>
      <c r="V30" s="707" t="s">
        <v>14</v>
      </c>
      <c r="W30" s="708" t="e">
        <f t="shared" si="14"/>
        <v>#N/A</v>
      </c>
      <c r="X30" s="709"/>
      <c r="Y30" s="3733"/>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3"/>
      <c r="Q31" s="1350" t="str">
        <f t="shared" si="11"/>
        <v>建筑结构</v>
      </c>
      <c r="R31" s="704" t="s">
        <v>14</v>
      </c>
      <c r="S31" s="705">
        <f t="shared" si="12"/>
        <v>100</v>
      </c>
      <c r="T31" s="704" t="s">
        <v>14</v>
      </c>
      <c r="U31" s="705">
        <f t="shared" si="13"/>
        <v>100</v>
      </c>
      <c r="V31" s="704" t="s">
        <v>14</v>
      </c>
      <c r="W31" s="705">
        <f t="shared" si="14"/>
        <v>100</v>
      </c>
      <c r="X31" s="1353"/>
      <c r="Y31" s="373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3"/>
      <c r="Q32" s="1350" t="str">
        <f t="shared" si="11"/>
        <v>公共部分装修</v>
      </c>
      <c r="R32" s="704" t="s">
        <v>14</v>
      </c>
      <c r="S32" s="705">
        <f t="shared" si="12"/>
        <v>100</v>
      </c>
      <c r="T32" s="704" t="s">
        <v>14</v>
      </c>
      <c r="U32" s="705">
        <f t="shared" si="13"/>
        <v>100</v>
      </c>
      <c r="V32" s="704" t="s">
        <v>14</v>
      </c>
      <c r="W32" s="705">
        <f t="shared" si="14"/>
        <v>100</v>
      </c>
      <c r="X32" s="1353"/>
      <c r="Y32" s="373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3"/>
      <c r="Q33" s="1350" t="str">
        <f t="shared" si="11"/>
        <v>成新度</v>
      </c>
      <c r="R33" s="704" t="s">
        <v>14</v>
      </c>
      <c r="S33" s="705" t="e">
        <f t="shared" si="12"/>
        <v>#N/A</v>
      </c>
      <c r="T33" s="704" t="s">
        <v>14</v>
      </c>
      <c r="U33" s="705" t="e">
        <f t="shared" si="13"/>
        <v>#N/A</v>
      </c>
      <c r="V33" s="704" t="s">
        <v>14</v>
      </c>
      <c r="W33" s="705" t="e">
        <f t="shared" si="14"/>
        <v>#N/A</v>
      </c>
      <c r="X33" s="1353"/>
      <c r="Y33" s="373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3"/>
      <c r="Q34" s="1341" t="str">
        <f t="shared" si="11"/>
        <v>物业管理</v>
      </c>
      <c r="R34" s="700" t="s">
        <v>14</v>
      </c>
      <c r="S34" s="701">
        <f t="shared" si="12"/>
        <v>100</v>
      </c>
      <c r="T34" s="700" t="s">
        <v>14</v>
      </c>
      <c r="U34" s="701">
        <f t="shared" si="13"/>
        <v>100</v>
      </c>
      <c r="V34" s="700" t="s">
        <v>14</v>
      </c>
      <c r="W34" s="701">
        <f t="shared" si="14"/>
        <v>100</v>
      </c>
      <c r="X34" s="702"/>
      <c r="Y34" s="373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3" t="s">
        <v>1696</v>
      </c>
      <c r="Q35" s="1350" t="str">
        <f t="shared" si="11"/>
        <v>市政基础设施</v>
      </c>
      <c r="R35" s="704" t="s">
        <v>14</v>
      </c>
      <c r="S35" s="705">
        <f t="shared" si="12"/>
        <v>100</v>
      </c>
      <c r="T35" s="704" t="s">
        <v>14</v>
      </c>
      <c r="U35" s="705">
        <f t="shared" si="13"/>
        <v>100</v>
      </c>
      <c r="V35" s="704" t="s">
        <v>14</v>
      </c>
      <c r="W35" s="705">
        <f t="shared" si="14"/>
        <v>100</v>
      </c>
      <c r="X35" s="1353"/>
      <c r="Y35" s="373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3"/>
      <c r="Q36" s="1350" t="str">
        <f t="shared" si="11"/>
        <v>内部装修</v>
      </c>
      <c r="R36" s="704" t="s">
        <v>14</v>
      </c>
      <c r="S36" s="705">
        <f t="shared" si="12"/>
        <v>100</v>
      </c>
      <c r="T36" s="704" t="s">
        <v>14</v>
      </c>
      <c r="U36" s="705">
        <f t="shared" si="13"/>
        <v>100</v>
      </c>
      <c r="V36" s="704" t="s">
        <v>14</v>
      </c>
      <c r="W36" s="705">
        <f t="shared" si="14"/>
        <v>100</v>
      </c>
      <c r="X36" s="1353"/>
      <c r="Y36" s="373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3"/>
      <c r="Q37" s="1350" t="str">
        <f t="shared" si="11"/>
        <v>内部装修状况</v>
      </c>
      <c r="R37" s="704" t="s">
        <v>14</v>
      </c>
      <c r="S37" s="705">
        <f t="shared" si="12"/>
        <v>100</v>
      </c>
      <c r="T37" s="704" t="s">
        <v>14</v>
      </c>
      <c r="U37" s="705">
        <f t="shared" si="13"/>
        <v>100</v>
      </c>
      <c r="V37" s="704" t="s">
        <v>14</v>
      </c>
      <c r="W37" s="705">
        <f t="shared" si="14"/>
        <v>100</v>
      </c>
      <c r="X37" s="1353"/>
      <c r="Y37" s="373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3"/>
      <c r="Q38" s="706">
        <f t="shared" si="11"/>
        <v>111</v>
      </c>
      <c r="R38" s="707" t="s">
        <v>14</v>
      </c>
      <c r="S38" s="708">
        <f t="shared" si="12"/>
        <v>100</v>
      </c>
      <c r="T38" s="707" t="s">
        <v>14</v>
      </c>
      <c r="U38" s="708">
        <f t="shared" si="13"/>
        <v>100</v>
      </c>
      <c r="V38" s="707" t="s">
        <v>14</v>
      </c>
      <c r="W38" s="708">
        <f t="shared" si="14"/>
        <v>100</v>
      </c>
      <c r="X38" s="709"/>
      <c r="Y38" s="3733"/>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3"/>
      <c r="Q39" s="1350">
        <f t="shared" si="11"/>
        <v>111</v>
      </c>
      <c r="R39" s="704" t="s">
        <v>14</v>
      </c>
      <c r="S39" s="705">
        <f t="shared" si="12"/>
        <v>100</v>
      </c>
      <c r="T39" s="704" t="s">
        <v>14</v>
      </c>
      <c r="U39" s="705">
        <f t="shared" si="13"/>
        <v>100</v>
      </c>
      <c r="V39" s="704" t="s">
        <v>14</v>
      </c>
      <c r="W39" s="705">
        <f t="shared" si="14"/>
        <v>100</v>
      </c>
      <c r="X39" s="1353"/>
      <c r="Y39" s="373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4"/>
      <c r="Q40" s="1350">
        <f t="shared" si="11"/>
        <v>111</v>
      </c>
      <c r="R40" s="704" t="s">
        <v>14</v>
      </c>
      <c r="S40" s="705">
        <f t="shared" si="12"/>
        <v>100</v>
      </c>
      <c r="T40" s="704" t="s">
        <v>14</v>
      </c>
      <c r="U40" s="705">
        <f t="shared" si="13"/>
        <v>100</v>
      </c>
      <c r="V40" s="704" t="s">
        <v>14</v>
      </c>
      <c r="W40" s="705">
        <f t="shared" si="14"/>
        <v>100</v>
      </c>
      <c r="X40" s="1353"/>
      <c r="Y40" s="373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726" t="str">
        <f>A41</f>
        <v>成交单价（元/平方米）</v>
      </c>
      <c r="Q41" s="3726"/>
      <c r="R41" s="3727">
        <f>E41</f>
        <v>0</v>
      </c>
      <c r="S41" s="3727"/>
      <c r="T41" s="3727">
        <f>G41</f>
        <v>0</v>
      </c>
      <c r="U41" s="3727"/>
      <c r="V41" s="3727">
        <f>I41</f>
        <v>0</v>
      </c>
      <c r="W41" s="3727"/>
      <c r="X41" s="689"/>
      <c r="Y41" s="711"/>
      <c r="Z41" s="689"/>
      <c r="AA41" s="689"/>
      <c r="AB41" s="689"/>
      <c r="AC41" s="689"/>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5"/>
      <c r="M42" s="926"/>
      <c r="N42" s="913"/>
      <c r="O42" s="926"/>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3"/>
      <c r="M6" s="2714"/>
      <c r="N6" s="2714"/>
      <c r="O6" s="2714"/>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1680</v>
      </c>
      <c r="Q7" s="3722"/>
      <c r="R7" s="700" t="s">
        <v>14</v>
      </c>
      <c r="S7" s="701">
        <f t="shared" ref="S7:S14" si="0">F7</f>
        <v>0</v>
      </c>
      <c r="T7" s="700" t="s">
        <v>14</v>
      </c>
      <c r="U7" s="701">
        <f t="shared" ref="U7:U14" si="1">H7</f>
        <v>0</v>
      </c>
      <c r="V7" s="700" t="s">
        <v>14</v>
      </c>
      <c r="W7" s="701">
        <f t="shared" ref="W7:W14"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1683</v>
      </c>
      <c r="Q8" s="3695"/>
      <c r="R8" s="700" t="s">
        <v>14</v>
      </c>
      <c r="S8" s="701">
        <f t="shared" si="0"/>
        <v>100</v>
      </c>
      <c r="T8" s="700" t="s">
        <v>14</v>
      </c>
      <c r="U8" s="701">
        <f t="shared" si="1"/>
        <v>100</v>
      </c>
      <c r="V8" s="700" t="s">
        <v>14</v>
      </c>
      <c r="W8" s="701">
        <f t="shared" si="2"/>
        <v>100</v>
      </c>
      <c r="X8" s="702"/>
      <c r="Y8" s="3694" t="s">
        <v>1683</v>
      </c>
      <c r="Z8" s="3695"/>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6" t="s">
        <v>1686</v>
      </c>
      <c r="Q9" s="1341" t="str">
        <f t="shared" ref="Q9:Q14" si="6">B9</f>
        <v>用途</v>
      </c>
      <c r="R9" s="700" t="s">
        <v>14</v>
      </c>
      <c r="S9" s="701">
        <f t="shared" si="0"/>
        <v>100</v>
      </c>
      <c r="T9" s="700" t="s">
        <v>14</v>
      </c>
      <c r="U9" s="701">
        <f t="shared" si="1"/>
        <v>100</v>
      </c>
      <c r="V9" s="700" t="s">
        <v>14</v>
      </c>
      <c r="W9" s="701">
        <f t="shared" si="2"/>
        <v>100</v>
      </c>
      <c r="X9" s="702"/>
      <c r="Y9" s="3638"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6"/>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6"/>
      <c r="Q11" s="1341">
        <f t="shared" si="6"/>
        <v>111</v>
      </c>
      <c r="R11" s="700" t="s">
        <v>14</v>
      </c>
      <c r="S11" s="701">
        <f t="shared" si="0"/>
        <v>100</v>
      </c>
      <c r="T11" s="700" t="s">
        <v>14</v>
      </c>
      <c r="U11" s="701">
        <f t="shared" si="1"/>
        <v>100</v>
      </c>
      <c r="V11" s="700" t="s">
        <v>14</v>
      </c>
      <c r="W11" s="701">
        <f t="shared" si="2"/>
        <v>100</v>
      </c>
      <c r="X11" s="702"/>
      <c r="Y11" s="363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6"/>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8" t="s">
        <v>1691</v>
      </c>
      <c r="Q14" s="1350" t="str">
        <f t="shared" si="6"/>
        <v>交通便捷度</v>
      </c>
      <c r="R14" s="704" t="s">
        <v>14</v>
      </c>
      <c r="S14" s="705">
        <f t="shared" si="0"/>
        <v>100</v>
      </c>
      <c r="T14" s="704" t="s">
        <v>14</v>
      </c>
      <c r="U14" s="705">
        <f t="shared" si="1"/>
        <v>100</v>
      </c>
      <c r="V14" s="704" t="s">
        <v>14</v>
      </c>
      <c r="W14" s="705">
        <f t="shared" si="2"/>
        <v>100</v>
      </c>
      <c r="X14" s="1353"/>
      <c r="Y14" s="372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29"/>
      <c r="Q15" s="1350"/>
      <c r="R15" s="704"/>
      <c r="S15" s="705"/>
      <c r="T15" s="704"/>
      <c r="U15" s="705"/>
      <c r="V15" s="704"/>
      <c r="W15" s="705"/>
      <c r="X15" s="1353"/>
      <c r="Y15" s="372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9"/>
      <c r="Q16" s="1350" t="str">
        <f>B16</f>
        <v>公共配套设施</v>
      </c>
      <c r="R16" s="704" t="s">
        <v>14</v>
      </c>
      <c r="S16" s="705">
        <f>F16</f>
        <v>100</v>
      </c>
      <c r="T16" s="704" t="s">
        <v>14</v>
      </c>
      <c r="U16" s="705">
        <f>H16</f>
        <v>100</v>
      </c>
      <c r="V16" s="704" t="s">
        <v>14</v>
      </c>
      <c r="W16" s="705">
        <f>J16</f>
        <v>100</v>
      </c>
      <c r="X16" s="1353"/>
      <c r="Y16" s="372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29"/>
      <c r="Q17" s="1350"/>
      <c r="R17" s="704"/>
      <c r="S17" s="705"/>
      <c r="T17" s="704"/>
      <c r="U17" s="705"/>
      <c r="V17" s="704"/>
      <c r="W17" s="705"/>
      <c r="X17" s="1353"/>
      <c r="Y17" s="372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9"/>
      <c r="Q18" s="1350" t="str">
        <f>B18</f>
        <v>基础设施水平</v>
      </c>
      <c r="R18" s="704" t="s">
        <v>14</v>
      </c>
      <c r="S18" s="705">
        <f>F18</f>
        <v>100</v>
      </c>
      <c r="T18" s="704" t="s">
        <v>14</v>
      </c>
      <c r="U18" s="705">
        <f>H18</f>
        <v>100</v>
      </c>
      <c r="V18" s="704" t="s">
        <v>14</v>
      </c>
      <c r="W18" s="705">
        <f>J18</f>
        <v>100</v>
      </c>
      <c r="X18" s="1353"/>
      <c r="Y18" s="372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29"/>
      <c r="Q19" s="1350"/>
      <c r="R19" s="704"/>
      <c r="S19" s="705"/>
      <c r="T19" s="704"/>
      <c r="U19" s="705"/>
      <c r="V19" s="704"/>
      <c r="W19" s="705"/>
      <c r="X19" s="1353"/>
      <c r="Y19" s="372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9"/>
      <c r="Q20" s="1350" t="str">
        <f>B20</f>
        <v>自然及人文环境</v>
      </c>
      <c r="R20" s="704" t="s">
        <v>14</v>
      </c>
      <c r="S20" s="705">
        <f>F20</f>
        <v>100</v>
      </c>
      <c r="T20" s="704" t="s">
        <v>14</v>
      </c>
      <c r="U20" s="705">
        <f>H20</f>
        <v>100</v>
      </c>
      <c r="V20" s="704" t="s">
        <v>14</v>
      </c>
      <c r="W20" s="705">
        <f>J20</f>
        <v>100</v>
      </c>
      <c r="X20" s="1353"/>
      <c r="Y20" s="372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29"/>
      <c r="Q21" s="1350"/>
      <c r="R21" s="704"/>
      <c r="S21" s="705"/>
      <c r="T21" s="704"/>
      <c r="U21" s="705"/>
      <c r="V21" s="704"/>
      <c r="W21" s="705"/>
      <c r="X21" s="1353"/>
      <c r="Y21" s="372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9"/>
      <c r="Q22" s="1350" t="str">
        <f>B22</f>
        <v>楼层</v>
      </c>
      <c r="R22" s="704" t="s">
        <v>14</v>
      </c>
      <c r="S22" s="705">
        <f>F22</f>
        <v>100</v>
      </c>
      <c r="T22" s="704" t="s">
        <v>14</v>
      </c>
      <c r="U22" s="705">
        <f>H22</f>
        <v>100</v>
      </c>
      <c r="V22" s="704" t="s">
        <v>14</v>
      </c>
      <c r="W22" s="705">
        <f>J22</f>
        <v>100</v>
      </c>
      <c r="X22" s="1353"/>
      <c r="Y22" s="372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9"/>
      <c r="Q23" s="1350">
        <f>B23</f>
        <v>111</v>
      </c>
      <c r="R23" s="704" t="s">
        <v>14</v>
      </c>
      <c r="S23" s="705">
        <f>F23</f>
        <v>100</v>
      </c>
      <c r="T23" s="704" t="s">
        <v>14</v>
      </c>
      <c r="U23" s="705">
        <f>H23</f>
        <v>100</v>
      </c>
      <c r="V23" s="704" t="s">
        <v>14</v>
      </c>
      <c r="W23" s="705">
        <f>J23</f>
        <v>100</v>
      </c>
      <c r="X23" s="1353"/>
      <c r="Y23" s="372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9"/>
      <c r="Q24" s="1350">
        <f t="shared" ref="Q24:Q36" si="11">B24</f>
        <v>111</v>
      </c>
      <c r="R24" s="704" t="s">
        <v>14</v>
      </c>
      <c r="S24" s="705">
        <f>F24</f>
        <v>100</v>
      </c>
      <c r="T24" s="704" t="s">
        <v>14</v>
      </c>
      <c r="U24" s="705">
        <f>H24</f>
        <v>100</v>
      </c>
      <c r="V24" s="704" t="s">
        <v>14</v>
      </c>
      <c r="W24" s="705">
        <f>J24</f>
        <v>100</v>
      </c>
      <c r="X24" s="1353"/>
      <c r="Y24" s="372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9"/>
      <c r="Q25" s="1341">
        <f t="shared" si="11"/>
        <v>111</v>
      </c>
      <c r="R25" s="700" t="s">
        <v>14</v>
      </c>
      <c r="S25" s="701">
        <f>F25</f>
        <v>100</v>
      </c>
      <c r="T25" s="700" t="s">
        <v>14</v>
      </c>
      <c r="U25" s="701">
        <f>H25</f>
        <v>100</v>
      </c>
      <c r="V25" s="700" t="s">
        <v>14</v>
      </c>
      <c r="W25" s="701">
        <f>J25</f>
        <v>100</v>
      </c>
      <c r="X25" s="702"/>
      <c r="Y25" s="372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4"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3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3"/>
      <c r="Q27" s="706" t="str">
        <f t="shared" si="11"/>
        <v>项目停车位配比</v>
      </c>
      <c r="R27" s="707" t="s">
        <v>14</v>
      </c>
      <c r="S27" s="708">
        <f t="shared" si="12"/>
        <v>100</v>
      </c>
      <c r="T27" s="707" t="s">
        <v>14</v>
      </c>
      <c r="U27" s="708">
        <f t="shared" si="13"/>
        <v>100</v>
      </c>
      <c r="V27" s="707" t="s">
        <v>14</v>
      </c>
      <c r="W27" s="708">
        <f t="shared" si="14"/>
        <v>100</v>
      </c>
      <c r="X27" s="709"/>
      <c r="Y27" s="3733"/>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3"/>
      <c r="Q28" s="1350" t="str">
        <f t="shared" si="11"/>
        <v>公共部分装修</v>
      </c>
      <c r="R28" s="704" t="s">
        <v>14</v>
      </c>
      <c r="S28" s="705">
        <f t="shared" si="12"/>
        <v>100</v>
      </c>
      <c r="T28" s="704" t="s">
        <v>14</v>
      </c>
      <c r="U28" s="705">
        <f t="shared" si="13"/>
        <v>100</v>
      </c>
      <c r="V28" s="704" t="s">
        <v>14</v>
      </c>
      <c r="W28" s="705">
        <f t="shared" si="14"/>
        <v>100</v>
      </c>
      <c r="X28" s="1353"/>
      <c r="Y28" s="373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3"/>
      <c r="Q29" s="1350" t="str">
        <f t="shared" si="11"/>
        <v>成新率</v>
      </c>
      <c r="R29" s="704" t="s">
        <v>14</v>
      </c>
      <c r="S29" s="705" t="e">
        <f t="shared" si="12"/>
        <v>#N/A</v>
      </c>
      <c r="T29" s="704" t="s">
        <v>14</v>
      </c>
      <c r="U29" s="705" t="e">
        <f t="shared" si="13"/>
        <v>#N/A</v>
      </c>
      <c r="V29" s="704" t="s">
        <v>14</v>
      </c>
      <c r="W29" s="705" t="e">
        <f t="shared" si="14"/>
        <v>#N/A</v>
      </c>
      <c r="X29" s="1353"/>
      <c r="Y29" s="373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3"/>
      <c r="Q30" s="1350" t="str">
        <f t="shared" si="11"/>
        <v>物业等级</v>
      </c>
      <c r="R30" s="704" t="s">
        <v>14</v>
      </c>
      <c r="S30" s="705">
        <f t="shared" si="12"/>
        <v>100</v>
      </c>
      <c r="T30" s="704" t="s">
        <v>14</v>
      </c>
      <c r="U30" s="705">
        <f t="shared" si="13"/>
        <v>100</v>
      </c>
      <c r="V30" s="704" t="s">
        <v>14</v>
      </c>
      <c r="W30" s="705">
        <f t="shared" si="14"/>
        <v>100</v>
      </c>
      <c r="X30" s="1353"/>
      <c r="Y30" s="373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3"/>
      <c r="Q31" s="1341" t="str">
        <f t="shared" si="11"/>
        <v>停车位面积</v>
      </c>
      <c r="R31" s="700" t="s">
        <v>14</v>
      </c>
      <c r="S31" s="701" t="e">
        <f t="shared" si="12"/>
        <v>#N/A</v>
      </c>
      <c r="T31" s="700" t="s">
        <v>14</v>
      </c>
      <c r="U31" s="701" t="e">
        <f t="shared" si="13"/>
        <v>#N/A</v>
      </c>
      <c r="V31" s="700" t="s">
        <v>14</v>
      </c>
      <c r="W31" s="701" t="e">
        <f t="shared" si="14"/>
        <v>#N/A</v>
      </c>
      <c r="X31" s="702"/>
      <c r="Y31" s="3733"/>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3" t="s">
        <v>1696</v>
      </c>
      <c r="Q32" s="1350" t="str">
        <f t="shared" si="11"/>
        <v>车位类型</v>
      </c>
      <c r="R32" s="704" t="s">
        <v>14</v>
      </c>
      <c r="S32" s="705">
        <f t="shared" si="12"/>
        <v>100</v>
      </c>
      <c r="T32" s="704" t="s">
        <v>14</v>
      </c>
      <c r="U32" s="705">
        <f t="shared" si="13"/>
        <v>100</v>
      </c>
      <c r="V32" s="704" t="s">
        <v>14</v>
      </c>
      <c r="W32" s="705">
        <f t="shared" si="14"/>
        <v>100</v>
      </c>
      <c r="X32" s="1353"/>
      <c r="Y32" s="373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3"/>
      <c r="Q33" s="1350" t="str">
        <f t="shared" si="11"/>
        <v>是否直接入户</v>
      </c>
      <c r="R33" s="704" t="s">
        <v>14</v>
      </c>
      <c r="S33" s="705">
        <f t="shared" si="12"/>
        <v>100</v>
      </c>
      <c r="T33" s="704" t="s">
        <v>14</v>
      </c>
      <c r="U33" s="705">
        <f t="shared" si="13"/>
        <v>100</v>
      </c>
      <c r="V33" s="704" t="s">
        <v>14</v>
      </c>
      <c r="W33" s="705">
        <f t="shared" si="14"/>
        <v>100</v>
      </c>
      <c r="X33" s="1353"/>
      <c r="Y33" s="373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3"/>
      <c r="Q34" s="1350">
        <f t="shared" si="11"/>
        <v>111</v>
      </c>
      <c r="R34" s="704" t="s">
        <v>14</v>
      </c>
      <c r="S34" s="705">
        <f t="shared" si="12"/>
        <v>100</v>
      </c>
      <c r="T34" s="704" t="s">
        <v>14</v>
      </c>
      <c r="U34" s="705">
        <f t="shared" si="13"/>
        <v>100</v>
      </c>
      <c r="V34" s="704" t="s">
        <v>14</v>
      </c>
      <c r="W34" s="705">
        <f t="shared" si="14"/>
        <v>100</v>
      </c>
      <c r="X34" s="1353"/>
      <c r="Y34" s="373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3"/>
      <c r="Q35" s="706">
        <f t="shared" si="11"/>
        <v>111</v>
      </c>
      <c r="R35" s="707" t="s">
        <v>14</v>
      </c>
      <c r="S35" s="708">
        <f t="shared" si="12"/>
        <v>100</v>
      </c>
      <c r="T35" s="707" t="s">
        <v>14</v>
      </c>
      <c r="U35" s="708">
        <f t="shared" si="13"/>
        <v>100</v>
      </c>
      <c r="V35" s="707" t="s">
        <v>14</v>
      </c>
      <c r="W35" s="708">
        <f t="shared" si="14"/>
        <v>100</v>
      </c>
      <c r="X35" s="709"/>
      <c r="Y35" s="3733"/>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3"/>
      <c r="Q36" s="1350">
        <f t="shared" si="11"/>
        <v>111</v>
      </c>
      <c r="R36" s="704" t="s">
        <v>14</v>
      </c>
      <c r="S36" s="705">
        <f t="shared" si="12"/>
        <v>100</v>
      </c>
      <c r="T36" s="704" t="s">
        <v>14</v>
      </c>
      <c r="U36" s="705">
        <f t="shared" si="13"/>
        <v>100</v>
      </c>
      <c r="V36" s="704" t="s">
        <v>14</v>
      </c>
      <c r="W36" s="705">
        <f t="shared" si="14"/>
        <v>100</v>
      </c>
      <c r="X36" s="1353"/>
      <c r="Y36" s="3733"/>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726" t="str">
        <f>A37</f>
        <v>成交单价</v>
      </c>
      <c r="Q37" s="3726"/>
      <c r="R37" s="3727">
        <f>E37</f>
        <v>0</v>
      </c>
      <c r="S37" s="3727"/>
      <c r="T37" s="3727">
        <f>G37</f>
        <v>0</v>
      </c>
      <c r="U37" s="3727"/>
      <c r="V37" s="3727">
        <f>I37</f>
        <v>0</v>
      </c>
      <c r="W37" s="3727"/>
      <c r="X37" s="689"/>
      <c r="Y37" s="711"/>
      <c r="Z37" s="689"/>
      <c r="AA37" s="689"/>
      <c r="AB37" s="689"/>
      <c r="AC37" s="689"/>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2"/>
      <c r="M39" s="2723"/>
      <c r="N39" s="2723"/>
      <c r="O39" s="2723"/>
      <c r="P39" s="3723" t="str">
        <f>A39</f>
        <v>估价对象XX用房的比较价值（楼面单价，元/平方米）</v>
      </c>
      <c r="Q39" s="3724"/>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3"/>
      <c r="M6" s="2714"/>
      <c r="N6" s="2714"/>
      <c r="O6" s="2714"/>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4" t="s">
        <v>1680</v>
      </c>
      <c r="Q7" s="3722"/>
      <c r="R7" s="700" t="s">
        <v>14</v>
      </c>
      <c r="S7" s="701">
        <f t="shared" ref="S7:S14" si="0">F7</f>
        <v>0</v>
      </c>
      <c r="T7" s="700" t="s">
        <v>14</v>
      </c>
      <c r="U7" s="701">
        <f t="shared" ref="U7:U14" si="1">H7</f>
        <v>0</v>
      </c>
      <c r="V7" s="700" t="s">
        <v>14</v>
      </c>
      <c r="W7" s="701">
        <f t="shared" ref="W7:W14"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1683</v>
      </c>
      <c r="Q8" s="3695"/>
      <c r="R8" s="700" t="s">
        <v>14</v>
      </c>
      <c r="S8" s="701">
        <f t="shared" si="0"/>
        <v>100</v>
      </c>
      <c r="T8" s="700" t="s">
        <v>14</v>
      </c>
      <c r="U8" s="701">
        <f t="shared" si="1"/>
        <v>100</v>
      </c>
      <c r="V8" s="700" t="s">
        <v>14</v>
      </c>
      <c r="W8" s="701">
        <f t="shared" si="2"/>
        <v>100</v>
      </c>
      <c r="X8" s="702"/>
      <c r="Y8" s="3694" t="s">
        <v>1683</v>
      </c>
      <c r="Z8" s="369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6" t="s">
        <v>1686</v>
      </c>
      <c r="Q9" s="1341" t="str">
        <f t="shared" ref="Q9:Q14" si="6">B9</f>
        <v>用途</v>
      </c>
      <c r="R9" s="700" t="s">
        <v>14</v>
      </c>
      <c r="S9" s="701">
        <f t="shared" si="0"/>
        <v>100</v>
      </c>
      <c r="T9" s="700" t="s">
        <v>14</v>
      </c>
      <c r="U9" s="701">
        <f t="shared" si="1"/>
        <v>100</v>
      </c>
      <c r="V9" s="700" t="s">
        <v>14</v>
      </c>
      <c r="W9" s="701">
        <f t="shared" si="2"/>
        <v>100</v>
      </c>
      <c r="X9" s="702"/>
      <c r="Y9" s="3638"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6"/>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6"/>
      <c r="Q11" s="1341">
        <f t="shared" si="6"/>
        <v>111</v>
      </c>
      <c r="R11" s="700" t="s">
        <v>14</v>
      </c>
      <c r="S11" s="701">
        <f t="shared" si="0"/>
        <v>100</v>
      </c>
      <c r="T11" s="700" t="s">
        <v>14</v>
      </c>
      <c r="U11" s="701">
        <f t="shared" si="1"/>
        <v>100</v>
      </c>
      <c r="V11" s="700" t="s">
        <v>14</v>
      </c>
      <c r="W11" s="701">
        <f t="shared" si="2"/>
        <v>100</v>
      </c>
      <c r="X11" s="702"/>
      <c r="Y11" s="3638"/>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6"/>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8" t="s">
        <v>1691</v>
      </c>
      <c r="Q14" s="1350" t="str">
        <f t="shared" si="6"/>
        <v>交通便捷度</v>
      </c>
      <c r="R14" s="704" t="s">
        <v>14</v>
      </c>
      <c r="S14" s="705">
        <f t="shared" si="0"/>
        <v>100</v>
      </c>
      <c r="T14" s="704" t="s">
        <v>14</v>
      </c>
      <c r="U14" s="705">
        <f t="shared" si="1"/>
        <v>100</v>
      </c>
      <c r="V14" s="704" t="s">
        <v>14</v>
      </c>
      <c r="W14" s="705">
        <f t="shared" si="2"/>
        <v>100</v>
      </c>
      <c r="X14" s="1353"/>
      <c r="Y14" s="372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29"/>
      <c r="Q15" s="1350"/>
      <c r="R15" s="704"/>
      <c r="S15" s="705"/>
      <c r="T15" s="704"/>
      <c r="U15" s="705"/>
      <c r="V15" s="704"/>
      <c r="W15" s="705"/>
      <c r="X15" s="1353"/>
      <c r="Y15" s="372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9"/>
      <c r="Q16" s="1350" t="str">
        <f>B16</f>
        <v>公共配套设施</v>
      </c>
      <c r="R16" s="704" t="s">
        <v>14</v>
      </c>
      <c r="S16" s="705">
        <f>F16</f>
        <v>100</v>
      </c>
      <c r="T16" s="704" t="s">
        <v>14</v>
      </c>
      <c r="U16" s="705">
        <f>H16</f>
        <v>100</v>
      </c>
      <c r="V16" s="704" t="s">
        <v>14</v>
      </c>
      <c r="W16" s="705">
        <f>J16</f>
        <v>100</v>
      </c>
      <c r="X16" s="1353"/>
      <c r="Y16" s="372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29"/>
      <c r="Q17" s="1350"/>
      <c r="R17" s="704"/>
      <c r="S17" s="705"/>
      <c r="T17" s="704"/>
      <c r="U17" s="705"/>
      <c r="V17" s="704"/>
      <c r="W17" s="705"/>
      <c r="X17" s="1353"/>
      <c r="Y17" s="372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9"/>
      <c r="Q18" s="1350" t="str">
        <f>B18</f>
        <v>基础设施水平</v>
      </c>
      <c r="R18" s="704" t="s">
        <v>14</v>
      </c>
      <c r="S18" s="705">
        <f>F18</f>
        <v>100</v>
      </c>
      <c r="T18" s="704" t="s">
        <v>14</v>
      </c>
      <c r="U18" s="705">
        <f>H18</f>
        <v>100</v>
      </c>
      <c r="V18" s="704" t="s">
        <v>14</v>
      </c>
      <c r="W18" s="705">
        <f>J18</f>
        <v>100</v>
      </c>
      <c r="X18" s="1353"/>
      <c r="Y18" s="372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29"/>
      <c r="Q19" s="1350"/>
      <c r="R19" s="704"/>
      <c r="S19" s="705"/>
      <c r="T19" s="704"/>
      <c r="U19" s="705"/>
      <c r="V19" s="704"/>
      <c r="W19" s="705"/>
      <c r="X19" s="1353"/>
      <c r="Y19" s="372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9"/>
      <c r="Q20" s="1350" t="str">
        <f>B20</f>
        <v>自然及人文环境</v>
      </c>
      <c r="R20" s="704" t="s">
        <v>14</v>
      </c>
      <c r="S20" s="705">
        <f>F20</f>
        <v>100</v>
      </c>
      <c r="T20" s="704" t="s">
        <v>14</v>
      </c>
      <c r="U20" s="705">
        <f>H20</f>
        <v>100</v>
      </c>
      <c r="V20" s="704" t="s">
        <v>14</v>
      </c>
      <c r="W20" s="705">
        <f>J20</f>
        <v>100</v>
      </c>
      <c r="X20" s="1353"/>
      <c r="Y20" s="372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29"/>
      <c r="Q21" s="1350"/>
      <c r="R21" s="704"/>
      <c r="S21" s="705"/>
      <c r="T21" s="704"/>
      <c r="U21" s="705"/>
      <c r="V21" s="704"/>
      <c r="W21" s="705"/>
      <c r="X21" s="1353"/>
      <c r="Y21" s="372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9"/>
      <c r="Q22" s="1350" t="str">
        <f>B22</f>
        <v>楼层</v>
      </c>
      <c r="R22" s="704" t="s">
        <v>14</v>
      </c>
      <c r="S22" s="705">
        <f>F22</f>
        <v>100</v>
      </c>
      <c r="T22" s="704" t="s">
        <v>14</v>
      </c>
      <c r="U22" s="705">
        <f>H22</f>
        <v>100</v>
      </c>
      <c r="V22" s="704" t="s">
        <v>14</v>
      </c>
      <c r="W22" s="705">
        <f>J22</f>
        <v>100</v>
      </c>
      <c r="X22" s="1353"/>
      <c r="Y22" s="372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9"/>
      <c r="Q23" s="1350">
        <f>B23</f>
        <v>111</v>
      </c>
      <c r="R23" s="704" t="s">
        <v>14</v>
      </c>
      <c r="S23" s="705">
        <f>F23</f>
        <v>100</v>
      </c>
      <c r="T23" s="704" t="s">
        <v>14</v>
      </c>
      <c r="U23" s="705">
        <f>H23</f>
        <v>100</v>
      </c>
      <c r="V23" s="704" t="s">
        <v>14</v>
      </c>
      <c r="W23" s="705">
        <f>J23</f>
        <v>100</v>
      </c>
      <c r="X23" s="1353"/>
      <c r="Y23" s="372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9"/>
      <c r="Q24" s="1350">
        <f t="shared" ref="Q24:Q34" si="11">B24</f>
        <v>111</v>
      </c>
      <c r="R24" s="704" t="s">
        <v>14</v>
      </c>
      <c r="S24" s="705">
        <f>F24</f>
        <v>100</v>
      </c>
      <c r="T24" s="704" t="s">
        <v>14</v>
      </c>
      <c r="U24" s="705">
        <f>H24</f>
        <v>100</v>
      </c>
      <c r="V24" s="704" t="s">
        <v>14</v>
      </c>
      <c r="W24" s="705">
        <f>J24</f>
        <v>100</v>
      </c>
      <c r="X24" s="1353"/>
      <c r="Y24" s="372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9"/>
      <c r="Q25" s="1341">
        <f t="shared" si="11"/>
        <v>111</v>
      </c>
      <c r="R25" s="700" t="s">
        <v>14</v>
      </c>
      <c r="S25" s="701">
        <f>F25</f>
        <v>100</v>
      </c>
      <c r="T25" s="700" t="s">
        <v>14</v>
      </c>
      <c r="U25" s="701">
        <f>H25</f>
        <v>100</v>
      </c>
      <c r="V25" s="700" t="s">
        <v>14</v>
      </c>
      <c r="W25" s="701">
        <f>J25</f>
        <v>100</v>
      </c>
      <c r="X25" s="702"/>
      <c r="Y25" s="372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4"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3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3"/>
      <c r="Q27" s="706" t="str">
        <f t="shared" si="11"/>
        <v>成新率</v>
      </c>
      <c r="R27" s="707" t="s">
        <v>14</v>
      </c>
      <c r="S27" s="708" t="e">
        <f t="shared" si="12"/>
        <v>#N/A</v>
      </c>
      <c r="T27" s="707" t="s">
        <v>14</v>
      </c>
      <c r="U27" s="708" t="e">
        <f t="shared" si="13"/>
        <v>#N/A</v>
      </c>
      <c r="V27" s="707" t="s">
        <v>14</v>
      </c>
      <c r="W27" s="708" t="e">
        <f t="shared" si="14"/>
        <v>#N/A</v>
      </c>
      <c r="X27" s="709"/>
      <c r="Y27" s="3733"/>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3"/>
      <c r="Q28" s="1350" t="str">
        <f t="shared" si="11"/>
        <v>物业等级</v>
      </c>
      <c r="R28" s="704" t="s">
        <v>14</v>
      </c>
      <c r="S28" s="705">
        <f t="shared" si="12"/>
        <v>100</v>
      </c>
      <c r="T28" s="704" t="s">
        <v>14</v>
      </c>
      <c r="U28" s="705">
        <f t="shared" si="13"/>
        <v>100</v>
      </c>
      <c r="V28" s="704" t="s">
        <v>14</v>
      </c>
      <c r="W28" s="705">
        <f t="shared" si="14"/>
        <v>100</v>
      </c>
      <c r="X28" s="1353"/>
      <c r="Y28" s="373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3"/>
      <c r="Q29" s="1350" t="str">
        <f t="shared" si="11"/>
        <v>有无电梯</v>
      </c>
      <c r="R29" s="704" t="s">
        <v>14</v>
      </c>
      <c r="S29" s="705">
        <f t="shared" si="12"/>
        <v>100</v>
      </c>
      <c r="T29" s="704" t="s">
        <v>14</v>
      </c>
      <c r="U29" s="705">
        <f t="shared" si="13"/>
        <v>100</v>
      </c>
      <c r="V29" s="704" t="s">
        <v>14</v>
      </c>
      <c r="W29" s="705">
        <f t="shared" si="14"/>
        <v>100</v>
      </c>
      <c r="X29" s="1353"/>
      <c r="Y29" s="373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3"/>
      <c r="Q30" s="1350" t="str">
        <f t="shared" si="11"/>
        <v>建筑面积</v>
      </c>
      <c r="R30" s="704" t="s">
        <v>14</v>
      </c>
      <c r="S30" s="705" t="e">
        <f t="shared" si="12"/>
        <v>#N/A</v>
      </c>
      <c r="T30" s="704" t="s">
        <v>14</v>
      </c>
      <c r="U30" s="705" t="e">
        <f t="shared" si="13"/>
        <v>#N/A</v>
      </c>
      <c r="V30" s="704" t="s">
        <v>14</v>
      </c>
      <c r="W30" s="705" t="e">
        <f t="shared" si="14"/>
        <v>#N/A</v>
      </c>
      <c r="X30" s="1353"/>
      <c r="Y30" s="373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3"/>
      <c r="Q31" s="1341" t="str">
        <f t="shared" si="11"/>
        <v>是否封闭</v>
      </c>
      <c r="R31" s="700" t="s">
        <v>14</v>
      </c>
      <c r="S31" s="701">
        <f t="shared" si="12"/>
        <v>100</v>
      </c>
      <c r="T31" s="700" t="s">
        <v>14</v>
      </c>
      <c r="U31" s="701">
        <f t="shared" si="13"/>
        <v>100</v>
      </c>
      <c r="V31" s="700" t="s">
        <v>14</v>
      </c>
      <c r="W31" s="701">
        <f t="shared" si="14"/>
        <v>100</v>
      </c>
      <c r="X31" s="702"/>
      <c r="Y31" s="3733"/>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3" t="s">
        <v>1696</v>
      </c>
      <c r="Q32" s="1350">
        <f t="shared" si="11"/>
        <v>111</v>
      </c>
      <c r="R32" s="704" t="s">
        <v>14</v>
      </c>
      <c r="S32" s="705">
        <f t="shared" si="12"/>
        <v>100</v>
      </c>
      <c r="T32" s="704" t="s">
        <v>14</v>
      </c>
      <c r="U32" s="705">
        <f t="shared" si="13"/>
        <v>100</v>
      </c>
      <c r="V32" s="704" t="s">
        <v>14</v>
      </c>
      <c r="W32" s="705">
        <f t="shared" si="14"/>
        <v>100</v>
      </c>
      <c r="X32" s="1353"/>
      <c r="Y32" s="373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3"/>
      <c r="Q33" s="1350">
        <f t="shared" si="11"/>
        <v>111</v>
      </c>
      <c r="R33" s="704" t="s">
        <v>14</v>
      </c>
      <c r="S33" s="705">
        <f t="shared" si="12"/>
        <v>100</v>
      </c>
      <c r="T33" s="704" t="s">
        <v>14</v>
      </c>
      <c r="U33" s="705">
        <f t="shared" si="13"/>
        <v>100</v>
      </c>
      <c r="V33" s="704" t="s">
        <v>14</v>
      </c>
      <c r="W33" s="705">
        <f t="shared" si="14"/>
        <v>100</v>
      </c>
      <c r="X33" s="1353"/>
      <c r="Y33" s="373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33"/>
      <c r="Q34" s="1350">
        <f t="shared" si="11"/>
        <v>111</v>
      </c>
      <c r="R34" s="704" t="s">
        <v>14</v>
      </c>
      <c r="S34" s="705">
        <f t="shared" si="12"/>
        <v>100</v>
      </c>
      <c r="T34" s="704" t="s">
        <v>14</v>
      </c>
      <c r="U34" s="705">
        <f t="shared" si="13"/>
        <v>100</v>
      </c>
      <c r="V34" s="704" t="s">
        <v>14</v>
      </c>
      <c r="W34" s="705">
        <f t="shared" si="14"/>
        <v>100</v>
      </c>
      <c r="X34" s="1353"/>
      <c r="Y34" s="373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726" t="str">
        <f>A35</f>
        <v>成交单价（元/平方米）</v>
      </c>
      <c r="Q35" s="3726"/>
      <c r="R35" s="3727">
        <f>E35</f>
        <v>0</v>
      </c>
      <c r="S35" s="3727"/>
      <c r="T35" s="3727">
        <f>G35</f>
        <v>0</v>
      </c>
      <c r="U35" s="3727"/>
      <c r="V35" s="3727">
        <f>I35</f>
        <v>0</v>
      </c>
      <c r="W35" s="3727"/>
      <c r="X35" s="689"/>
      <c r="Y35" s="711"/>
      <c r="Z35" s="689"/>
      <c r="AA35" s="689"/>
      <c r="AB35" s="689"/>
      <c r="AC35" s="689"/>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723" t="str">
        <f>A37</f>
        <v>估价对象XX用房的比较价值（楼面单价，元/平方米）</v>
      </c>
      <c r="Q37" s="3724"/>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30"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692"/>
      <c r="AC5" s="3692"/>
    </row>
    <row r="6" spans="1:30" ht="15.75" thickBot="1">
      <c r="A6" s="360"/>
      <c r="B6" s="361"/>
      <c r="C6" s="3704" t="s">
        <v>1677</v>
      </c>
      <c r="D6" s="3705"/>
      <c r="E6" s="3706" t="s">
        <v>1677</v>
      </c>
      <c r="F6" s="3707"/>
      <c r="G6" s="3704" t="s">
        <v>1677</v>
      </c>
      <c r="H6" s="3705"/>
      <c r="I6" s="3704" t="s">
        <v>1677</v>
      </c>
      <c r="J6" s="3705"/>
      <c r="K6" s="559" t="s">
        <v>1678</v>
      </c>
      <c r="L6" s="2713"/>
      <c r="M6" s="2714"/>
      <c r="N6" s="2714"/>
      <c r="O6" s="2714"/>
      <c r="P6" s="3717"/>
      <c r="Q6" s="3718"/>
      <c r="R6" s="3698"/>
      <c r="S6" s="3699"/>
      <c r="T6" s="3719"/>
      <c r="U6" s="3720"/>
      <c r="V6" s="3721"/>
      <c r="W6" s="3721"/>
      <c r="X6" s="1353"/>
      <c r="Y6" s="3719"/>
      <c r="Z6" s="3720"/>
      <c r="AA6" s="3693"/>
      <c r="AB6" s="3693"/>
      <c r="AC6" s="3693"/>
    </row>
    <row r="7" spans="1:30" s="108" customFormat="1" ht="15.75" thickBot="1">
      <c r="A7" s="362" t="s">
        <v>1679</v>
      </c>
      <c r="B7" s="363"/>
      <c r="C7" s="364">
        <f>'数据-取费表'!B2</f>
        <v>45212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1683</v>
      </c>
      <c r="Q8" s="3695"/>
      <c r="R8" s="700" t="s">
        <v>14</v>
      </c>
      <c r="S8" s="701">
        <f t="shared" si="0"/>
        <v>0</v>
      </c>
      <c r="T8" s="700" t="s">
        <v>14</v>
      </c>
      <c r="U8" s="701">
        <f t="shared" si="1"/>
        <v>0</v>
      </c>
      <c r="V8" s="700" t="s">
        <v>14</v>
      </c>
      <c r="W8" s="701">
        <f t="shared" si="2"/>
        <v>0</v>
      </c>
      <c r="X8" s="702"/>
      <c r="Y8" s="3694" t="s">
        <v>1683</v>
      </c>
      <c r="Z8" s="3695"/>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6"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726"/>
      <c r="Q10" s="1341" t="str">
        <f t="shared" si="6"/>
        <v>土地使用年限（年）</v>
      </c>
      <c r="R10" s="700" t="s">
        <v>14</v>
      </c>
      <c r="S10" s="701">
        <f t="shared" si="0"/>
        <v>108</v>
      </c>
      <c r="T10" s="700" t="s">
        <v>14</v>
      </c>
      <c r="U10" s="701">
        <f t="shared" si="1"/>
        <v>108</v>
      </c>
      <c r="V10" s="700" t="s">
        <v>14</v>
      </c>
      <c r="W10" s="701">
        <f t="shared" si="2"/>
        <v>108</v>
      </c>
      <c r="X10" s="702"/>
      <c r="Y10" s="3638"/>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6"/>
      <c r="Q11" s="1341"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6"/>
      <c r="Q12" s="1341" t="str">
        <f t="shared" si="6"/>
        <v>配建</v>
      </c>
      <c r="R12" s="700" t="s">
        <v>14</v>
      </c>
      <c r="S12" s="701">
        <f t="shared" si="0"/>
        <v>100</v>
      </c>
      <c r="T12" s="700" t="s">
        <v>14</v>
      </c>
      <c r="U12" s="701">
        <f t="shared" si="1"/>
        <v>100</v>
      </c>
      <c r="V12" s="700" t="s">
        <v>14</v>
      </c>
      <c r="W12" s="701">
        <f t="shared" si="2"/>
        <v>100</v>
      </c>
      <c r="X12" s="702"/>
      <c r="Y12" s="3638"/>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6"/>
      <c r="Q14" s="1341">
        <f t="shared" si="6"/>
        <v>111</v>
      </c>
      <c r="R14" s="700" t="s">
        <v>14</v>
      </c>
      <c r="S14" s="701">
        <f t="shared" si="0"/>
        <v>100</v>
      </c>
      <c r="T14" s="700" t="s">
        <v>14</v>
      </c>
      <c r="U14" s="701">
        <f t="shared" si="1"/>
        <v>100</v>
      </c>
      <c r="V14" s="700" t="s">
        <v>14</v>
      </c>
      <c r="W14" s="701">
        <f t="shared" si="2"/>
        <v>100</v>
      </c>
      <c r="X14" s="702"/>
      <c r="Y14" s="3638"/>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8" t="s">
        <v>1691</v>
      </c>
      <c r="Q15" s="1350" t="str">
        <f t="shared" si="6"/>
        <v>居住社区成熟度</v>
      </c>
      <c r="R15" s="704" t="s">
        <v>14</v>
      </c>
      <c r="S15" s="705">
        <f t="shared" si="0"/>
        <v>100</v>
      </c>
      <c r="T15" s="704" t="s">
        <v>14</v>
      </c>
      <c r="U15" s="705">
        <f t="shared" si="1"/>
        <v>100</v>
      </c>
      <c r="V15" s="704" t="s">
        <v>14</v>
      </c>
      <c r="W15" s="705">
        <f t="shared" si="2"/>
        <v>100</v>
      </c>
      <c r="X15" s="1353"/>
      <c r="Y15" s="372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29"/>
      <c r="Q16" s="1350"/>
      <c r="R16" s="704"/>
      <c r="S16" s="705"/>
      <c r="T16" s="704"/>
      <c r="U16" s="705"/>
      <c r="V16" s="704"/>
      <c r="W16" s="705"/>
      <c r="X16" s="1353"/>
      <c r="Y16" s="372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9"/>
      <c r="Q17" s="1350" t="str">
        <f>B17</f>
        <v>商业繁华度</v>
      </c>
      <c r="R17" s="704" t="s">
        <v>14</v>
      </c>
      <c r="S17" s="705">
        <f>F17</f>
        <v>100</v>
      </c>
      <c r="T17" s="704" t="s">
        <v>14</v>
      </c>
      <c r="U17" s="705">
        <f>H17</f>
        <v>100</v>
      </c>
      <c r="V17" s="704" t="s">
        <v>14</v>
      </c>
      <c r="W17" s="705">
        <f>J17</f>
        <v>100</v>
      </c>
      <c r="X17" s="1353"/>
      <c r="Y17" s="372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29"/>
      <c r="Q18" s="1350"/>
      <c r="R18" s="704"/>
      <c r="S18" s="705"/>
      <c r="T18" s="704"/>
      <c r="U18" s="705"/>
      <c r="V18" s="704"/>
      <c r="W18" s="705"/>
      <c r="X18" s="1353"/>
      <c r="Y18" s="372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9"/>
      <c r="Q19" s="1350" t="str">
        <f>B19</f>
        <v>办公集聚程度</v>
      </c>
      <c r="R19" s="704" t="s">
        <v>14</v>
      </c>
      <c r="S19" s="705">
        <f>F19</f>
        <v>100</v>
      </c>
      <c r="T19" s="704" t="s">
        <v>14</v>
      </c>
      <c r="U19" s="705">
        <f>H19</f>
        <v>100</v>
      </c>
      <c r="V19" s="704" t="s">
        <v>14</v>
      </c>
      <c r="W19" s="705">
        <f>J19</f>
        <v>100</v>
      </c>
      <c r="X19" s="1353"/>
      <c r="Y19" s="372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29"/>
      <c r="Q20" s="1350"/>
      <c r="R20" s="704"/>
      <c r="S20" s="705"/>
      <c r="T20" s="704"/>
      <c r="U20" s="705"/>
      <c r="V20" s="704"/>
      <c r="W20" s="705"/>
      <c r="X20" s="1353"/>
      <c r="Y20" s="372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9"/>
      <c r="Q21" s="1350" t="str">
        <f>B21</f>
        <v>交通便捷度</v>
      </c>
      <c r="R21" s="704" t="s">
        <v>14</v>
      </c>
      <c r="S21" s="705">
        <f>F21</f>
        <v>100</v>
      </c>
      <c r="T21" s="704" t="s">
        <v>14</v>
      </c>
      <c r="U21" s="705">
        <f>H21</f>
        <v>100</v>
      </c>
      <c r="V21" s="704" t="s">
        <v>14</v>
      </c>
      <c r="W21" s="705">
        <f>J21</f>
        <v>100</v>
      </c>
      <c r="X21" s="1353"/>
      <c r="Y21" s="372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29"/>
      <c r="Q22" s="1350"/>
      <c r="R22" s="704"/>
      <c r="S22" s="705"/>
      <c r="T22" s="704"/>
      <c r="U22" s="705"/>
      <c r="V22" s="704"/>
      <c r="W22" s="705"/>
      <c r="X22" s="1353"/>
      <c r="Y22" s="372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9"/>
      <c r="Q23" s="1350" t="str">
        <f t="shared" ref="Q23:Q37" si="8">B23</f>
        <v>区域土地利用方向</v>
      </c>
      <c r="R23" s="704" t="s">
        <v>14</v>
      </c>
      <c r="S23" s="705">
        <f>F23</f>
        <v>100</v>
      </c>
      <c r="T23" s="704" t="s">
        <v>14</v>
      </c>
      <c r="U23" s="705">
        <f>H23</f>
        <v>100</v>
      </c>
      <c r="V23" s="704" t="s">
        <v>14</v>
      </c>
      <c r="W23" s="705">
        <f>J23</f>
        <v>100</v>
      </c>
      <c r="X23" s="1353"/>
      <c r="Y23" s="372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729"/>
      <c r="Q24" s="1350"/>
      <c r="R24" s="704"/>
      <c r="S24" s="705"/>
      <c r="T24" s="704"/>
      <c r="U24" s="705"/>
      <c r="V24" s="704"/>
      <c r="W24" s="705"/>
      <c r="X24" s="1353"/>
      <c r="Y24" s="372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9"/>
      <c r="Q25" s="1350" t="str">
        <f t="shared" si="8"/>
        <v>自然及人文环境状况</v>
      </c>
      <c r="R25" s="704" t="s">
        <v>14</v>
      </c>
      <c r="S25" s="705">
        <f>F25</f>
        <v>100</v>
      </c>
      <c r="T25" s="704" t="s">
        <v>14</v>
      </c>
      <c r="U25" s="705">
        <f>H25</f>
        <v>100</v>
      </c>
      <c r="V25" s="704" t="s">
        <v>14</v>
      </c>
      <c r="W25" s="705">
        <f>J25</f>
        <v>100</v>
      </c>
      <c r="X25" s="1353"/>
      <c r="Y25" s="372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29"/>
      <c r="Q26" s="1350"/>
      <c r="R26" s="704"/>
      <c r="S26" s="705"/>
      <c r="T26" s="704"/>
      <c r="U26" s="705"/>
      <c r="V26" s="704"/>
      <c r="W26" s="705"/>
      <c r="X26" s="1353"/>
      <c r="Y26" s="372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9"/>
      <c r="Q27" s="1341" t="str">
        <f t="shared" si="8"/>
        <v>公共配套设施</v>
      </c>
      <c r="R27" s="700" t="s">
        <v>14</v>
      </c>
      <c r="S27" s="701">
        <f>F27</f>
        <v>100</v>
      </c>
      <c r="T27" s="700" t="s">
        <v>14</v>
      </c>
      <c r="U27" s="701">
        <f>H27</f>
        <v>100</v>
      </c>
      <c r="V27" s="700" t="s">
        <v>14</v>
      </c>
      <c r="W27" s="701">
        <f>J27</f>
        <v>100</v>
      </c>
      <c r="X27" s="702"/>
      <c r="Y27" s="372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29"/>
      <c r="Q28" s="1341"/>
      <c r="R28" s="700"/>
      <c r="S28" s="701"/>
      <c r="T28" s="700"/>
      <c r="U28" s="701"/>
      <c r="V28" s="700"/>
      <c r="W28" s="701"/>
      <c r="X28" s="702"/>
      <c r="Y28" s="372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9"/>
      <c r="Q29" s="1341" t="str">
        <f t="shared" ref="Q29" si="9">B29</f>
        <v>基础设施水平</v>
      </c>
      <c r="R29" s="700" t="s">
        <v>14</v>
      </c>
      <c r="S29" s="701">
        <f>F29</f>
        <v>100</v>
      </c>
      <c r="T29" s="700" t="s">
        <v>14</v>
      </c>
      <c r="U29" s="701">
        <f>H29</f>
        <v>100</v>
      </c>
      <c r="V29" s="700" t="s">
        <v>14</v>
      </c>
      <c r="W29" s="701">
        <f>J29</f>
        <v>100</v>
      </c>
      <c r="X29" s="702"/>
      <c r="Y29" s="372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29"/>
      <c r="Q30" s="1341"/>
      <c r="R30" s="700"/>
      <c r="S30" s="701"/>
      <c r="T30" s="700"/>
      <c r="U30" s="701"/>
      <c r="V30" s="700"/>
      <c r="W30" s="701"/>
      <c r="X30" s="702"/>
      <c r="Y30" s="372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9"/>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2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9"/>
      <c r="Q32" s="1350" t="str">
        <f t="shared" si="8"/>
        <v>毗邻道路的类型与等级</v>
      </c>
      <c r="R32" s="704" t="s">
        <v>14</v>
      </c>
      <c r="S32" s="705">
        <f t="shared" si="10"/>
        <v>100</v>
      </c>
      <c r="T32" s="704" t="s">
        <v>14</v>
      </c>
      <c r="U32" s="705">
        <f t="shared" si="11"/>
        <v>100</v>
      </c>
      <c r="V32" s="704" t="s">
        <v>14</v>
      </c>
      <c r="W32" s="705">
        <f t="shared" si="12"/>
        <v>100</v>
      </c>
      <c r="X32" s="1353"/>
      <c r="Y32" s="372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29"/>
      <c r="Q33" s="1350"/>
      <c r="R33" s="704"/>
      <c r="S33" s="705"/>
      <c r="T33" s="704"/>
      <c r="U33" s="705"/>
      <c r="V33" s="704"/>
      <c r="W33" s="705"/>
      <c r="X33" s="1353"/>
      <c r="Y33" s="372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9"/>
      <c r="Q34" s="1350" t="str">
        <f t="shared" si="8"/>
        <v>土地级别</v>
      </c>
      <c r="R34" s="704" t="s">
        <v>14</v>
      </c>
      <c r="S34" s="705">
        <f t="shared" si="10"/>
        <v>100</v>
      </c>
      <c r="T34" s="704" t="s">
        <v>14</v>
      </c>
      <c r="U34" s="705">
        <f t="shared" si="11"/>
        <v>100</v>
      </c>
      <c r="V34" s="704" t="s">
        <v>14</v>
      </c>
      <c r="W34" s="705">
        <f t="shared" si="12"/>
        <v>100</v>
      </c>
      <c r="X34" s="1353"/>
      <c r="Y34" s="372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9"/>
      <c r="Q35" s="1350">
        <f t="shared" si="8"/>
        <v>111</v>
      </c>
      <c r="R35" s="704" t="s">
        <v>14</v>
      </c>
      <c r="S35" s="705">
        <f t="shared" si="10"/>
        <v>100</v>
      </c>
      <c r="T35" s="704" t="s">
        <v>14</v>
      </c>
      <c r="U35" s="705">
        <f t="shared" si="11"/>
        <v>100</v>
      </c>
      <c r="V35" s="704" t="s">
        <v>14</v>
      </c>
      <c r="W35" s="705">
        <f t="shared" si="12"/>
        <v>100</v>
      </c>
      <c r="X35" s="1353"/>
      <c r="Y35" s="372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4" t="s">
        <v>1696</v>
      </c>
      <c r="Q36" s="1350">
        <f t="shared" si="8"/>
        <v>111</v>
      </c>
      <c r="R36" s="704" t="s">
        <v>14</v>
      </c>
      <c r="S36" s="705">
        <f t="shared" si="10"/>
        <v>100</v>
      </c>
      <c r="T36" s="704" t="s">
        <v>14</v>
      </c>
      <c r="U36" s="705">
        <f t="shared" si="11"/>
        <v>100</v>
      </c>
      <c r="V36" s="704" t="s">
        <v>14</v>
      </c>
      <c r="W36" s="705">
        <f t="shared" si="12"/>
        <v>100</v>
      </c>
      <c r="X36" s="1353"/>
      <c r="Y36" s="373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3"/>
      <c r="Q37" s="1350">
        <f t="shared" si="8"/>
        <v>111</v>
      </c>
      <c r="R37" s="707" t="s">
        <v>14</v>
      </c>
      <c r="S37" s="708">
        <f t="shared" si="10"/>
        <v>100</v>
      </c>
      <c r="T37" s="707" t="s">
        <v>14</v>
      </c>
      <c r="U37" s="708">
        <f t="shared" si="11"/>
        <v>100</v>
      </c>
      <c r="V37" s="707" t="s">
        <v>14</v>
      </c>
      <c r="W37" s="708">
        <f t="shared" si="12"/>
        <v>100</v>
      </c>
      <c r="X37" s="709"/>
      <c r="Y37" s="3733"/>
      <c r="Z37" s="710">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3"/>
      <c r="Q38" s="1350" t="str">
        <f>B38</f>
        <v>宗地面积</v>
      </c>
      <c r="R38" s="704" t="s">
        <v>14</v>
      </c>
      <c r="S38" s="705" t="e">
        <f t="shared" si="10"/>
        <v>#N/A</v>
      </c>
      <c r="T38" s="704" t="s">
        <v>14</v>
      </c>
      <c r="U38" s="705" t="e">
        <f t="shared" si="11"/>
        <v>#N/A</v>
      </c>
      <c r="V38" s="704" t="s">
        <v>14</v>
      </c>
      <c r="W38" s="705" t="e">
        <f t="shared" si="12"/>
        <v>#N/A</v>
      </c>
      <c r="X38" s="1353"/>
      <c r="Y38" s="373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33"/>
      <c r="Q39" s="1350" t="str">
        <f t="shared" ref="Q39:Q45" si="14">B39</f>
        <v>宗地形状</v>
      </c>
      <c r="R39" s="704" t="s">
        <v>14</v>
      </c>
      <c r="S39" s="705">
        <f t="shared" si="10"/>
        <v>100</v>
      </c>
      <c r="T39" s="704" t="s">
        <v>14</v>
      </c>
      <c r="U39" s="705">
        <f t="shared" si="11"/>
        <v>100</v>
      </c>
      <c r="V39" s="704" t="s">
        <v>14</v>
      </c>
      <c r="W39" s="705">
        <f t="shared" si="12"/>
        <v>100</v>
      </c>
      <c r="X39" s="1353"/>
      <c r="Y39" s="373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33"/>
      <c r="Q40" s="1350" t="str">
        <f t="shared" si="14"/>
        <v>临街宽度及深度</v>
      </c>
      <c r="R40" s="704" t="s">
        <v>14</v>
      </c>
      <c r="S40" s="705">
        <f t="shared" si="10"/>
        <v>100</v>
      </c>
      <c r="T40" s="704" t="s">
        <v>14</v>
      </c>
      <c r="U40" s="705">
        <f t="shared" si="11"/>
        <v>100</v>
      </c>
      <c r="V40" s="704" t="s">
        <v>14</v>
      </c>
      <c r="W40" s="705">
        <f t="shared" si="12"/>
        <v>100</v>
      </c>
      <c r="X40" s="1353"/>
      <c r="Y40" s="373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33"/>
      <c r="Q41" s="1350" t="str">
        <f t="shared" si="14"/>
        <v>宗地开发程度</v>
      </c>
      <c r="R41" s="700" t="s">
        <v>14</v>
      </c>
      <c r="S41" s="701">
        <f t="shared" si="10"/>
        <v>100</v>
      </c>
      <c r="T41" s="700" t="s">
        <v>14</v>
      </c>
      <c r="U41" s="701">
        <f t="shared" si="11"/>
        <v>100</v>
      </c>
      <c r="V41" s="700" t="s">
        <v>14</v>
      </c>
      <c r="W41" s="701">
        <f t="shared" si="12"/>
        <v>100</v>
      </c>
      <c r="X41" s="702"/>
      <c r="Y41" s="3733"/>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33" t="s">
        <v>1696</v>
      </c>
      <c r="Q42" s="1350" t="str">
        <f t="shared" si="14"/>
        <v>工程地质条件</v>
      </c>
      <c r="R42" s="704" t="s">
        <v>14</v>
      </c>
      <c r="S42" s="705">
        <f t="shared" si="10"/>
        <v>100</v>
      </c>
      <c r="T42" s="704" t="s">
        <v>14</v>
      </c>
      <c r="U42" s="705">
        <f t="shared" si="11"/>
        <v>100</v>
      </c>
      <c r="V42" s="704" t="s">
        <v>14</v>
      </c>
      <c r="W42" s="705">
        <f t="shared" si="12"/>
        <v>100</v>
      </c>
      <c r="X42" s="1353"/>
      <c r="Y42" s="373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3"/>
      <c r="Q43" s="1350">
        <f t="shared" si="14"/>
        <v>111</v>
      </c>
      <c r="R43" s="704" t="s">
        <v>14</v>
      </c>
      <c r="S43" s="705">
        <f t="shared" si="10"/>
        <v>100</v>
      </c>
      <c r="T43" s="704" t="s">
        <v>14</v>
      </c>
      <c r="U43" s="705">
        <f t="shared" si="11"/>
        <v>100</v>
      </c>
      <c r="V43" s="704" t="s">
        <v>14</v>
      </c>
      <c r="W43" s="705">
        <f t="shared" si="12"/>
        <v>100</v>
      </c>
      <c r="X43" s="1353"/>
      <c r="Y43" s="373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3"/>
      <c r="Q44" s="1350">
        <f t="shared" si="14"/>
        <v>111</v>
      </c>
      <c r="R44" s="704" t="s">
        <v>14</v>
      </c>
      <c r="S44" s="705">
        <f t="shared" si="10"/>
        <v>100</v>
      </c>
      <c r="T44" s="704" t="s">
        <v>14</v>
      </c>
      <c r="U44" s="705">
        <f t="shared" si="11"/>
        <v>100</v>
      </c>
      <c r="V44" s="704" t="s">
        <v>14</v>
      </c>
      <c r="W44" s="705">
        <f t="shared" si="12"/>
        <v>100</v>
      </c>
      <c r="X44" s="1353"/>
      <c r="Y44" s="373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3"/>
      <c r="Q45" s="1350">
        <f t="shared" si="14"/>
        <v>111</v>
      </c>
      <c r="R45" s="707" t="s">
        <v>14</v>
      </c>
      <c r="S45" s="708">
        <f t="shared" si="10"/>
        <v>100</v>
      </c>
      <c r="T45" s="707" t="s">
        <v>14</v>
      </c>
      <c r="U45" s="708">
        <f t="shared" si="11"/>
        <v>100</v>
      </c>
      <c r="V45" s="707" t="s">
        <v>14</v>
      </c>
      <c r="W45" s="708">
        <f t="shared" si="12"/>
        <v>100</v>
      </c>
      <c r="X45" s="709"/>
      <c r="Y45" s="3733"/>
      <c r="Z45" s="710">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3"/>
      <c r="L46" s="2722"/>
      <c r="M46" s="2723"/>
      <c r="N46" s="2714"/>
      <c r="O46" s="2723"/>
      <c r="P46" s="3726" t="str">
        <f>A46</f>
        <v>成交单价</v>
      </c>
      <c r="Q46" s="3726"/>
      <c r="R46" s="3721">
        <f>E46</f>
        <v>0</v>
      </c>
      <c r="S46" s="3721"/>
      <c r="T46" s="3721">
        <f>G46</f>
        <v>0</v>
      </c>
      <c r="U46" s="3721"/>
      <c r="V46" s="3721">
        <f>I46</f>
        <v>0</v>
      </c>
      <c r="W46" s="3721"/>
      <c r="X46" s="689"/>
      <c r="Y46" s="711"/>
      <c r="Z46" s="689"/>
      <c r="AA46" s="689"/>
      <c r="AB46" s="689"/>
      <c r="AC46" s="689"/>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26" t="str">
        <f>A47</f>
        <v>比较价值（元/平方米）</v>
      </c>
      <c r="Q47" s="3726"/>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23" t="str">
        <f>A48</f>
        <v>估价对象XX用房的比较价值（楼面单价，元/平方米）</v>
      </c>
      <c r="Q48" s="3724"/>
      <c r="R48" s="3757" t="e">
        <f>ROUND(IF(D47="简单平均",AVERAGE(R47:W47),R47*F47+T47*H47+V47*J47),0)</f>
        <v>#DIV/0!</v>
      </c>
      <c r="S48" s="3757"/>
      <c r="T48" s="3757"/>
      <c r="U48" s="3757"/>
      <c r="V48" s="3757"/>
      <c r="W48" s="3757"/>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09" t="s">
        <v>1887</v>
      </c>
      <c r="H55" s="375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15080.55</v>
      </c>
      <c r="F56" s="885" t="e">
        <f t="shared" ref="F56:F64" si="15">ROUND(B56*E56/10000,0)</f>
        <v>#DIV/0!</v>
      </c>
      <c r="G56" s="3708"/>
      <c r="H56" s="3726"/>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15080.55</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692"/>
      <c r="AC5" s="3692"/>
    </row>
    <row r="6" spans="1:29" ht="15.75" thickBot="1">
      <c r="A6" s="360"/>
      <c r="B6" s="361"/>
      <c r="C6" s="3759" t="s">
        <v>1919</v>
      </c>
      <c r="D6" s="3760"/>
      <c r="E6" s="3761" t="s">
        <v>1919</v>
      </c>
      <c r="F6" s="3762"/>
      <c r="G6" s="3759" t="s">
        <v>1919</v>
      </c>
      <c r="H6" s="3760"/>
      <c r="I6" s="3759" t="s">
        <v>1919</v>
      </c>
      <c r="J6" s="3760"/>
      <c r="K6" s="559" t="s">
        <v>1678</v>
      </c>
      <c r="L6" s="2713"/>
      <c r="M6" s="2714"/>
      <c r="N6" s="2714"/>
      <c r="O6" s="2714"/>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1683</v>
      </c>
      <c r="Q8" s="3695"/>
      <c r="R8" s="700" t="s">
        <v>14</v>
      </c>
      <c r="S8" s="701">
        <f t="shared" si="0"/>
        <v>0</v>
      </c>
      <c r="T8" s="700" t="s">
        <v>14</v>
      </c>
      <c r="U8" s="701">
        <f t="shared" si="1"/>
        <v>0</v>
      </c>
      <c r="V8" s="700" t="s">
        <v>14</v>
      </c>
      <c r="W8" s="701">
        <f t="shared" si="2"/>
        <v>0</v>
      </c>
      <c r="X8" s="702"/>
      <c r="Y8" s="3694" t="s">
        <v>1683</v>
      </c>
      <c r="Z8" s="3695"/>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6"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726"/>
      <c r="Q10" s="1341" t="str">
        <f t="shared" si="6"/>
        <v>土地使用年限（年）</v>
      </c>
      <c r="R10" s="700" t="s">
        <v>14</v>
      </c>
      <c r="S10" s="701">
        <f t="shared" si="0"/>
        <v>108</v>
      </c>
      <c r="T10" s="700" t="s">
        <v>14</v>
      </c>
      <c r="U10" s="701">
        <f t="shared" si="1"/>
        <v>108</v>
      </c>
      <c r="V10" s="700" t="s">
        <v>14</v>
      </c>
      <c r="W10" s="701">
        <f t="shared" si="2"/>
        <v>108</v>
      </c>
      <c r="X10" s="702"/>
      <c r="Y10" s="3638"/>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6"/>
      <c r="Q11" s="1341"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6"/>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6"/>
      <c r="Q14" s="1341">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8" t="s">
        <v>1691</v>
      </c>
      <c r="Q15" s="1350" t="str">
        <f t="shared" si="6"/>
        <v>产业集聚程度</v>
      </c>
      <c r="R15" s="704" t="s">
        <v>14</v>
      </c>
      <c r="S15" s="705">
        <f t="shared" si="0"/>
        <v>100</v>
      </c>
      <c r="T15" s="704" t="s">
        <v>14</v>
      </c>
      <c r="U15" s="705">
        <f t="shared" si="1"/>
        <v>100</v>
      </c>
      <c r="V15" s="704" t="s">
        <v>14</v>
      </c>
      <c r="W15" s="705">
        <f t="shared" si="2"/>
        <v>100</v>
      </c>
      <c r="X15" s="1353"/>
      <c r="Y15" s="372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29"/>
      <c r="Q16" s="1350"/>
      <c r="R16" s="704"/>
      <c r="S16" s="705"/>
      <c r="T16" s="704"/>
      <c r="U16" s="705"/>
      <c r="V16" s="704"/>
      <c r="W16" s="705"/>
      <c r="X16" s="1353"/>
      <c r="Y16" s="372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9"/>
      <c r="Q17" s="1350" t="str">
        <f>B17</f>
        <v>交通便捷度</v>
      </c>
      <c r="R17" s="704" t="s">
        <v>14</v>
      </c>
      <c r="S17" s="705">
        <f>F17</f>
        <v>100</v>
      </c>
      <c r="T17" s="704" t="s">
        <v>14</v>
      </c>
      <c r="U17" s="705">
        <f>H17</f>
        <v>100</v>
      </c>
      <c r="V17" s="704" t="s">
        <v>14</v>
      </c>
      <c r="W17" s="705">
        <f>J17</f>
        <v>100</v>
      </c>
      <c r="X17" s="1353"/>
      <c r="Y17" s="372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29"/>
      <c r="Q18" s="1350"/>
      <c r="R18" s="704"/>
      <c r="S18" s="705"/>
      <c r="T18" s="704"/>
      <c r="U18" s="705"/>
      <c r="V18" s="704"/>
      <c r="W18" s="705"/>
      <c r="X18" s="1353"/>
      <c r="Y18" s="372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9"/>
      <c r="Q19" s="1350" t="str">
        <f t="shared" ref="Q19:Q33" si="8">B19</f>
        <v>区域土地利用方向</v>
      </c>
      <c r="R19" s="704" t="s">
        <v>14</v>
      </c>
      <c r="S19" s="705">
        <f>F19</f>
        <v>100</v>
      </c>
      <c r="T19" s="704" t="s">
        <v>14</v>
      </c>
      <c r="U19" s="705">
        <f>H19</f>
        <v>100</v>
      </c>
      <c r="V19" s="704" t="s">
        <v>14</v>
      </c>
      <c r="W19" s="705">
        <f>J19</f>
        <v>100</v>
      </c>
      <c r="X19" s="1353"/>
      <c r="Y19" s="372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20"/>
      <c r="M20" s="2714"/>
      <c r="N20" s="2714"/>
      <c r="O20" s="2772"/>
      <c r="P20" s="3729"/>
      <c r="Q20" s="1350"/>
      <c r="R20" s="704"/>
      <c r="S20" s="705"/>
      <c r="T20" s="704"/>
      <c r="U20" s="705"/>
      <c r="V20" s="704"/>
      <c r="W20" s="705"/>
      <c r="X20" s="1353"/>
      <c r="Y20" s="372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9"/>
      <c r="Q21" s="1350" t="str">
        <f t="shared" si="8"/>
        <v>环境状况</v>
      </c>
      <c r="R21" s="704" t="s">
        <v>14</v>
      </c>
      <c r="S21" s="705">
        <f>F21</f>
        <v>100</v>
      </c>
      <c r="T21" s="704" t="s">
        <v>14</v>
      </c>
      <c r="U21" s="705">
        <f>H21</f>
        <v>100</v>
      </c>
      <c r="V21" s="704" t="s">
        <v>14</v>
      </c>
      <c r="W21" s="705">
        <f>J21</f>
        <v>100</v>
      </c>
      <c r="X21" s="1353"/>
      <c r="Y21" s="372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29"/>
      <c r="Q22" s="1350"/>
      <c r="R22" s="704"/>
      <c r="S22" s="705"/>
      <c r="T22" s="704"/>
      <c r="U22" s="705"/>
      <c r="V22" s="704"/>
      <c r="W22" s="705"/>
      <c r="X22" s="1353"/>
      <c r="Y22" s="372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9"/>
      <c r="Q23" s="1341" t="str">
        <f t="shared" si="8"/>
        <v>公共配套设施</v>
      </c>
      <c r="R23" s="700" t="s">
        <v>14</v>
      </c>
      <c r="S23" s="701">
        <f>F23</f>
        <v>100</v>
      </c>
      <c r="T23" s="700" t="s">
        <v>14</v>
      </c>
      <c r="U23" s="701">
        <f>H23</f>
        <v>100</v>
      </c>
      <c r="V23" s="700" t="s">
        <v>14</v>
      </c>
      <c r="W23" s="701">
        <f>J23</f>
        <v>100</v>
      </c>
      <c r="X23" s="702"/>
      <c r="Y23" s="372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29"/>
      <c r="Q24" s="1341"/>
      <c r="R24" s="700"/>
      <c r="S24" s="701"/>
      <c r="T24" s="700"/>
      <c r="U24" s="701"/>
      <c r="V24" s="700"/>
      <c r="W24" s="701"/>
      <c r="X24" s="702"/>
      <c r="Y24" s="3729"/>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9"/>
      <c r="Q25" s="1341" t="str">
        <f t="shared" ref="Q25" si="9">B25</f>
        <v>基础设施水平</v>
      </c>
      <c r="R25" s="700" t="s">
        <v>14</v>
      </c>
      <c r="S25" s="701">
        <f>F25</f>
        <v>100</v>
      </c>
      <c r="T25" s="700" t="s">
        <v>14</v>
      </c>
      <c r="U25" s="701">
        <f>H25</f>
        <v>100</v>
      </c>
      <c r="V25" s="700" t="s">
        <v>14</v>
      </c>
      <c r="W25" s="701">
        <f>J25</f>
        <v>100</v>
      </c>
      <c r="X25" s="702"/>
      <c r="Y25" s="372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29"/>
      <c r="Q26" s="1341"/>
      <c r="R26" s="700"/>
      <c r="S26" s="701"/>
      <c r="T26" s="700"/>
      <c r="U26" s="701"/>
      <c r="V26" s="700"/>
      <c r="W26" s="701"/>
      <c r="X26" s="702"/>
      <c r="Y26" s="3729"/>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9"/>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2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9"/>
      <c r="Q28" s="1350" t="str">
        <f t="shared" si="8"/>
        <v>毗邻道路的类型与等级</v>
      </c>
      <c r="R28" s="704" t="s">
        <v>14</v>
      </c>
      <c r="S28" s="705">
        <f t="shared" si="10"/>
        <v>100</v>
      </c>
      <c r="T28" s="704" t="s">
        <v>14</v>
      </c>
      <c r="U28" s="705">
        <f t="shared" si="11"/>
        <v>100</v>
      </c>
      <c r="V28" s="704" t="s">
        <v>14</v>
      </c>
      <c r="W28" s="705">
        <f t="shared" si="12"/>
        <v>100</v>
      </c>
      <c r="X28" s="1353"/>
      <c r="Y28" s="372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29"/>
      <c r="Q29" s="1350"/>
      <c r="R29" s="704"/>
      <c r="S29" s="705"/>
      <c r="T29" s="704"/>
      <c r="U29" s="705"/>
      <c r="V29" s="704"/>
      <c r="W29" s="705"/>
      <c r="X29" s="1353"/>
      <c r="Y29" s="372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9"/>
      <c r="Q30" s="1350" t="str">
        <f t="shared" si="8"/>
        <v>土地级别</v>
      </c>
      <c r="R30" s="704" t="s">
        <v>14</v>
      </c>
      <c r="S30" s="705">
        <f t="shared" si="10"/>
        <v>100</v>
      </c>
      <c r="T30" s="704" t="s">
        <v>14</v>
      </c>
      <c r="U30" s="705">
        <f t="shared" si="11"/>
        <v>100</v>
      </c>
      <c r="V30" s="704" t="s">
        <v>14</v>
      </c>
      <c r="W30" s="705">
        <f t="shared" si="12"/>
        <v>100</v>
      </c>
      <c r="X30" s="1353"/>
      <c r="Y30" s="372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9"/>
      <c r="Q31" s="1350">
        <f t="shared" si="8"/>
        <v>111</v>
      </c>
      <c r="R31" s="704" t="s">
        <v>14</v>
      </c>
      <c r="S31" s="705">
        <f t="shared" si="10"/>
        <v>100</v>
      </c>
      <c r="T31" s="704" t="s">
        <v>14</v>
      </c>
      <c r="U31" s="705">
        <f t="shared" si="11"/>
        <v>100</v>
      </c>
      <c r="V31" s="704" t="s">
        <v>14</v>
      </c>
      <c r="W31" s="705">
        <f t="shared" si="12"/>
        <v>100</v>
      </c>
      <c r="X31" s="1353"/>
      <c r="Y31" s="372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4" t="s">
        <v>1696</v>
      </c>
      <c r="Q32" s="1350">
        <f t="shared" si="8"/>
        <v>111</v>
      </c>
      <c r="R32" s="704" t="s">
        <v>14</v>
      </c>
      <c r="S32" s="705">
        <f t="shared" si="10"/>
        <v>100</v>
      </c>
      <c r="T32" s="704" t="s">
        <v>14</v>
      </c>
      <c r="U32" s="705">
        <f t="shared" si="11"/>
        <v>100</v>
      </c>
      <c r="V32" s="704" t="s">
        <v>14</v>
      </c>
      <c r="W32" s="705">
        <f t="shared" si="12"/>
        <v>100</v>
      </c>
      <c r="X32" s="1353"/>
      <c r="Y32" s="373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3"/>
      <c r="Q33" s="1350">
        <f t="shared" si="8"/>
        <v>111</v>
      </c>
      <c r="R33" s="707" t="s">
        <v>14</v>
      </c>
      <c r="S33" s="708">
        <f t="shared" si="10"/>
        <v>100</v>
      </c>
      <c r="T33" s="707" t="s">
        <v>14</v>
      </c>
      <c r="U33" s="708">
        <f t="shared" si="11"/>
        <v>100</v>
      </c>
      <c r="V33" s="707" t="s">
        <v>14</v>
      </c>
      <c r="W33" s="708">
        <f t="shared" si="12"/>
        <v>100</v>
      </c>
      <c r="X33" s="709"/>
      <c r="Y33" s="3733"/>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3"/>
      <c r="Q34" s="1350" t="str">
        <f>B34</f>
        <v>宗地面积</v>
      </c>
      <c r="R34" s="704" t="s">
        <v>14</v>
      </c>
      <c r="S34" s="705" t="e">
        <f t="shared" si="10"/>
        <v>#N/A</v>
      </c>
      <c r="T34" s="704" t="s">
        <v>14</v>
      </c>
      <c r="U34" s="705" t="e">
        <f t="shared" si="11"/>
        <v>#N/A</v>
      </c>
      <c r="V34" s="704" t="s">
        <v>14</v>
      </c>
      <c r="W34" s="705" t="e">
        <f t="shared" si="12"/>
        <v>#N/A</v>
      </c>
      <c r="X34" s="1353"/>
      <c r="Y34" s="373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33"/>
      <c r="Q35" s="1350" t="str">
        <f t="shared" ref="Q35:Q40" si="14">B35</f>
        <v>宗地形状</v>
      </c>
      <c r="R35" s="704" t="s">
        <v>14</v>
      </c>
      <c r="S35" s="705">
        <f t="shared" si="10"/>
        <v>100</v>
      </c>
      <c r="T35" s="704" t="s">
        <v>14</v>
      </c>
      <c r="U35" s="705">
        <f t="shared" si="11"/>
        <v>100</v>
      </c>
      <c r="V35" s="704" t="s">
        <v>14</v>
      </c>
      <c r="W35" s="705">
        <f t="shared" si="12"/>
        <v>100</v>
      </c>
      <c r="X35" s="1353"/>
      <c r="Y35" s="373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33"/>
      <c r="Q36" s="1350" t="str">
        <f t="shared" si="14"/>
        <v>宗地开发程度</v>
      </c>
      <c r="R36" s="700" t="s">
        <v>14</v>
      </c>
      <c r="S36" s="701">
        <f t="shared" si="10"/>
        <v>100</v>
      </c>
      <c r="T36" s="700" t="s">
        <v>14</v>
      </c>
      <c r="U36" s="701">
        <f t="shared" si="11"/>
        <v>100</v>
      </c>
      <c r="V36" s="700" t="s">
        <v>14</v>
      </c>
      <c r="W36" s="701">
        <f t="shared" si="12"/>
        <v>100</v>
      </c>
      <c r="X36" s="702"/>
      <c r="Y36" s="3733"/>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33" t="s">
        <v>1696</v>
      </c>
      <c r="Q37" s="1350" t="str">
        <f t="shared" si="14"/>
        <v>工程地质条件</v>
      </c>
      <c r="R37" s="704" t="s">
        <v>14</v>
      </c>
      <c r="S37" s="705">
        <f t="shared" si="10"/>
        <v>100</v>
      </c>
      <c r="T37" s="704" t="s">
        <v>14</v>
      </c>
      <c r="U37" s="705">
        <f t="shared" si="11"/>
        <v>100</v>
      </c>
      <c r="V37" s="704" t="s">
        <v>14</v>
      </c>
      <c r="W37" s="705">
        <f t="shared" si="12"/>
        <v>100</v>
      </c>
      <c r="X37" s="1353"/>
      <c r="Y37" s="373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3"/>
      <c r="Q38" s="1350">
        <f t="shared" si="14"/>
        <v>111</v>
      </c>
      <c r="R38" s="704" t="s">
        <v>14</v>
      </c>
      <c r="S38" s="705">
        <f t="shared" si="10"/>
        <v>100</v>
      </c>
      <c r="T38" s="704" t="s">
        <v>14</v>
      </c>
      <c r="U38" s="705">
        <f t="shared" si="11"/>
        <v>100</v>
      </c>
      <c r="V38" s="704" t="s">
        <v>14</v>
      </c>
      <c r="W38" s="705">
        <f t="shared" si="12"/>
        <v>100</v>
      </c>
      <c r="X38" s="1353"/>
      <c r="Y38" s="373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3"/>
      <c r="Q39" s="1350">
        <f t="shared" si="14"/>
        <v>111</v>
      </c>
      <c r="R39" s="704" t="s">
        <v>14</v>
      </c>
      <c r="S39" s="705">
        <f t="shared" si="10"/>
        <v>100</v>
      </c>
      <c r="T39" s="704" t="s">
        <v>14</v>
      </c>
      <c r="U39" s="705">
        <f t="shared" si="11"/>
        <v>100</v>
      </c>
      <c r="V39" s="704" t="s">
        <v>14</v>
      </c>
      <c r="W39" s="705">
        <f t="shared" si="12"/>
        <v>100</v>
      </c>
      <c r="X39" s="1353"/>
      <c r="Y39" s="373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3"/>
      <c r="Q40" s="1350">
        <f t="shared" si="14"/>
        <v>111</v>
      </c>
      <c r="R40" s="707" t="s">
        <v>14</v>
      </c>
      <c r="S40" s="708">
        <f t="shared" si="10"/>
        <v>100</v>
      </c>
      <c r="T40" s="707" t="s">
        <v>14</v>
      </c>
      <c r="U40" s="708">
        <f t="shared" si="11"/>
        <v>100</v>
      </c>
      <c r="V40" s="707" t="s">
        <v>14</v>
      </c>
      <c r="W40" s="708">
        <f t="shared" si="12"/>
        <v>100</v>
      </c>
      <c r="X40" s="709"/>
      <c r="Y40" s="3733"/>
      <c r="Z40" s="710">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3"/>
      <c r="L41" s="2722"/>
      <c r="M41" s="2714"/>
      <c r="N41" s="2714"/>
      <c r="O41" s="2723"/>
      <c r="P41" s="3726" t="str">
        <f>A41</f>
        <v>成交单价</v>
      </c>
      <c r="Q41" s="3726"/>
      <c r="R41" s="3721">
        <f>E41</f>
        <v>0</v>
      </c>
      <c r="S41" s="3721"/>
      <c r="T41" s="3721">
        <f>G41</f>
        <v>0</v>
      </c>
      <c r="U41" s="3721"/>
      <c r="V41" s="3721">
        <f>I41</f>
        <v>0</v>
      </c>
      <c r="W41" s="3721"/>
      <c r="X41" s="689"/>
      <c r="Y41" s="711"/>
      <c r="Z41" s="689"/>
      <c r="AA41" s="689"/>
      <c r="AB41" s="689"/>
      <c r="AC41" s="689"/>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26" t="str">
        <f>A42</f>
        <v>比较价值（元/平方米）</v>
      </c>
      <c r="Q42" s="3726"/>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23" t="str">
        <f>A43</f>
        <v>估价对象XX用房的比较价值（楼面单价，元/平方米）</v>
      </c>
      <c r="Q43" s="3724"/>
      <c r="R43" s="3757" t="e">
        <f>ROUND(IF(D42="简单平均",AVERAGE(R42:W42),R42*F42+T42*H42+V42*J42),0)</f>
        <v>#DIV/0!</v>
      </c>
      <c r="S43" s="3757"/>
      <c r="T43" s="3757"/>
      <c r="U43" s="3757"/>
      <c r="V43" s="3757"/>
      <c r="W43" s="3757"/>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9" t="s">
        <v>1887</v>
      </c>
      <c r="H50" s="375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15080.55</v>
      </c>
      <c r="F51" s="639" t="e">
        <f t="shared" ref="F51:F60" si="15">ROUND(B51*E51/10000,0)</f>
        <v>#DIV/0!</v>
      </c>
      <c r="G51" s="3708"/>
      <c r="H51" s="3726"/>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E1" sqref="E1"/>
      <selection pane="bottomLeft" activeCell="W38" sqref="W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875" style="650" customWidth="1"/>
    <col min="19" max="19" width="10.625" style="130" customWidth="1"/>
    <col min="20" max="45" width="9" style="724"/>
    <col min="46" max="16384" width="9" style="130"/>
  </cols>
  <sheetData>
    <row r="1" spans="1:45" ht="14.25" customHeight="1" thickBot="1">
      <c r="A1" s="146"/>
      <c r="B1" s="982" t="s">
        <v>2083</v>
      </c>
      <c r="C1" s="3766" t="s">
        <v>2084</v>
      </c>
      <c r="D1" s="3767"/>
      <c r="E1" s="3767"/>
      <c r="F1" s="3767"/>
      <c r="G1" s="3767"/>
      <c r="H1" s="3767"/>
      <c r="I1" s="3767"/>
      <c r="J1" s="3767"/>
      <c r="K1" s="3767"/>
      <c r="L1" s="3767"/>
      <c r="M1" s="3767"/>
      <c r="N1" s="3767"/>
      <c r="O1" s="3767"/>
      <c r="P1" s="3767"/>
      <c r="Q1" s="3767"/>
      <c r="R1" s="3767"/>
      <c r="S1" s="3768"/>
      <c r="T1" s="982" t="s">
        <v>2085</v>
      </c>
    </row>
    <row r="2" spans="1:45" s="655" customFormat="1" ht="38.25">
      <c r="A2" s="983"/>
      <c r="B2" s="651" t="s">
        <v>2086</v>
      </c>
      <c r="C2" s="652" t="str">
        <f t="shared" ref="C2:L2" si="0">C3&amp;"(含)"&amp;"-"&amp;D3</f>
        <v>0(含)-300</v>
      </c>
      <c r="D2" s="653" t="str">
        <f t="shared" si="0"/>
        <v>300(含)-500</v>
      </c>
      <c r="E2" s="653" t="str">
        <f t="shared" si="0"/>
        <v>500(含)-1000</v>
      </c>
      <c r="F2" s="653" t="str">
        <f t="shared" si="0"/>
        <v>1000(含)-1500</v>
      </c>
      <c r="G2" s="653" t="str">
        <f t="shared" si="0"/>
        <v>1500(含)-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500</v>
      </c>
      <c r="F3" s="657">
        <f>'比较法-办公'!F104</f>
        <v>1000</v>
      </c>
      <c r="G3" s="657">
        <f>'比较法-办公'!G104</f>
        <v>1500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988">
        <f>'比较法-办公'!F105</f>
        <v>97</v>
      </c>
      <c r="G4" s="988">
        <f>'比较法-办公'!G105</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2093</v>
      </c>
      <c r="B17" s="2147" t="s">
        <v>2094</v>
      </c>
      <c r="C17" s="3474" t="str">
        <f>'比较法-办公'!C89</f>
        <v>高区</v>
      </c>
      <c r="D17" s="3474" t="str">
        <f>'比较法-办公'!D89</f>
        <v>中区</v>
      </c>
      <c r="E17" s="3474" t="str">
        <f>'比较法-办公'!E89</f>
        <v>低区</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'比较法-办公'!C90</f>
        <v>100</v>
      </c>
      <c r="D18" s="1020">
        <f>'比较法-办公'!D90</f>
        <v>97</v>
      </c>
      <c r="E18" s="1020">
        <f>'比较法-办公'!E90</f>
        <v>94</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2095</v>
      </c>
      <c r="E19" s="1338"/>
      <c r="F19" s="1338"/>
      <c r="G19" s="1338"/>
      <c r="H19" s="1057"/>
      <c r="I19" s="159"/>
      <c r="J19" s="159"/>
      <c r="K19" s="159"/>
      <c r="L19" s="159"/>
      <c r="M19" s="159"/>
      <c r="N19" s="159"/>
      <c r="O19" s="159"/>
      <c r="P19" s="159"/>
      <c r="Q19" s="159"/>
      <c r="R19" s="717"/>
      <c r="S19" s="129"/>
    </row>
    <row r="20" spans="1:45" ht="16.5" thickBot="1">
      <c r="A20" s="661" t="s">
        <v>2096</v>
      </c>
      <c r="B20" s="294">
        <f>IF(D20="——",S22,S22-F20)</f>
        <v>62221.900000000009</v>
      </c>
      <c r="C20" s="159"/>
      <c r="D20" s="2149" t="s">
        <v>43</v>
      </c>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f>ROUND(B20*10000/B22,0)</f>
        <v>41260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15080.550000000001</v>
      </c>
      <c r="C22" s="3763" t="s">
        <v>27</v>
      </c>
      <c r="D22" s="3764"/>
      <c r="E22" s="3764"/>
      <c r="F22" s="3764"/>
      <c r="G22" s="3764"/>
      <c r="H22" s="3764"/>
      <c r="I22" s="3764"/>
      <c r="J22" s="3764"/>
      <c r="K22" s="3764"/>
      <c r="L22" s="3764"/>
      <c r="M22" s="3764"/>
      <c r="N22" s="3764"/>
      <c r="O22" s="3764"/>
      <c r="P22" s="3764"/>
      <c r="Q22" s="3765"/>
      <c r="R22" s="662">
        <f>ROUND(S22/B22,2)</f>
        <v>4.13</v>
      </c>
      <c r="S22" s="21">
        <f>SUM(S24:S10000)</f>
        <v>62221.900000000009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3" t="s">
        <v>3508</v>
      </c>
      <c r="B24" s="664">
        <f>燕保房屋清单!I7</f>
        <v>1387.78</v>
      </c>
      <c r="C24" s="2808">
        <v>1</v>
      </c>
      <c r="D24" s="2809"/>
      <c r="E24" s="2808">
        <v>1</v>
      </c>
      <c r="F24" s="2809"/>
      <c r="G24" s="2808">
        <v>1</v>
      </c>
      <c r="H24" s="2809"/>
      <c r="I24" s="2808">
        <v>1</v>
      </c>
      <c r="J24" s="2809"/>
      <c r="K24" s="2808">
        <v>1</v>
      </c>
      <c r="L24" s="2809"/>
      <c r="M24" s="2808">
        <v>1</v>
      </c>
      <c r="N24" s="2809"/>
      <c r="O24" s="2808">
        <v>1</v>
      </c>
      <c r="P24" s="2809" t="s">
        <v>3448</v>
      </c>
      <c r="Q24" s="2808">
        <v>1</v>
      </c>
      <c r="R24" s="667">
        <f>'比较法-办公'!C50</f>
        <v>4.0999999999999996</v>
      </c>
      <c r="S24" s="665">
        <f>ROUND(R24*B24,2)</f>
        <v>5689.9</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3509</v>
      </c>
      <c r="B25" s="54">
        <f>燕保房屋清单!I3</f>
        <v>1386.27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3489</v>
      </c>
      <c r="Q25" s="21">
        <f>(SUMIF($17:$17,P25,$18:$18)-SUMIF($17:$17,$P$24,$18:$18)+100)/100</f>
        <v>0.97</v>
      </c>
      <c r="R25" s="662">
        <f t="shared" ref="R25:R36" si="11">IF(B25="",0,ROUND($R$24*C25*E25*G25*I25*K25*M25*O25*Q25,2))</f>
        <v>3.98</v>
      </c>
      <c r="S25" s="665">
        <f t="shared" ref="S25:S36" si="12">ROUND(R25*B25,2)</f>
        <v>5517.35</v>
      </c>
    </row>
    <row r="26" spans="1:45">
      <c r="A26" s="150" t="s">
        <v>3510</v>
      </c>
      <c r="B26" s="54">
        <f>燕保房屋清单!I4</f>
        <v>1386.27</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t="s">
        <v>3489</v>
      </c>
      <c r="Q26" s="21">
        <f t="shared" ref="Q26:Q89" si="20">(SUMIF($17:$17,P26,$18:$18)-SUMIF($17:$17,$P$24,$18:$18)+100)/100</f>
        <v>0.97</v>
      </c>
      <c r="R26" s="662">
        <f t="shared" si="11"/>
        <v>3.98</v>
      </c>
      <c r="S26" s="665">
        <f t="shared" si="12"/>
        <v>5517.35</v>
      </c>
    </row>
    <row r="27" spans="1:45">
      <c r="A27" s="150" t="s">
        <v>3511</v>
      </c>
      <c r="B27" s="54">
        <f>燕保房屋清单!I5</f>
        <v>1386.27</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t="s">
        <v>3448</v>
      </c>
      <c r="Q27" s="21">
        <f t="shared" si="20"/>
        <v>1</v>
      </c>
      <c r="R27" s="662">
        <f t="shared" si="11"/>
        <v>4.0999999999999996</v>
      </c>
      <c r="S27" s="665">
        <f t="shared" si="12"/>
        <v>5683.71</v>
      </c>
    </row>
    <row r="28" spans="1:45">
      <c r="A28" s="150" t="s">
        <v>3512</v>
      </c>
      <c r="B28" s="54">
        <f>燕保房屋清单!I6</f>
        <v>1386.27</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t="s">
        <v>3448</v>
      </c>
      <c r="Q28" s="21">
        <f t="shared" si="20"/>
        <v>1</v>
      </c>
      <c r="R28" s="662">
        <f t="shared" si="11"/>
        <v>4.0999999999999996</v>
      </c>
      <c r="S28" s="665">
        <f>ROUND(R28*B28,2)</f>
        <v>5683.71</v>
      </c>
    </row>
    <row r="29" spans="1:45">
      <c r="A29" s="3476" t="s">
        <v>3513</v>
      </c>
      <c r="B29" s="3477"/>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t="s">
        <v>3448</v>
      </c>
      <c r="Q29" s="21">
        <f t="shared" si="20"/>
        <v>1</v>
      </c>
      <c r="R29" s="662">
        <f t="shared" si="11"/>
        <v>0</v>
      </c>
      <c r="S29" s="665">
        <f t="shared" si="12"/>
        <v>0</v>
      </c>
    </row>
    <row r="30" spans="1:45">
      <c r="A30" s="150" t="s">
        <v>3514</v>
      </c>
      <c r="B30" s="54">
        <f>燕保房屋清单!I8</f>
        <v>1387.78</v>
      </c>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t="s">
        <v>3448</v>
      </c>
      <c r="Q30" s="21">
        <f t="shared" si="20"/>
        <v>1</v>
      </c>
      <c r="R30" s="662">
        <f t="shared" si="11"/>
        <v>4.0999999999999996</v>
      </c>
      <c r="S30" s="665">
        <f t="shared" si="12"/>
        <v>5689.9</v>
      </c>
    </row>
    <row r="31" spans="1:45">
      <c r="A31" s="150" t="s">
        <v>3515</v>
      </c>
      <c r="B31" s="54">
        <f>燕保房屋清单!I9</f>
        <v>1387.22</v>
      </c>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t="s">
        <v>3448</v>
      </c>
      <c r="Q31" s="21">
        <f t="shared" si="20"/>
        <v>1</v>
      </c>
      <c r="R31" s="662">
        <f t="shared" si="11"/>
        <v>4.0999999999999996</v>
      </c>
      <c r="S31" s="665">
        <f t="shared" si="12"/>
        <v>5687.6</v>
      </c>
    </row>
    <row r="32" spans="1:45">
      <c r="A32" s="150" t="s">
        <v>3516</v>
      </c>
      <c r="B32" s="54">
        <f>燕保房屋清单!I10</f>
        <v>1387.78</v>
      </c>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t="s">
        <v>3486</v>
      </c>
      <c r="Q32" s="21">
        <f t="shared" si="20"/>
        <v>1.03</v>
      </c>
      <c r="R32" s="662">
        <f t="shared" si="11"/>
        <v>4.22</v>
      </c>
      <c r="S32" s="665">
        <f t="shared" si="12"/>
        <v>5856.43</v>
      </c>
    </row>
    <row r="33" spans="1:19">
      <c r="A33" s="150" t="s">
        <v>3517</v>
      </c>
      <c r="B33" s="54">
        <f>燕保房屋清单!I11</f>
        <v>1196.6600000000001</v>
      </c>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t="s">
        <v>3486</v>
      </c>
      <c r="Q33" s="21">
        <f t="shared" si="20"/>
        <v>1.03</v>
      </c>
      <c r="R33" s="662">
        <f t="shared" si="11"/>
        <v>4.22</v>
      </c>
      <c r="S33" s="665">
        <f t="shared" si="12"/>
        <v>5049.91</v>
      </c>
    </row>
    <row r="34" spans="1:19">
      <c r="A34" s="150" t="s">
        <v>3518</v>
      </c>
      <c r="B34" s="54">
        <f>燕保房屋清单!I12</f>
        <v>1195.55</v>
      </c>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t="s">
        <v>3486</v>
      </c>
      <c r="Q34" s="21">
        <f t="shared" si="20"/>
        <v>1.03</v>
      </c>
      <c r="R34" s="662">
        <f t="shared" si="11"/>
        <v>4.22</v>
      </c>
      <c r="S34" s="665">
        <f t="shared" si="12"/>
        <v>5045.22</v>
      </c>
    </row>
    <row r="35" spans="1:19">
      <c r="A35" s="150" t="s">
        <v>3519</v>
      </c>
      <c r="B35" s="54">
        <f>燕保房屋清单!I13</f>
        <v>796.35</v>
      </c>
      <c r="C35" s="21">
        <f t="shared" si="13"/>
        <v>1.01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t="s">
        <v>3486</v>
      </c>
      <c r="Q35" s="21">
        <f t="shared" si="20"/>
        <v>1.03</v>
      </c>
      <c r="R35" s="662">
        <f t="shared" si="11"/>
        <v>4.2699999999999996</v>
      </c>
      <c r="S35" s="665">
        <f t="shared" si="12"/>
        <v>3400.41</v>
      </c>
    </row>
    <row r="36" spans="1:19">
      <c r="A36" s="150" t="s">
        <v>3520</v>
      </c>
      <c r="B36" s="54">
        <f>燕保房屋清单!I14</f>
        <v>796.35</v>
      </c>
      <c r="C36" s="21">
        <f t="shared" si="13"/>
        <v>1.01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t="s">
        <v>3486</v>
      </c>
      <c r="Q36" s="21">
        <f t="shared" si="20"/>
        <v>1.03</v>
      </c>
      <c r="R36" s="662">
        <f t="shared" si="11"/>
        <v>4.2699999999999996</v>
      </c>
      <c r="S36" s="665">
        <f t="shared" si="12"/>
        <v>3400.41</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0.03</v>
      </c>
      <c r="R37" s="662">
        <f t="shared" ref="R37:R89" si="21">IF(B37="",0,ROUND($R$24*C37*E37*G37*I37*K37*M37*O37*Q37,0))</f>
        <v>0</v>
      </c>
      <c r="S37" s="316">
        <f t="shared" ref="S37:S54" si="22">ROUND(R37*B37/10000,0)</f>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0.03</v>
      </c>
      <c r="R38" s="662">
        <f t="shared" si="21"/>
        <v>0</v>
      </c>
      <c r="S38" s="316">
        <f t="shared" si="22"/>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0.03</v>
      </c>
      <c r="R39" s="662">
        <f t="shared" si="21"/>
        <v>0</v>
      </c>
      <c r="S39" s="316">
        <f t="shared" si="22"/>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0.03</v>
      </c>
      <c r="R40" s="662">
        <f t="shared" si="21"/>
        <v>0</v>
      </c>
      <c r="S40" s="316">
        <f t="shared" si="22"/>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0.03</v>
      </c>
      <c r="R41" s="662">
        <f t="shared" si="21"/>
        <v>0</v>
      </c>
      <c r="S41" s="316">
        <f t="shared" si="22"/>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0.03</v>
      </c>
      <c r="R42" s="662">
        <f t="shared" si="21"/>
        <v>0</v>
      </c>
      <c r="S42" s="316">
        <f t="shared" si="22"/>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0.03</v>
      </c>
      <c r="R43" s="662">
        <f t="shared" si="21"/>
        <v>0</v>
      </c>
      <c r="S43" s="316">
        <f t="shared" si="22"/>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0.03</v>
      </c>
      <c r="R44" s="662">
        <f t="shared" si="21"/>
        <v>0</v>
      </c>
      <c r="S44" s="316">
        <f t="shared" si="22"/>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0.03</v>
      </c>
      <c r="R45" s="662">
        <f t="shared" si="21"/>
        <v>0</v>
      </c>
      <c r="S45" s="316">
        <f t="shared" si="22"/>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0.03</v>
      </c>
      <c r="R46" s="662">
        <f t="shared" si="21"/>
        <v>0</v>
      </c>
      <c r="S46" s="316">
        <f t="shared" si="22"/>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0.03</v>
      </c>
      <c r="R47" s="662">
        <f t="shared" si="21"/>
        <v>0</v>
      </c>
      <c r="S47" s="316">
        <f t="shared" si="22"/>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0.03</v>
      </c>
      <c r="R48" s="662">
        <f t="shared" si="21"/>
        <v>0</v>
      </c>
      <c r="S48" s="316">
        <f t="shared" si="22"/>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0.03</v>
      </c>
      <c r="R49" s="662">
        <f t="shared" si="21"/>
        <v>0</v>
      </c>
      <c r="S49" s="316">
        <f t="shared" si="22"/>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0.03</v>
      </c>
      <c r="R50" s="662">
        <f t="shared" si="21"/>
        <v>0</v>
      </c>
      <c r="S50" s="316">
        <f t="shared" si="22"/>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0.03</v>
      </c>
      <c r="R51" s="662">
        <f t="shared" si="21"/>
        <v>0</v>
      </c>
      <c r="S51" s="316">
        <f t="shared" si="22"/>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0.03</v>
      </c>
      <c r="R52" s="662">
        <f t="shared" si="21"/>
        <v>0</v>
      </c>
      <c r="S52" s="316">
        <f t="shared" si="22"/>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0.03</v>
      </c>
      <c r="R53" s="662">
        <f t="shared" si="21"/>
        <v>0</v>
      </c>
      <c r="S53" s="316">
        <f t="shared" si="22"/>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0.03</v>
      </c>
      <c r="R54" s="662">
        <f t="shared" si="21"/>
        <v>0</v>
      </c>
      <c r="S54" s="316">
        <f t="shared" si="22"/>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0.03</v>
      </c>
      <c r="R55" s="662">
        <f t="shared" si="21"/>
        <v>0</v>
      </c>
      <c r="S55" s="316">
        <f t="shared" ref="S55:S77" si="23">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0.03</v>
      </c>
      <c r="R56" s="662">
        <f t="shared" si="21"/>
        <v>0</v>
      </c>
      <c r="S56" s="316">
        <f t="shared" si="23"/>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0.03</v>
      </c>
      <c r="R57" s="662">
        <f t="shared" si="21"/>
        <v>0</v>
      </c>
      <c r="S57" s="316">
        <f t="shared" si="23"/>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0.03</v>
      </c>
      <c r="R58" s="662">
        <f t="shared" si="21"/>
        <v>0</v>
      </c>
      <c r="S58" s="316">
        <f t="shared" si="23"/>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0.03</v>
      </c>
      <c r="R59" s="662">
        <f t="shared" si="21"/>
        <v>0</v>
      </c>
      <c r="S59" s="316">
        <f t="shared" si="23"/>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0.03</v>
      </c>
      <c r="R60" s="662">
        <f t="shared" si="21"/>
        <v>0</v>
      </c>
      <c r="S60" s="316">
        <f t="shared" si="23"/>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0.03</v>
      </c>
      <c r="R61" s="662">
        <f t="shared" si="21"/>
        <v>0</v>
      </c>
      <c r="S61" s="316">
        <f t="shared" si="23"/>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0.03</v>
      </c>
      <c r="R62" s="662">
        <f t="shared" si="21"/>
        <v>0</v>
      </c>
      <c r="S62" s="316">
        <f t="shared" si="23"/>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0.03</v>
      </c>
      <c r="R63" s="662">
        <f t="shared" si="21"/>
        <v>0</v>
      </c>
      <c r="S63" s="316">
        <f t="shared" si="23"/>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0.03</v>
      </c>
      <c r="R64" s="662">
        <f t="shared" si="21"/>
        <v>0</v>
      </c>
      <c r="S64" s="316">
        <f t="shared" si="23"/>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0.03</v>
      </c>
      <c r="R65" s="662">
        <f t="shared" si="21"/>
        <v>0</v>
      </c>
      <c r="S65" s="316">
        <f t="shared" si="23"/>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0.03</v>
      </c>
      <c r="R66" s="662">
        <f t="shared" si="21"/>
        <v>0</v>
      </c>
      <c r="S66" s="316">
        <f t="shared" si="23"/>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0.03</v>
      </c>
      <c r="R67" s="662">
        <f t="shared" si="21"/>
        <v>0</v>
      </c>
      <c r="S67" s="316">
        <f t="shared" si="23"/>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0.03</v>
      </c>
      <c r="R68" s="662">
        <f t="shared" si="21"/>
        <v>0</v>
      </c>
      <c r="S68" s="316">
        <f t="shared" si="23"/>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0.03</v>
      </c>
      <c r="R69" s="662">
        <f t="shared" si="21"/>
        <v>0</v>
      </c>
      <c r="S69" s="316">
        <f t="shared" si="23"/>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0.03</v>
      </c>
      <c r="R70" s="662">
        <f t="shared" si="21"/>
        <v>0</v>
      </c>
      <c r="S70" s="316">
        <f t="shared" si="23"/>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0.03</v>
      </c>
      <c r="R71" s="662">
        <f t="shared" si="21"/>
        <v>0</v>
      </c>
      <c r="S71" s="316">
        <f t="shared" si="23"/>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0.03</v>
      </c>
      <c r="R72" s="662">
        <f t="shared" si="21"/>
        <v>0</v>
      </c>
      <c r="S72" s="316">
        <f t="shared" si="23"/>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0.03</v>
      </c>
      <c r="R73" s="662">
        <f t="shared" si="21"/>
        <v>0</v>
      </c>
      <c r="S73" s="316">
        <f t="shared" si="23"/>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0.03</v>
      </c>
      <c r="R74" s="662">
        <f t="shared" si="21"/>
        <v>0</v>
      </c>
      <c r="S74" s="316">
        <f t="shared" si="23"/>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0.03</v>
      </c>
      <c r="R75" s="662">
        <f t="shared" si="21"/>
        <v>0</v>
      </c>
      <c r="S75" s="316">
        <f t="shared" si="23"/>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0.03</v>
      </c>
      <c r="R76" s="662">
        <f t="shared" si="21"/>
        <v>0</v>
      </c>
      <c r="S76" s="316">
        <f t="shared" si="23"/>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0.03</v>
      </c>
      <c r="R77" s="662">
        <f t="shared" si="21"/>
        <v>0</v>
      </c>
      <c r="S77" s="316">
        <f t="shared" si="23"/>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0.03</v>
      </c>
      <c r="R78" s="662">
        <f t="shared" si="21"/>
        <v>0</v>
      </c>
      <c r="S78" s="316">
        <f t="shared" ref="S78:S122" si="24">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0.03</v>
      </c>
      <c r="R79" s="662">
        <f t="shared" si="21"/>
        <v>0</v>
      </c>
      <c r="S79" s="316">
        <f t="shared" si="24"/>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0.03</v>
      </c>
      <c r="R80" s="662">
        <f t="shared" si="21"/>
        <v>0</v>
      </c>
      <c r="S80" s="316">
        <f t="shared" si="24"/>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0.03</v>
      </c>
      <c r="R81" s="662">
        <f t="shared" si="21"/>
        <v>0</v>
      </c>
      <c r="S81" s="316">
        <f t="shared" si="24"/>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0.03</v>
      </c>
      <c r="R82" s="662">
        <f t="shared" si="21"/>
        <v>0</v>
      </c>
      <c r="S82" s="316">
        <f t="shared" si="24"/>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0.03</v>
      </c>
      <c r="R83" s="662">
        <f t="shared" si="21"/>
        <v>0</v>
      </c>
      <c r="S83" s="316">
        <f t="shared" si="24"/>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0.03</v>
      </c>
      <c r="R84" s="662">
        <f t="shared" si="21"/>
        <v>0</v>
      </c>
      <c r="S84" s="316">
        <f t="shared" si="24"/>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0.03</v>
      </c>
      <c r="R85" s="662">
        <f t="shared" si="21"/>
        <v>0</v>
      </c>
      <c r="S85" s="316">
        <f t="shared" si="24"/>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0.03</v>
      </c>
      <c r="R86" s="662">
        <f t="shared" si="21"/>
        <v>0</v>
      </c>
      <c r="S86" s="316">
        <f t="shared" si="24"/>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0.03</v>
      </c>
      <c r="R87" s="662">
        <f t="shared" si="21"/>
        <v>0</v>
      </c>
      <c r="S87" s="316">
        <f t="shared" si="24"/>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0.03</v>
      </c>
      <c r="R88" s="662">
        <f t="shared" si="21"/>
        <v>0</v>
      </c>
      <c r="S88" s="316">
        <f t="shared" si="24"/>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0.03</v>
      </c>
      <c r="R89" s="662">
        <f t="shared" si="21"/>
        <v>0</v>
      </c>
      <c r="S89" s="316">
        <f t="shared" si="24"/>
        <v>0</v>
      </c>
    </row>
    <row r="90" spans="1:19">
      <c r="A90" s="150"/>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0.03</v>
      </c>
      <c r="R90" s="662">
        <f t="shared" ref="R90:R153" si="33">IF(B90="",0,ROUND($R$24*C90*E90*G90*I90*K90*M90*O90*Q90,0))</f>
        <v>0</v>
      </c>
      <c r="S90" s="316">
        <f t="shared" si="24"/>
        <v>0</v>
      </c>
    </row>
    <row r="91" spans="1:19">
      <c r="A91" s="150"/>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0.03</v>
      </c>
      <c r="R91" s="662">
        <f t="shared" si="33"/>
        <v>0</v>
      </c>
      <c r="S91" s="316">
        <f t="shared" si="24"/>
        <v>0</v>
      </c>
    </row>
    <row r="92" spans="1:19">
      <c r="A92" s="150"/>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0.03</v>
      </c>
      <c r="R92" s="662">
        <f t="shared" si="33"/>
        <v>0</v>
      </c>
      <c r="S92" s="316">
        <f t="shared" si="24"/>
        <v>0</v>
      </c>
    </row>
    <row r="93" spans="1:19">
      <c r="A93" s="150"/>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0.03</v>
      </c>
      <c r="R93" s="662">
        <f t="shared" si="33"/>
        <v>0</v>
      </c>
      <c r="S93" s="316">
        <f t="shared" si="24"/>
        <v>0</v>
      </c>
    </row>
    <row r="94" spans="1:19">
      <c r="A94" s="150"/>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0.03</v>
      </c>
      <c r="R94" s="662">
        <f t="shared" si="33"/>
        <v>0</v>
      </c>
      <c r="S94" s="316">
        <f t="shared" si="24"/>
        <v>0</v>
      </c>
    </row>
    <row r="95" spans="1:19">
      <c r="A95" s="150"/>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0.03</v>
      </c>
      <c r="R95" s="662">
        <f t="shared" si="33"/>
        <v>0</v>
      </c>
      <c r="S95" s="316">
        <f t="shared" si="24"/>
        <v>0</v>
      </c>
    </row>
    <row r="96" spans="1:19">
      <c r="A96" s="150"/>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0.03</v>
      </c>
      <c r="R96" s="662">
        <f t="shared" si="33"/>
        <v>0</v>
      </c>
      <c r="S96" s="316">
        <f t="shared" si="24"/>
        <v>0</v>
      </c>
    </row>
    <row r="97" spans="1:19">
      <c r="A97" s="150"/>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0.03</v>
      </c>
      <c r="R97" s="662">
        <f t="shared" si="33"/>
        <v>0</v>
      </c>
      <c r="S97" s="316">
        <f t="shared" si="24"/>
        <v>0</v>
      </c>
    </row>
    <row r="98" spans="1:19">
      <c r="A98" s="150"/>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0.03</v>
      </c>
      <c r="R98" s="662">
        <f t="shared" si="33"/>
        <v>0</v>
      </c>
      <c r="S98" s="316">
        <f t="shared" si="24"/>
        <v>0</v>
      </c>
    </row>
    <row r="99" spans="1:19">
      <c r="A99" s="150"/>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0.03</v>
      </c>
      <c r="R99" s="662">
        <f t="shared" si="33"/>
        <v>0</v>
      </c>
      <c r="S99" s="316">
        <f t="shared" si="24"/>
        <v>0</v>
      </c>
    </row>
    <row r="100" spans="1:19">
      <c r="A100" s="150"/>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0.03</v>
      </c>
      <c r="R100" s="662">
        <f t="shared" si="33"/>
        <v>0</v>
      </c>
      <c r="S100" s="316">
        <f t="shared" si="24"/>
        <v>0</v>
      </c>
    </row>
    <row r="101" spans="1:19">
      <c r="A101" s="150"/>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0.03</v>
      </c>
      <c r="R101" s="662">
        <f t="shared" si="33"/>
        <v>0</v>
      </c>
      <c r="S101" s="316">
        <f t="shared" si="24"/>
        <v>0</v>
      </c>
    </row>
    <row r="102" spans="1:19">
      <c r="A102" s="150"/>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0.03</v>
      </c>
      <c r="R102" s="662">
        <f t="shared" si="33"/>
        <v>0</v>
      </c>
      <c r="S102" s="316">
        <f t="shared" si="24"/>
        <v>0</v>
      </c>
    </row>
    <row r="103" spans="1:19">
      <c r="A103" s="150"/>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0.03</v>
      </c>
      <c r="R103" s="662">
        <f t="shared" si="33"/>
        <v>0</v>
      </c>
      <c r="S103" s="316">
        <f t="shared" si="24"/>
        <v>0</v>
      </c>
    </row>
    <row r="104" spans="1:19">
      <c r="A104" s="150"/>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0.03</v>
      </c>
      <c r="R104" s="662">
        <f t="shared" si="33"/>
        <v>0</v>
      </c>
      <c r="S104" s="316">
        <f t="shared" si="24"/>
        <v>0</v>
      </c>
    </row>
    <row r="105" spans="1:19">
      <c r="A105" s="150"/>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0.03</v>
      </c>
      <c r="R105" s="662">
        <f t="shared" si="33"/>
        <v>0</v>
      </c>
      <c r="S105" s="316">
        <f t="shared" si="24"/>
        <v>0</v>
      </c>
    </row>
    <row r="106" spans="1:19">
      <c r="A106" s="150"/>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0.03</v>
      </c>
      <c r="R106" s="662">
        <f t="shared" si="33"/>
        <v>0</v>
      </c>
      <c r="S106" s="316">
        <f t="shared" si="24"/>
        <v>0</v>
      </c>
    </row>
    <row r="107" spans="1:19">
      <c r="A107" s="150"/>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0.03</v>
      </c>
      <c r="R107" s="662">
        <f t="shared" si="33"/>
        <v>0</v>
      </c>
      <c r="S107" s="316">
        <f t="shared" si="24"/>
        <v>0</v>
      </c>
    </row>
    <row r="108" spans="1:19">
      <c r="A108" s="150"/>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0.03</v>
      </c>
      <c r="R108" s="662">
        <f t="shared" si="33"/>
        <v>0</v>
      </c>
      <c r="S108" s="316">
        <f t="shared" si="24"/>
        <v>0</v>
      </c>
    </row>
    <row r="109" spans="1:19">
      <c r="A109" s="150"/>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0.03</v>
      </c>
      <c r="R109" s="662">
        <f t="shared" si="33"/>
        <v>0</v>
      </c>
      <c r="S109" s="316">
        <f t="shared" si="24"/>
        <v>0</v>
      </c>
    </row>
    <row r="110" spans="1:19">
      <c r="A110" s="150"/>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0.03</v>
      </c>
      <c r="R110" s="662">
        <f t="shared" si="33"/>
        <v>0</v>
      </c>
      <c r="S110" s="316">
        <f t="shared" si="24"/>
        <v>0</v>
      </c>
    </row>
    <row r="111" spans="1:19">
      <c r="A111" s="150"/>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0.03</v>
      </c>
      <c r="R111" s="662">
        <f t="shared" si="33"/>
        <v>0</v>
      </c>
      <c r="S111" s="316">
        <f t="shared" si="24"/>
        <v>0</v>
      </c>
    </row>
    <row r="112" spans="1:19">
      <c r="A112" s="150"/>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0.03</v>
      </c>
      <c r="R112" s="662">
        <f t="shared" si="33"/>
        <v>0</v>
      </c>
      <c r="S112" s="316">
        <f t="shared" si="24"/>
        <v>0</v>
      </c>
    </row>
    <row r="113" spans="1:19">
      <c r="A113" s="150"/>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0.03</v>
      </c>
      <c r="R113" s="662">
        <f t="shared" si="33"/>
        <v>0</v>
      </c>
      <c r="S113" s="316">
        <f t="shared" si="24"/>
        <v>0</v>
      </c>
    </row>
    <row r="114" spans="1:19">
      <c r="A114" s="150"/>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0.03</v>
      </c>
      <c r="R114" s="662">
        <f t="shared" si="33"/>
        <v>0</v>
      </c>
      <c r="S114" s="316">
        <f t="shared" si="24"/>
        <v>0</v>
      </c>
    </row>
    <row r="115" spans="1:19">
      <c r="A115" s="150"/>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0.03</v>
      </c>
      <c r="R115" s="662">
        <f t="shared" si="33"/>
        <v>0</v>
      </c>
      <c r="S115" s="316">
        <f t="shared" si="24"/>
        <v>0</v>
      </c>
    </row>
    <row r="116" spans="1:19">
      <c r="A116" s="150"/>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0.03</v>
      </c>
      <c r="R116" s="662">
        <f t="shared" si="33"/>
        <v>0</v>
      </c>
      <c r="S116" s="316">
        <f t="shared" si="24"/>
        <v>0</v>
      </c>
    </row>
    <row r="117" spans="1:19">
      <c r="A117" s="150"/>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0.03</v>
      </c>
      <c r="R117" s="662">
        <f t="shared" si="33"/>
        <v>0</v>
      </c>
      <c r="S117" s="316">
        <f t="shared" si="24"/>
        <v>0</v>
      </c>
    </row>
    <row r="118" spans="1:19">
      <c r="A118" s="150"/>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0.03</v>
      </c>
      <c r="R118" s="662">
        <f t="shared" si="33"/>
        <v>0</v>
      </c>
      <c r="S118" s="316">
        <f t="shared" si="24"/>
        <v>0</v>
      </c>
    </row>
    <row r="119" spans="1:19">
      <c r="A119" s="150"/>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0.03</v>
      </c>
      <c r="R119" s="662">
        <f t="shared" si="33"/>
        <v>0</v>
      </c>
      <c r="S119" s="316">
        <f t="shared" si="24"/>
        <v>0</v>
      </c>
    </row>
    <row r="120" spans="1:19">
      <c r="A120" s="150"/>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0.03</v>
      </c>
      <c r="R120" s="662">
        <f t="shared" si="33"/>
        <v>0</v>
      </c>
      <c r="S120" s="316">
        <f t="shared" si="24"/>
        <v>0</v>
      </c>
    </row>
    <row r="121" spans="1:19">
      <c r="A121" s="150"/>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0.03</v>
      </c>
      <c r="R121" s="662">
        <f t="shared" si="33"/>
        <v>0</v>
      </c>
      <c r="S121" s="316">
        <f t="shared" si="24"/>
        <v>0</v>
      </c>
    </row>
    <row r="122" spans="1:19">
      <c r="A122" s="150"/>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0.03</v>
      </c>
      <c r="R122" s="662">
        <f t="shared" si="33"/>
        <v>0</v>
      </c>
      <c r="S122" s="316">
        <f t="shared" si="24"/>
        <v>0</v>
      </c>
    </row>
    <row r="123" spans="1:19">
      <c r="A123" s="150"/>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0.03</v>
      </c>
      <c r="R123" s="662">
        <f t="shared" si="33"/>
        <v>0</v>
      </c>
      <c r="S123" s="316">
        <f t="shared" ref="S123:S186" si="34">ROUND(R123*B123/10000,0)</f>
        <v>0</v>
      </c>
    </row>
    <row r="124" spans="1:19">
      <c r="A124" s="150"/>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0.03</v>
      </c>
      <c r="R124" s="662">
        <f t="shared" si="33"/>
        <v>0</v>
      </c>
      <c r="S124" s="316">
        <f t="shared" si="34"/>
        <v>0</v>
      </c>
    </row>
    <row r="125" spans="1:19">
      <c r="A125" s="150"/>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0.03</v>
      </c>
      <c r="R125" s="662">
        <f t="shared" si="33"/>
        <v>0</v>
      </c>
      <c r="S125" s="316">
        <f t="shared" si="34"/>
        <v>0</v>
      </c>
    </row>
    <row r="126" spans="1:19">
      <c r="A126" s="150"/>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0.03</v>
      </c>
      <c r="R126" s="662">
        <f t="shared" si="33"/>
        <v>0</v>
      </c>
      <c r="S126" s="316">
        <f t="shared" si="34"/>
        <v>0</v>
      </c>
    </row>
    <row r="127" spans="1:19">
      <c r="A127" s="150"/>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0.03</v>
      </c>
      <c r="R127" s="662">
        <f t="shared" si="33"/>
        <v>0</v>
      </c>
      <c r="S127" s="316">
        <f t="shared" si="34"/>
        <v>0</v>
      </c>
    </row>
    <row r="128" spans="1:19">
      <c r="A128" s="150"/>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0.03</v>
      </c>
      <c r="R128" s="662">
        <f t="shared" si="33"/>
        <v>0</v>
      </c>
      <c r="S128" s="316">
        <f t="shared" si="34"/>
        <v>0</v>
      </c>
    </row>
    <row r="129" spans="1:19">
      <c r="A129" s="150"/>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0.03</v>
      </c>
      <c r="R129" s="662">
        <f t="shared" si="33"/>
        <v>0</v>
      </c>
      <c r="S129" s="316">
        <f t="shared" si="34"/>
        <v>0</v>
      </c>
    </row>
    <row r="130" spans="1:19">
      <c r="A130" s="150"/>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0.03</v>
      </c>
      <c r="R130" s="662">
        <f t="shared" si="33"/>
        <v>0</v>
      </c>
      <c r="S130" s="316">
        <f t="shared" si="34"/>
        <v>0</v>
      </c>
    </row>
    <row r="131" spans="1:19">
      <c r="A131" s="150"/>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0.03</v>
      </c>
      <c r="R131" s="662">
        <f t="shared" si="33"/>
        <v>0</v>
      </c>
      <c r="S131" s="316">
        <f t="shared" si="34"/>
        <v>0</v>
      </c>
    </row>
    <row r="132" spans="1:19">
      <c r="A132" s="150"/>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0.03</v>
      </c>
      <c r="R132" s="662">
        <f t="shared" si="33"/>
        <v>0</v>
      </c>
      <c r="S132" s="316">
        <f t="shared" si="34"/>
        <v>0</v>
      </c>
    </row>
    <row r="133" spans="1:19">
      <c r="A133" s="150"/>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0.03</v>
      </c>
      <c r="R133" s="662">
        <f t="shared" si="33"/>
        <v>0</v>
      </c>
      <c r="S133" s="316">
        <f t="shared" si="34"/>
        <v>0</v>
      </c>
    </row>
    <row r="134" spans="1:19">
      <c r="A134" s="150"/>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0.03</v>
      </c>
      <c r="R134" s="662">
        <f t="shared" si="33"/>
        <v>0</v>
      </c>
      <c r="S134" s="316">
        <f t="shared" si="34"/>
        <v>0</v>
      </c>
    </row>
    <row r="135" spans="1:19">
      <c r="A135" s="150"/>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0.03</v>
      </c>
      <c r="R135" s="662">
        <f t="shared" si="33"/>
        <v>0</v>
      </c>
      <c r="S135" s="316">
        <f t="shared" si="34"/>
        <v>0</v>
      </c>
    </row>
    <row r="136" spans="1:19">
      <c r="A136" s="150"/>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0.03</v>
      </c>
      <c r="R136" s="662">
        <f t="shared" si="33"/>
        <v>0</v>
      </c>
      <c r="S136" s="316">
        <f t="shared" si="34"/>
        <v>0</v>
      </c>
    </row>
    <row r="137" spans="1:19">
      <c r="A137" s="150"/>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0.03</v>
      </c>
      <c r="R137" s="662">
        <f t="shared" si="33"/>
        <v>0</v>
      </c>
      <c r="S137" s="316">
        <f t="shared" si="34"/>
        <v>0</v>
      </c>
    </row>
    <row r="138" spans="1:19">
      <c r="A138" s="150"/>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0.03</v>
      </c>
      <c r="R138" s="662">
        <f t="shared" si="33"/>
        <v>0</v>
      </c>
      <c r="S138" s="316">
        <f t="shared" si="34"/>
        <v>0</v>
      </c>
    </row>
    <row r="139" spans="1:19">
      <c r="A139" s="150"/>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0.03</v>
      </c>
      <c r="R139" s="662">
        <f t="shared" si="33"/>
        <v>0</v>
      </c>
      <c r="S139" s="316">
        <f t="shared" si="34"/>
        <v>0</v>
      </c>
    </row>
    <row r="140" spans="1:19">
      <c r="A140" s="150"/>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0.03</v>
      </c>
      <c r="R140" s="662">
        <f t="shared" si="33"/>
        <v>0</v>
      </c>
      <c r="S140" s="316">
        <f t="shared" si="34"/>
        <v>0</v>
      </c>
    </row>
    <row r="141" spans="1:19">
      <c r="A141" s="150"/>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0.03</v>
      </c>
      <c r="R141" s="662">
        <f t="shared" si="33"/>
        <v>0</v>
      </c>
      <c r="S141" s="316">
        <f t="shared" si="34"/>
        <v>0</v>
      </c>
    </row>
    <row r="142" spans="1:19">
      <c r="A142" s="150"/>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0.03</v>
      </c>
      <c r="R142" s="662">
        <f t="shared" si="33"/>
        <v>0</v>
      </c>
      <c r="S142" s="316">
        <f t="shared" si="34"/>
        <v>0</v>
      </c>
    </row>
    <row r="143" spans="1:19">
      <c r="A143" s="150"/>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0.03</v>
      </c>
      <c r="R143" s="662">
        <f t="shared" si="33"/>
        <v>0</v>
      </c>
      <c r="S143" s="316">
        <f t="shared" si="34"/>
        <v>0</v>
      </c>
    </row>
    <row r="144" spans="1:19">
      <c r="A144" s="150"/>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0.03</v>
      </c>
      <c r="R144" s="662">
        <f t="shared" si="33"/>
        <v>0</v>
      </c>
      <c r="S144" s="316">
        <f t="shared" si="34"/>
        <v>0</v>
      </c>
    </row>
    <row r="145" spans="1:19">
      <c r="A145" s="150"/>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0.03</v>
      </c>
      <c r="R145" s="662">
        <f t="shared" si="33"/>
        <v>0</v>
      </c>
      <c r="S145" s="316">
        <f t="shared" si="34"/>
        <v>0</v>
      </c>
    </row>
    <row r="146" spans="1:19">
      <c r="A146" s="150"/>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0.03</v>
      </c>
      <c r="R146" s="662">
        <f t="shared" si="33"/>
        <v>0</v>
      </c>
      <c r="S146" s="316">
        <f t="shared" si="34"/>
        <v>0</v>
      </c>
    </row>
    <row r="147" spans="1:19">
      <c r="A147" s="150"/>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0.03</v>
      </c>
      <c r="R147" s="662">
        <f t="shared" si="33"/>
        <v>0</v>
      </c>
      <c r="S147" s="316">
        <f t="shared" si="34"/>
        <v>0</v>
      </c>
    </row>
    <row r="148" spans="1:19">
      <c r="A148" s="150"/>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0.03</v>
      </c>
      <c r="R148" s="662">
        <f t="shared" si="33"/>
        <v>0</v>
      </c>
      <c r="S148" s="316">
        <f t="shared" si="34"/>
        <v>0</v>
      </c>
    </row>
    <row r="149" spans="1:19">
      <c r="A149" s="150"/>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0.03</v>
      </c>
      <c r="R149" s="662">
        <f t="shared" si="33"/>
        <v>0</v>
      </c>
      <c r="S149" s="316">
        <f t="shared" si="34"/>
        <v>0</v>
      </c>
    </row>
    <row r="150" spans="1:19">
      <c r="A150" s="150"/>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0.03</v>
      </c>
      <c r="R150" s="662">
        <f t="shared" si="33"/>
        <v>0</v>
      </c>
      <c r="S150" s="316">
        <f t="shared" si="34"/>
        <v>0</v>
      </c>
    </row>
    <row r="151" spans="1:19">
      <c r="A151" s="150"/>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0.03</v>
      </c>
      <c r="R151" s="662">
        <f t="shared" si="33"/>
        <v>0</v>
      </c>
      <c r="S151" s="316">
        <f t="shared" si="34"/>
        <v>0</v>
      </c>
    </row>
    <row r="152" spans="1:19">
      <c r="A152" s="150"/>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0.03</v>
      </c>
      <c r="R152" s="662">
        <f t="shared" si="33"/>
        <v>0</v>
      </c>
      <c r="S152" s="316">
        <f t="shared" si="34"/>
        <v>0</v>
      </c>
    </row>
    <row r="153" spans="1:19">
      <c r="A153" s="150"/>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0.03</v>
      </c>
      <c r="R153" s="662">
        <f t="shared" si="33"/>
        <v>0</v>
      </c>
      <c r="S153" s="316">
        <f t="shared" si="34"/>
        <v>0</v>
      </c>
    </row>
    <row r="154" spans="1:19">
      <c r="A154" s="150"/>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0.03</v>
      </c>
      <c r="R154" s="662">
        <f t="shared" ref="R154:R217" si="43">IF(B154="",0,ROUND($R$24*C154*E154*G154*I154*K154*M154*O154*Q154,0))</f>
        <v>0</v>
      </c>
      <c r="S154" s="316">
        <f t="shared" si="34"/>
        <v>0</v>
      </c>
    </row>
    <row r="155" spans="1:19">
      <c r="A155" s="150"/>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0.03</v>
      </c>
      <c r="R155" s="662">
        <f t="shared" si="43"/>
        <v>0</v>
      </c>
      <c r="S155" s="316">
        <f t="shared" si="34"/>
        <v>0</v>
      </c>
    </row>
    <row r="156" spans="1:19">
      <c r="A156" s="150"/>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0.03</v>
      </c>
      <c r="R156" s="662">
        <f t="shared" si="43"/>
        <v>0</v>
      </c>
      <c r="S156" s="316">
        <f t="shared" si="34"/>
        <v>0</v>
      </c>
    </row>
    <row r="157" spans="1:19">
      <c r="A157" s="150"/>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0.03</v>
      </c>
      <c r="R157" s="662">
        <f t="shared" si="43"/>
        <v>0</v>
      </c>
      <c r="S157" s="316">
        <f t="shared" si="34"/>
        <v>0</v>
      </c>
    </row>
    <row r="158" spans="1:19">
      <c r="A158" s="150"/>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0.03</v>
      </c>
      <c r="R158" s="662">
        <f t="shared" si="43"/>
        <v>0</v>
      </c>
      <c r="S158" s="316">
        <f t="shared" si="34"/>
        <v>0</v>
      </c>
    </row>
    <row r="159" spans="1:19">
      <c r="A159" s="150"/>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0.03</v>
      </c>
      <c r="R159" s="662">
        <f t="shared" si="43"/>
        <v>0</v>
      </c>
      <c r="S159" s="316">
        <f t="shared" si="34"/>
        <v>0</v>
      </c>
    </row>
    <row r="160" spans="1:19">
      <c r="A160" s="150"/>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0.03</v>
      </c>
      <c r="R160" s="662">
        <f t="shared" si="43"/>
        <v>0</v>
      </c>
      <c r="S160" s="316">
        <f t="shared" si="34"/>
        <v>0</v>
      </c>
    </row>
    <row r="161" spans="1:19">
      <c r="A161" s="150"/>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0.03</v>
      </c>
      <c r="R161" s="662">
        <f t="shared" si="43"/>
        <v>0</v>
      </c>
      <c r="S161" s="316">
        <f t="shared" si="34"/>
        <v>0</v>
      </c>
    </row>
    <row r="162" spans="1:19">
      <c r="A162" s="150"/>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0.03</v>
      </c>
      <c r="R162" s="662">
        <f t="shared" si="43"/>
        <v>0</v>
      </c>
      <c r="S162" s="316">
        <f t="shared" si="34"/>
        <v>0</v>
      </c>
    </row>
    <row r="163" spans="1:19">
      <c r="A163" s="150"/>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0.03</v>
      </c>
      <c r="R163" s="662">
        <f t="shared" si="43"/>
        <v>0</v>
      </c>
      <c r="S163" s="316">
        <f t="shared" si="34"/>
        <v>0</v>
      </c>
    </row>
    <row r="164" spans="1:19">
      <c r="A164" s="150"/>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0.03</v>
      </c>
      <c r="R164" s="662">
        <f t="shared" si="43"/>
        <v>0</v>
      </c>
      <c r="S164" s="316">
        <f t="shared" si="34"/>
        <v>0</v>
      </c>
    </row>
    <row r="165" spans="1:19">
      <c r="A165" s="150"/>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0.03</v>
      </c>
      <c r="R165" s="662">
        <f t="shared" si="43"/>
        <v>0</v>
      </c>
      <c r="S165" s="316">
        <f t="shared" si="34"/>
        <v>0</v>
      </c>
    </row>
    <row r="166" spans="1:19">
      <c r="A166" s="150"/>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0.03</v>
      </c>
      <c r="R166" s="662">
        <f t="shared" si="43"/>
        <v>0</v>
      </c>
      <c r="S166" s="316">
        <f t="shared" si="34"/>
        <v>0</v>
      </c>
    </row>
    <row r="167" spans="1:19">
      <c r="A167" s="150"/>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0.03</v>
      </c>
      <c r="R167" s="662">
        <f t="shared" si="43"/>
        <v>0</v>
      </c>
      <c r="S167" s="316">
        <f t="shared" si="34"/>
        <v>0</v>
      </c>
    </row>
    <row r="168" spans="1:19">
      <c r="A168" s="150"/>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0.03</v>
      </c>
      <c r="R168" s="662">
        <f t="shared" si="43"/>
        <v>0</v>
      </c>
      <c r="S168" s="316">
        <f t="shared" si="34"/>
        <v>0</v>
      </c>
    </row>
    <row r="169" spans="1:19">
      <c r="A169" s="150"/>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0.03</v>
      </c>
      <c r="R169" s="662">
        <f t="shared" si="43"/>
        <v>0</v>
      </c>
      <c r="S169" s="316">
        <f t="shared" si="34"/>
        <v>0</v>
      </c>
    </row>
    <row r="170" spans="1:19">
      <c r="A170" s="150"/>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0.03</v>
      </c>
      <c r="R170" s="662">
        <f t="shared" si="43"/>
        <v>0</v>
      </c>
      <c r="S170" s="316">
        <f t="shared" si="34"/>
        <v>0</v>
      </c>
    </row>
    <row r="171" spans="1:19">
      <c r="A171" s="150"/>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0.03</v>
      </c>
      <c r="R171" s="662">
        <f t="shared" si="43"/>
        <v>0</v>
      </c>
      <c r="S171" s="316">
        <f t="shared" si="34"/>
        <v>0</v>
      </c>
    </row>
    <row r="172" spans="1:19">
      <c r="A172" s="150"/>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0.03</v>
      </c>
      <c r="R172" s="662">
        <f t="shared" si="43"/>
        <v>0</v>
      </c>
      <c r="S172" s="316">
        <f t="shared" si="34"/>
        <v>0</v>
      </c>
    </row>
    <row r="173" spans="1:19">
      <c r="A173" s="150"/>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0.03</v>
      </c>
      <c r="R173" s="662">
        <f t="shared" si="43"/>
        <v>0</v>
      </c>
      <c r="S173" s="316">
        <f t="shared" si="34"/>
        <v>0</v>
      </c>
    </row>
    <row r="174" spans="1:19">
      <c r="A174" s="150"/>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0.03</v>
      </c>
      <c r="R174" s="662">
        <f t="shared" si="43"/>
        <v>0</v>
      </c>
      <c r="S174" s="316">
        <f t="shared" si="34"/>
        <v>0</v>
      </c>
    </row>
    <row r="175" spans="1:19">
      <c r="A175" s="150"/>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0.03</v>
      </c>
      <c r="R175" s="662">
        <f t="shared" si="43"/>
        <v>0</v>
      </c>
      <c r="S175" s="316">
        <f t="shared" si="34"/>
        <v>0</v>
      </c>
    </row>
    <row r="176" spans="1:19">
      <c r="A176" s="150"/>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0.03</v>
      </c>
      <c r="R176" s="662">
        <f t="shared" si="43"/>
        <v>0</v>
      </c>
      <c r="S176" s="316">
        <f t="shared" si="34"/>
        <v>0</v>
      </c>
    </row>
    <row r="177" spans="1:19">
      <c r="A177" s="150"/>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0.03</v>
      </c>
      <c r="R177" s="662">
        <f t="shared" si="43"/>
        <v>0</v>
      </c>
      <c r="S177" s="316">
        <f t="shared" si="34"/>
        <v>0</v>
      </c>
    </row>
    <row r="178" spans="1:19">
      <c r="A178" s="150"/>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0.03</v>
      </c>
      <c r="R178" s="662">
        <f t="shared" si="43"/>
        <v>0</v>
      </c>
      <c r="S178" s="316">
        <f t="shared" si="34"/>
        <v>0</v>
      </c>
    </row>
    <row r="179" spans="1:19">
      <c r="A179" s="150"/>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0.03</v>
      </c>
      <c r="R179" s="662">
        <f t="shared" si="43"/>
        <v>0</v>
      </c>
      <c r="S179" s="316">
        <f t="shared" si="34"/>
        <v>0</v>
      </c>
    </row>
    <row r="180" spans="1:19">
      <c r="A180" s="150"/>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0.03</v>
      </c>
      <c r="R180" s="662">
        <f t="shared" si="43"/>
        <v>0</v>
      </c>
      <c r="S180" s="316">
        <f t="shared" si="34"/>
        <v>0</v>
      </c>
    </row>
    <row r="181" spans="1:19">
      <c r="A181" s="150"/>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0.03</v>
      </c>
      <c r="R181" s="662">
        <f t="shared" si="43"/>
        <v>0</v>
      </c>
      <c r="S181" s="316">
        <f t="shared" si="34"/>
        <v>0</v>
      </c>
    </row>
    <row r="182" spans="1:19">
      <c r="A182" s="150"/>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0.03</v>
      </c>
      <c r="R182" s="662">
        <f t="shared" si="43"/>
        <v>0</v>
      </c>
      <c r="S182" s="316">
        <f t="shared" si="34"/>
        <v>0</v>
      </c>
    </row>
    <row r="183" spans="1:19">
      <c r="A183" s="150"/>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0.03</v>
      </c>
      <c r="R183" s="662">
        <f t="shared" si="43"/>
        <v>0</v>
      </c>
      <c r="S183" s="316">
        <f t="shared" si="34"/>
        <v>0</v>
      </c>
    </row>
    <row r="184" spans="1:19">
      <c r="A184" s="150"/>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0.03</v>
      </c>
      <c r="R184" s="662">
        <f t="shared" si="43"/>
        <v>0</v>
      </c>
      <c r="S184" s="316">
        <f t="shared" si="34"/>
        <v>0</v>
      </c>
    </row>
    <row r="185" spans="1:19">
      <c r="A185" s="150"/>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0.03</v>
      </c>
      <c r="R185" s="662">
        <f t="shared" si="43"/>
        <v>0</v>
      </c>
      <c r="S185" s="316">
        <f t="shared" si="34"/>
        <v>0</v>
      </c>
    </row>
    <row r="186" spans="1:19">
      <c r="A186" s="150"/>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0.03</v>
      </c>
      <c r="R186" s="662">
        <f t="shared" si="43"/>
        <v>0</v>
      </c>
      <c r="S186" s="316">
        <f t="shared" si="34"/>
        <v>0</v>
      </c>
    </row>
    <row r="187" spans="1:19">
      <c r="A187" s="150"/>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0.03</v>
      </c>
      <c r="R187" s="662">
        <f t="shared" si="43"/>
        <v>0</v>
      </c>
      <c r="S187" s="316">
        <f t="shared" ref="S187:S222" si="44">ROUND(R187*B187/10000,0)</f>
        <v>0</v>
      </c>
    </row>
    <row r="188" spans="1:19">
      <c r="A188" s="150"/>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0.03</v>
      </c>
      <c r="R188" s="662">
        <f t="shared" si="43"/>
        <v>0</v>
      </c>
      <c r="S188" s="316">
        <f t="shared" si="44"/>
        <v>0</v>
      </c>
    </row>
    <row r="189" spans="1:19">
      <c r="A189" s="150"/>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0.03</v>
      </c>
      <c r="R189" s="662">
        <f t="shared" si="43"/>
        <v>0</v>
      </c>
      <c r="S189" s="316">
        <f t="shared" si="44"/>
        <v>0</v>
      </c>
    </row>
    <row r="190" spans="1:19">
      <c r="A190" s="150"/>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0.03</v>
      </c>
      <c r="R190" s="662">
        <f t="shared" si="43"/>
        <v>0</v>
      </c>
      <c r="S190" s="316">
        <f t="shared" si="44"/>
        <v>0</v>
      </c>
    </row>
    <row r="191" spans="1:19">
      <c r="A191" s="150"/>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0.03</v>
      </c>
      <c r="R191" s="662">
        <f t="shared" si="43"/>
        <v>0</v>
      </c>
      <c r="S191" s="316">
        <f t="shared" si="44"/>
        <v>0</v>
      </c>
    </row>
    <row r="192" spans="1:19">
      <c r="A192" s="150"/>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0.03</v>
      </c>
      <c r="R192" s="662">
        <f t="shared" si="43"/>
        <v>0</v>
      </c>
      <c r="S192" s="316">
        <f t="shared" si="44"/>
        <v>0</v>
      </c>
    </row>
    <row r="193" spans="1:19">
      <c r="A193" s="150"/>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0.03</v>
      </c>
      <c r="R193" s="662">
        <f t="shared" si="43"/>
        <v>0</v>
      </c>
      <c r="S193" s="316">
        <f t="shared" si="44"/>
        <v>0</v>
      </c>
    </row>
    <row r="194" spans="1:19">
      <c r="A194" s="150"/>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0.03</v>
      </c>
      <c r="R194" s="662">
        <f t="shared" si="43"/>
        <v>0</v>
      </c>
      <c r="S194" s="316">
        <f t="shared" si="44"/>
        <v>0</v>
      </c>
    </row>
    <row r="195" spans="1:19">
      <c r="A195" s="150"/>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0.03</v>
      </c>
      <c r="R195" s="662">
        <f t="shared" si="43"/>
        <v>0</v>
      </c>
      <c r="S195" s="316">
        <f t="shared" si="44"/>
        <v>0</v>
      </c>
    </row>
    <row r="196" spans="1:19">
      <c r="A196" s="150"/>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0.03</v>
      </c>
      <c r="R196" s="662">
        <f t="shared" si="43"/>
        <v>0</v>
      </c>
      <c r="S196" s="316">
        <f t="shared" si="44"/>
        <v>0</v>
      </c>
    </row>
    <row r="197" spans="1:19">
      <c r="A197" s="150"/>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0.03</v>
      </c>
      <c r="R197" s="662">
        <f t="shared" si="43"/>
        <v>0</v>
      </c>
      <c r="S197" s="316">
        <f t="shared" si="44"/>
        <v>0</v>
      </c>
    </row>
    <row r="198" spans="1:19">
      <c r="A198" s="150"/>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0.03</v>
      </c>
      <c r="R198" s="662">
        <f t="shared" si="43"/>
        <v>0</v>
      </c>
      <c r="S198" s="316">
        <f t="shared" si="44"/>
        <v>0</v>
      </c>
    </row>
    <row r="199" spans="1:19">
      <c r="A199" s="150"/>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0.03</v>
      </c>
      <c r="R199" s="662">
        <f t="shared" si="43"/>
        <v>0</v>
      </c>
      <c r="S199" s="316">
        <f t="shared" si="44"/>
        <v>0</v>
      </c>
    </row>
    <row r="200" spans="1:19">
      <c r="A200" s="150"/>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0.03</v>
      </c>
      <c r="R200" s="662">
        <f t="shared" si="43"/>
        <v>0</v>
      </c>
      <c r="S200" s="316">
        <f t="shared" si="44"/>
        <v>0</v>
      </c>
    </row>
    <row r="201" spans="1:19">
      <c r="A201" s="150"/>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0.03</v>
      </c>
      <c r="R201" s="662">
        <f t="shared" si="43"/>
        <v>0</v>
      </c>
      <c r="S201" s="316">
        <f t="shared" si="44"/>
        <v>0</v>
      </c>
    </row>
    <row r="202" spans="1:19">
      <c r="A202" s="150"/>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0.03</v>
      </c>
      <c r="R202" s="662">
        <f t="shared" si="43"/>
        <v>0</v>
      </c>
      <c r="S202" s="316">
        <f t="shared" si="44"/>
        <v>0</v>
      </c>
    </row>
    <row r="203" spans="1:19">
      <c r="A203" s="150"/>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0.03</v>
      </c>
      <c r="R203" s="662">
        <f t="shared" si="43"/>
        <v>0</v>
      </c>
      <c r="S203" s="316">
        <f t="shared" si="44"/>
        <v>0</v>
      </c>
    </row>
    <row r="204" spans="1:19">
      <c r="A204" s="150"/>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0.03</v>
      </c>
      <c r="R204" s="662">
        <f t="shared" si="43"/>
        <v>0</v>
      </c>
      <c r="S204" s="316">
        <f t="shared" si="44"/>
        <v>0</v>
      </c>
    </row>
    <row r="205" spans="1:19">
      <c r="A205" s="150"/>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0.03</v>
      </c>
      <c r="R205" s="662">
        <f t="shared" si="43"/>
        <v>0</v>
      </c>
      <c r="S205" s="316">
        <f t="shared" si="44"/>
        <v>0</v>
      </c>
    </row>
    <row r="206" spans="1:19">
      <c r="A206" s="150"/>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0.03</v>
      </c>
      <c r="R206" s="662">
        <f t="shared" si="43"/>
        <v>0</v>
      </c>
      <c r="S206" s="316">
        <f t="shared" si="44"/>
        <v>0</v>
      </c>
    </row>
    <row r="207" spans="1:19">
      <c r="A207" s="150"/>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0.03</v>
      </c>
      <c r="R207" s="662">
        <f t="shared" si="43"/>
        <v>0</v>
      </c>
      <c r="S207" s="316">
        <f t="shared" si="44"/>
        <v>0</v>
      </c>
    </row>
    <row r="208" spans="1:19">
      <c r="A208" s="150"/>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0.03</v>
      </c>
      <c r="R208" s="662">
        <f t="shared" si="43"/>
        <v>0</v>
      </c>
      <c r="S208" s="316">
        <f t="shared" si="44"/>
        <v>0</v>
      </c>
    </row>
    <row r="209" spans="1:19">
      <c r="A209" s="150"/>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0.03</v>
      </c>
      <c r="R209" s="662">
        <f t="shared" si="43"/>
        <v>0</v>
      </c>
      <c r="S209" s="316">
        <f t="shared" si="44"/>
        <v>0</v>
      </c>
    </row>
    <row r="210" spans="1:19">
      <c r="A210" s="150"/>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0.03</v>
      </c>
      <c r="R210" s="662">
        <f t="shared" si="43"/>
        <v>0</v>
      </c>
      <c r="S210" s="316">
        <f t="shared" si="44"/>
        <v>0</v>
      </c>
    </row>
    <row r="211" spans="1:19">
      <c r="A211" s="150"/>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0.03</v>
      </c>
      <c r="R211" s="662">
        <f t="shared" si="43"/>
        <v>0</v>
      </c>
      <c r="S211" s="316">
        <f t="shared" si="44"/>
        <v>0</v>
      </c>
    </row>
    <row r="212" spans="1:19">
      <c r="A212" s="150"/>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0.03</v>
      </c>
      <c r="R212" s="662">
        <f t="shared" si="43"/>
        <v>0</v>
      </c>
      <c r="S212" s="316">
        <f t="shared" si="44"/>
        <v>0</v>
      </c>
    </row>
    <row r="213" spans="1:19">
      <c r="A213" s="150"/>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0.03</v>
      </c>
      <c r="R213" s="662">
        <f t="shared" si="43"/>
        <v>0</v>
      </c>
      <c r="S213" s="316">
        <f t="shared" si="44"/>
        <v>0</v>
      </c>
    </row>
    <row r="214" spans="1:19">
      <c r="A214" s="150"/>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0.03</v>
      </c>
      <c r="R214" s="662">
        <f t="shared" si="43"/>
        <v>0</v>
      </c>
      <c r="S214" s="316">
        <f t="shared" si="44"/>
        <v>0</v>
      </c>
    </row>
    <row r="215" spans="1:19">
      <c r="A215" s="150"/>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0.03</v>
      </c>
      <c r="R215" s="662">
        <f t="shared" si="43"/>
        <v>0</v>
      </c>
      <c r="S215" s="316">
        <f t="shared" si="44"/>
        <v>0</v>
      </c>
    </row>
    <row r="216" spans="1:19">
      <c r="A216" s="150"/>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0.03</v>
      </c>
      <c r="R216" s="662">
        <f t="shared" si="43"/>
        <v>0</v>
      </c>
      <c r="S216" s="316">
        <f t="shared" si="44"/>
        <v>0</v>
      </c>
    </row>
    <row r="217" spans="1:19">
      <c r="A217" s="150"/>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0.03</v>
      </c>
      <c r="R217" s="662">
        <f t="shared" si="43"/>
        <v>0</v>
      </c>
      <c r="S217" s="316">
        <f t="shared" si="44"/>
        <v>0</v>
      </c>
    </row>
    <row r="218" spans="1:19">
      <c r="A218" s="150"/>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0.03</v>
      </c>
      <c r="R218" s="662">
        <f t="shared" ref="R218:R281" si="53">IF(B218="",0,ROUND($R$24*C218*E218*G218*I218*K218*M218*O218*Q218,0))</f>
        <v>0</v>
      </c>
      <c r="S218" s="316">
        <f t="shared" si="44"/>
        <v>0</v>
      </c>
    </row>
    <row r="219" spans="1:19">
      <c r="A219" s="150"/>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0.03</v>
      </c>
      <c r="R219" s="662">
        <f t="shared" si="53"/>
        <v>0</v>
      </c>
      <c r="S219" s="316">
        <f t="shared" si="44"/>
        <v>0</v>
      </c>
    </row>
    <row r="220" spans="1:19">
      <c r="A220" s="150"/>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0.03</v>
      </c>
      <c r="R220" s="662">
        <f t="shared" si="53"/>
        <v>0</v>
      </c>
      <c r="S220" s="316">
        <f t="shared" si="44"/>
        <v>0</v>
      </c>
    </row>
    <row r="221" spans="1:19">
      <c r="A221" s="150"/>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0.03</v>
      </c>
      <c r="R221" s="662">
        <f t="shared" si="53"/>
        <v>0</v>
      </c>
      <c r="S221" s="316">
        <f t="shared" si="44"/>
        <v>0</v>
      </c>
    </row>
    <row r="222" spans="1:19">
      <c r="A222" s="150"/>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0.03</v>
      </c>
      <c r="R222" s="662">
        <f t="shared" si="53"/>
        <v>0</v>
      </c>
      <c r="S222" s="316">
        <f t="shared" si="44"/>
        <v>0</v>
      </c>
    </row>
    <row r="223" spans="1:19">
      <c r="A223" s="150"/>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0.03</v>
      </c>
      <c r="R223" s="662">
        <f t="shared" si="53"/>
        <v>0</v>
      </c>
      <c r="S223" s="316">
        <f t="shared" ref="S223:S286" si="54">ROUND(R223*B223/10000,0)</f>
        <v>0</v>
      </c>
    </row>
    <row r="224" spans="1:19">
      <c r="A224" s="150"/>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0.03</v>
      </c>
      <c r="R224" s="662">
        <f t="shared" si="53"/>
        <v>0</v>
      </c>
      <c r="S224" s="316">
        <f t="shared" si="54"/>
        <v>0</v>
      </c>
    </row>
    <row r="225" spans="1:19">
      <c r="A225" s="150"/>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0.03</v>
      </c>
      <c r="R225" s="662">
        <f t="shared" si="53"/>
        <v>0</v>
      </c>
      <c r="S225" s="316">
        <f t="shared" si="54"/>
        <v>0</v>
      </c>
    </row>
    <row r="226" spans="1:19">
      <c r="A226" s="150"/>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0.03</v>
      </c>
      <c r="R226" s="662">
        <f t="shared" si="53"/>
        <v>0</v>
      </c>
      <c r="S226" s="316">
        <f t="shared" si="54"/>
        <v>0</v>
      </c>
    </row>
    <row r="227" spans="1:19">
      <c r="A227" s="150"/>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0.03</v>
      </c>
      <c r="R227" s="662">
        <f t="shared" si="53"/>
        <v>0</v>
      </c>
      <c r="S227" s="316">
        <f t="shared" si="54"/>
        <v>0</v>
      </c>
    </row>
    <row r="228" spans="1:19">
      <c r="A228" s="150"/>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0.03</v>
      </c>
      <c r="R228" s="662">
        <f t="shared" si="53"/>
        <v>0</v>
      </c>
      <c r="S228" s="316">
        <f t="shared" si="54"/>
        <v>0</v>
      </c>
    </row>
    <row r="229" spans="1:19">
      <c r="A229" s="150"/>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0.03</v>
      </c>
      <c r="R229" s="662">
        <f t="shared" si="53"/>
        <v>0</v>
      </c>
      <c r="S229" s="316">
        <f t="shared" si="54"/>
        <v>0</v>
      </c>
    </row>
    <row r="230" spans="1:19">
      <c r="A230" s="150"/>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0.03</v>
      </c>
      <c r="R230" s="662">
        <f t="shared" si="53"/>
        <v>0</v>
      </c>
      <c r="S230" s="316">
        <f t="shared" si="54"/>
        <v>0</v>
      </c>
    </row>
    <row r="231" spans="1:19">
      <c r="A231" s="150"/>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0.03</v>
      </c>
      <c r="R231" s="662">
        <f t="shared" si="53"/>
        <v>0</v>
      </c>
      <c r="S231" s="316">
        <f t="shared" si="54"/>
        <v>0</v>
      </c>
    </row>
    <row r="232" spans="1:19">
      <c r="A232" s="150"/>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0.03</v>
      </c>
      <c r="R232" s="662">
        <f t="shared" si="53"/>
        <v>0</v>
      </c>
      <c r="S232" s="316">
        <f t="shared" si="54"/>
        <v>0</v>
      </c>
    </row>
    <row r="233" spans="1:19">
      <c r="A233" s="150"/>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0.03</v>
      </c>
      <c r="R233" s="662">
        <f t="shared" si="53"/>
        <v>0</v>
      </c>
      <c r="S233" s="316">
        <f t="shared" si="54"/>
        <v>0</v>
      </c>
    </row>
    <row r="234" spans="1:19">
      <c r="A234" s="150"/>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0.03</v>
      </c>
      <c r="R234" s="662">
        <f t="shared" si="53"/>
        <v>0</v>
      </c>
      <c r="S234" s="316">
        <f t="shared" si="54"/>
        <v>0</v>
      </c>
    </row>
    <row r="235" spans="1:19">
      <c r="A235" s="150"/>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0.03</v>
      </c>
      <c r="R235" s="662">
        <f t="shared" si="53"/>
        <v>0</v>
      </c>
      <c r="S235" s="316">
        <f t="shared" si="54"/>
        <v>0</v>
      </c>
    </row>
    <row r="236" spans="1:19">
      <c r="A236" s="150"/>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0.03</v>
      </c>
      <c r="R236" s="662">
        <f t="shared" si="53"/>
        <v>0</v>
      </c>
      <c r="S236" s="316">
        <f t="shared" si="54"/>
        <v>0</v>
      </c>
    </row>
    <row r="237" spans="1:19">
      <c r="A237" s="150"/>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0.03</v>
      </c>
      <c r="R237" s="662">
        <f t="shared" si="53"/>
        <v>0</v>
      </c>
      <c r="S237" s="316">
        <f t="shared" si="54"/>
        <v>0</v>
      </c>
    </row>
    <row r="238" spans="1:19">
      <c r="A238" s="150"/>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0.03</v>
      </c>
      <c r="R238" s="662">
        <f t="shared" si="53"/>
        <v>0</v>
      </c>
      <c r="S238" s="316">
        <f t="shared" si="54"/>
        <v>0</v>
      </c>
    </row>
    <row r="239" spans="1:19">
      <c r="A239" s="150"/>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0.03</v>
      </c>
      <c r="R239" s="662">
        <f t="shared" si="53"/>
        <v>0</v>
      </c>
      <c r="S239" s="316">
        <f t="shared" si="54"/>
        <v>0</v>
      </c>
    </row>
    <row r="240" spans="1:19">
      <c r="A240" s="150"/>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0.03</v>
      </c>
      <c r="R240" s="662">
        <f t="shared" si="53"/>
        <v>0</v>
      </c>
      <c r="S240" s="316">
        <f t="shared" si="54"/>
        <v>0</v>
      </c>
    </row>
    <row r="241" spans="1:19">
      <c r="A241" s="150"/>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0.03</v>
      </c>
      <c r="R241" s="662">
        <f t="shared" si="53"/>
        <v>0</v>
      </c>
      <c r="S241" s="316">
        <f t="shared" si="54"/>
        <v>0</v>
      </c>
    </row>
    <row r="242" spans="1:19">
      <c r="A242" s="150"/>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0.03</v>
      </c>
      <c r="R242" s="662">
        <f t="shared" si="53"/>
        <v>0</v>
      </c>
      <c r="S242" s="316">
        <f t="shared" si="54"/>
        <v>0</v>
      </c>
    </row>
    <row r="243" spans="1:19">
      <c r="A243" s="150"/>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0.03</v>
      </c>
      <c r="R243" s="662">
        <f t="shared" si="53"/>
        <v>0</v>
      </c>
      <c r="S243" s="316">
        <f t="shared" si="54"/>
        <v>0</v>
      </c>
    </row>
    <row r="244" spans="1:19">
      <c r="A244" s="150"/>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0.03</v>
      </c>
      <c r="R244" s="662">
        <f t="shared" si="53"/>
        <v>0</v>
      </c>
      <c r="S244" s="316">
        <f t="shared" si="54"/>
        <v>0</v>
      </c>
    </row>
    <row r="245" spans="1:19">
      <c r="A245" s="150"/>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0.03</v>
      </c>
      <c r="R245" s="662">
        <f t="shared" si="53"/>
        <v>0</v>
      </c>
      <c r="S245" s="316">
        <f t="shared" si="54"/>
        <v>0</v>
      </c>
    </row>
    <row r="246" spans="1:19">
      <c r="A246" s="150"/>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0.03</v>
      </c>
      <c r="R246" s="662">
        <f t="shared" si="53"/>
        <v>0</v>
      </c>
      <c r="S246" s="316">
        <f t="shared" si="54"/>
        <v>0</v>
      </c>
    </row>
    <row r="247" spans="1:19">
      <c r="A247" s="150"/>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0.03</v>
      </c>
      <c r="R247" s="662">
        <f t="shared" si="53"/>
        <v>0</v>
      </c>
      <c r="S247" s="316">
        <f t="shared" si="54"/>
        <v>0</v>
      </c>
    </row>
    <row r="248" spans="1:19">
      <c r="A248" s="150"/>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0.03</v>
      </c>
      <c r="R248" s="662">
        <f t="shared" si="53"/>
        <v>0</v>
      </c>
      <c r="S248" s="316">
        <f t="shared" si="54"/>
        <v>0</v>
      </c>
    </row>
    <row r="249" spans="1:19">
      <c r="A249" s="150"/>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0.03</v>
      </c>
      <c r="R249" s="662">
        <f t="shared" si="53"/>
        <v>0</v>
      </c>
      <c r="S249" s="316">
        <f t="shared" si="54"/>
        <v>0</v>
      </c>
    </row>
    <row r="250" spans="1:19">
      <c r="A250" s="150"/>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0.03</v>
      </c>
      <c r="R250" s="662">
        <f t="shared" si="53"/>
        <v>0</v>
      </c>
      <c r="S250" s="316">
        <f t="shared" si="54"/>
        <v>0</v>
      </c>
    </row>
    <row r="251" spans="1:19">
      <c r="A251" s="150"/>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0.03</v>
      </c>
      <c r="R251" s="662">
        <f t="shared" si="53"/>
        <v>0</v>
      </c>
      <c r="S251" s="316">
        <f t="shared" si="54"/>
        <v>0</v>
      </c>
    </row>
    <row r="252" spans="1:19">
      <c r="A252" s="150"/>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0.03</v>
      </c>
      <c r="R252" s="662">
        <f t="shared" si="53"/>
        <v>0</v>
      </c>
      <c r="S252" s="316">
        <f t="shared" si="54"/>
        <v>0</v>
      </c>
    </row>
    <row r="253" spans="1:19">
      <c r="A253" s="150"/>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0.03</v>
      </c>
      <c r="R253" s="662">
        <f t="shared" si="53"/>
        <v>0</v>
      </c>
      <c r="S253" s="316">
        <f t="shared" si="54"/>
        <v>0</v>
      </c>
    </row>
    <row r="254" spans="1:19">
      <c r="A254" s="150"/>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0.03</v>
      </c>
      <c r="R254" s="662">
        <f t="shared" si="53"/>
        <v>0</v>
      </c>
      <c r="S254" s="316">
        <f t="shared" si="54"/>
        <v>0</v>
      </c>
    </row>
    <row r="255" spans="1:19">
      <c r="A255" s="150"/>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0.03</v>
      </c>
      <c r="R255" s="662">
        <f t="shared" si="53"/>
        <v>0</v>
      </c>
      <c r="S255" s="316">
        <f t="shared" si="54"/>
        <v>0</v>
      </c>
    </row>
    <row r="256" spans="1:19">
      <c r="A256" s="150"/>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0.03</v>
      </c>
      <c r="R256" s="662">
        <f t="shared" si="53"/>
        <v>0</v>
      </c>
      <c r="S256" s="316">
        <f t="shared" si="54"/>
        <v>0</v>
      </c>
    </row>
    <row r="257" spans="1:19">
      <c r="A257" s="150"/>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0.03</v>
      </c>
      <c r="R257" s="662">
        <f t="shared" si="53"/>
        <v>0</v>
      </c>
      <c r="S257" s="316">
        <f t="shared" si="54"/>
        <v>0</v>
      </c>
    </row>
    <row r="258" spans="1:19">
      <c r="A258" s="150"/>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0.03</v>
      </c>
      <c r="R258" s="662">
        <f t="shared" si="53"/>
        <v>0</v>
      </c>
      <c r="S258" s="316">
        <f t="shared" si="54"/>
        <v>0</v>
      </c>
    </row>
    <row r="259" spans="1:19">
      <c r="A259" s="150"/>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0.03</v>
      </c>
      <c r="R259" s="662">
        <f t="shared" si="53"/>
        <v>0</v>
      </c>
      <c r="S259" s="316">
        <f t="shared" si="54"/>
        <v>0</v>
      </c>
    </row>
    <row r="260" spans="1:19">
      <c r="A260" s="150"/>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0.03</v>
      </c>
      <c r="R260" s="662">
        <f t="shared" si="53"/>
        <v>0</v>
      </c>
      <c r="S260" s="316">
        <f t="shared" si="54"/>
        <v>0</v>
      </c>
    </row>
    <row r="261" spans="1:19">
      <c r="A261" s="150"/>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0.03</v>
      </c>
      <c r="R261" s="662">
        <f t="shared" si="53"/>
        <v>0</v>
      </c>
      <c r="S261" s="316">
        <f t="shared" si="54"/>
        <v>0</v>
      </c>
    </row>
    <row r="262" spans="1:19">
      <c r="A262" s="150"/>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0.03</v>
      </c>
      <c r="R262" s="662">
        <f t="shared" si="53"/>
        <v>0</v>
      </c>
      <c r="S262" s="316">
        <f t="shared" si="54"/>
        <v>0</v>
      </c>
    </row>
    <row r="263" spans="1:19">
      <c r="A263" s="150"/>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0.03</v>
      </c>
      <c r="R263" s="662">
        <f t="shared" si="53"/>
        <v>0</v>
      </c>
      <c r="S263" s="316">
        <f t="shared" si="54"/>
        <v>0</v>
      </c>
    </row>
    <row r="264" spans="1:19">
      <c r="A264" s="150"/>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0.03</v>
      </c>
      <c r="R264" s="662">
        <f t="shared" si="53"/>
        <v>0</v>
      </c>
      <c r="S264" s="316">
        <f t="shared" si="54"/>
        <v>0</v>
      </c>
    </row>
    <row r="265" spans="1:19">
      <c r="A265" s="150"/>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0.03</v>
      </c>
      <c r="R265" s="662">
        <f t="shared" si="53"/>
        <v>0</v>
      </c>
      <c r="S265" s="316">
        <f t="shared" si="54"/>
        <v>0</v>
      </c>
    </row>
    <row r="266" spans="1:19">
      <c r="A266" s="150"/>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0.03</v>
      </c>
      <c r="R266" s="662">
        <f t="shared" si="53"/>
        <v>0</v>
      </c>
      <c r="S266" s="316">
        <f t="shared" si="54"/>
        <v>0</v>
      </c>
    </row>
    <row r="267" spans="1:19">
      <c r="A267" s="150"/>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0.03</v>
      </c>
      <c r="R267" s="662">
        <f t="shared" si="53"/>
        <v>0</v>
      </c>
      <c r="S267" s="316">
        <f t="shared" si="54"/>
        <v>0</v>
      </c>
    </row>
    <row r="268" spans="1:19">
      <c r="A268" s="150"/>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0.03</v>
      </c>
      <c r="R268" s="662">
        <f t="shared" si="53"/>
        <v>0</v>
      </c>
      <c r="S268" s="316">
        <f t="shared" si="54"/>
        <v>0</v>
      </c>
    </row>
    <row r="269" spans="1:19">
      <c r="A269" s="150"/>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0.03</v>
      </c>
      <c r="R269" s="662">
        <f t="shared" si="53"/>
        <v>0</v>
      </c>
      <c r="S269" s="316">
        <f t="shared" si="54"/>
        <v>0</v>
      </c>
    </row>
    <row r="270" spans="1:19">
      <c r="A270" s="150"/>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0.03</v>
      </c>
      <c r="R270" s="662">
        <f t="shared" si="53"/>
        <v>0</v>
      </c>
      <c r="S270" s="316">
        <f t="shared" si="54"/>
        <v>0</v>
      </c>
    </row>
    <row r="271" spans="1:19">
      <c r="A271" s="150"/>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0.03</v>
      </c>
      <c r="R271" s="662">
        <f t="shared" si="53"/>
        <v>0</v>
      </c>
      <c r="S271" s="316">
        <f t="shared" si="54"/>
        <v>0</v>
      </c>
    </row>
    <row r="272" spans="1:19">
      <c r="A272" s="150"/>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0.03</v>
      </c>
      <c r="R272" s="662">
        <f t="shared" si="53"/>
        <v>0</v>
      </c>
      <c r="S272" s="316">
        <f t="shared" si="54"/>
        <v>0</v>
      </c>
    </row>
    <row r="273" spans="1:19">
      <c r="A273" s="150"/>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0.03</v>
      </c>
      <c r="R273" s="662">
        <f t="shared" si="53"/>
        <v>0</v>
      </c>
      <c r="S273" s="316">
        <f t="shared" si="54"/>
        <v>0</v>
      </c>
    </row>
    <row r="274" spans="1:19">
      <c r="A274" s="150"/>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0.03</v>
      </c>
      <c r="R274" s="662">
        <f t="shared" si="53"/>
        <v>0</v>
      </c>
      <c r="S274" s="316">
        <f t="shared" si="54"/>
        <v>0</v>
      </c>
    </row>
    <row r="275" spans="1:19">
      <c r="A275" s="150"/>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0.03</v>
      </c>
      <c r="R275" s="662">
        <f t="shared" si="53"/>
        <v>0</v>
      </c>
      <c r="S275" s="316">
        <f t="shared" si="54"/>
        <v>0</v>
      </c>
    </row>
    <row r="276" spans="1:19">
      <c r="A276" s="150"/>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0.03</v>
      </c>
      <c r="R276" s="662">
        <f t="shared" si="53"/>
        <v>0</v>
      </c>
      <c r="S276" s="316">
        <f t="shared" si="54"/>
        <v>0</v>
      </c>
    </row>
    <row r="277" spans="1:19">
      <c r="A277" s="150"/>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0.03</v>
      </c>
      <c r="R277" s="662">
        <f t="shared" si="53"/>
        <v>0</v>
      </c>
      <c r="S277" s="316">
        <f t="shared" si="54"/>
        <v>0</v>
      </c>
    </row>
    <row r="278" spans="1:19">
      <c r="A278" s="150"/>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0.03</v>
      </c>
      <c r="R278" s="662">
        <f t="shared" si="53"/>
        <v>0</v>
      </c>
      <c r="S278" s="316">
        <f t="shared" si="54"/>
        <v>0</v>
      </c>
    </row>
    <row r="279" spans="1:19">
      <c r="A279" s="150"/>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0.03</v>
      </c>
      <c r="R279" s="662">
        <f t="shared" si="53"/>
        <v>0</v>
      </c>
      <c r="S279" s="316">
        <f t="shared" si="54"/>
        <v>0</v>
      </c>
    </row>
    <row r="280" spans="1:19">
      <c r="A280" s="150"/>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0.03</v>
      </c>
      <c r="R280" s="662">
        <f t="shared" si="53"/>
        <v>0</v>
      </c>
      <c r="S280" s="316">
        <f t="shared" si="54"/>
        <v>0</v>
      </c>
    </row>
    <row r="281" spans="1:19">
      <c r="A281" s="150"/>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0.03</v>
      </c>
      <c r="R281" s="662">
        <f t="shared" si="53"/>
        <v>0</v>
      </c>
      <c r="S281" s="316">
        <f t="shared" si="54"/>
        <v>0</v>
      </c>
    </row>
    <row r="282" spans="1:19">
      <c r="A282" s="150"/>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0.03</v>
      </c>
      <c r="R282" s="662">
        <f t="shared" ref="R282:R345" si="63">IF(B282="",0,ROUND($R$24*C282*E282*G282*I282*K282*M282*O282*Q282,0))</f>
        <v>0</v>
      </c>
      <c r="S282" s="316">
        <f t="shared" si="54"/>
        <v>0</v>
      </c>
    </row>
    <row r="283" spans="1:19">
      <c r="A283" s="150"/>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0.03</v>
      </c>
      <c r="R283" s="662">
        <f t="shared" si="63"/>
        <v>0</v>
      </c>
      <c r="S283" s="316">
        <f t="shared" si="54"/>
        <v>0</v>
      </c>
    </row>
    <row r="284" spans="1:19">
      <c r="A284" s="150"/>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0.03</v>
      </c>
      <c r="R284" s="662">
        <f t="shared" si="63"/>
        <v>0</v>
      </c>
      <c r="S284" s="316">
        <f t="shared" si="54"/>
        <v>0</v>
      </c>
    </row>
    <row r="285" spans="1:19">
      <c r="A285" s="150"/>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0.03</v>
      </c>
      <c r="R285" s="662">
        <f t="shared" si="63"/>
        <v>0</v>
      </c>
      <c r="S285" s="316">
        <f t="shared" si="54"/>
        <v>0</v>
      </c>
    </row>
    <row r="286" spans="1:19">
      <c r="A286" s="150"/>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0.03</v>
      </c>
      <c r="R286" s="662">
        <f t="shared" si="63"/>
        <v>0</v>
      </c>
      <c r="S286" s="316">
        <f t="shared" si="54"/>
        <v>0</v>
      </c>
    </row>
    <row r="287" spans="1:19">
      <c r="A287" s="150"/>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0.03</v>
      </c>
      <c r="R287" s="662">
        <f t="shared" si="63"/>
        <v>0</v>
      </c>
      <c r="S287" s="316">
        <f t="shared" ref="S287:S320" si="64">ROUND(R287*B287/10000,0)</f>
        <v>0</v>
      </c>
    </row>
    <row r="288" spans="1:19">
      <c r="A288" s="150"/>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0.03</v>
      </c>
      <c r="R288" s="662">
        <f t="shared" si="63"/>
        <v>0</v>
      </c>
      <c r="S288" s="316">
        <f t="shared" si="64"/>
        <v>0</v>
      </c>
    </row>
    <row r="289" spans="1:19">
      <c r="A289" s="150"/>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0.03</v>
      </c>
      <c r="R289" s="662">
        <f t="shared" si="63"/>
        <v>0</v>
      </c>
      <c r="S289" s="316">
        <f t="shared" si="64"/>
        <v>0</v>
      </c>
    </row>
    <row r="290" spans="1:19">
      <c r="A290" s="150"/>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0.03</v>
      </c>
      <c r="R290" s="662">
        <f t="shared" si="63"/>
        <v>0</v>
      </c>
      <c r="S290" s="316">
        <f t="shared" si="64"/>
        <v>0</v>
      </c>
    </row>
    <row r="291" spans="1:19">
      <c r="A291" s="150"/>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0.03</v>
      </c>
      <c r="R291" s="662">
        <f t="shared" si="63"/>
        <v>0</v>
      </c>
      <c r="S291" s="316">
        <f t="shared" si="64"/>
        <v>0</v>
      </c>
    </row>
    <row r="292" spans="1:19">
      <c r="A292" s="150"/>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0.03</v>
      </c>
      <c r="R292" s="662">
        <f t="shared" si="63"/>
        <v>0</v>
      </c>
      <c r="S292" s="316">
        <f t="shared" si="64"/>
        <v>0</v>
      </c>
    </row>
    <row r="293" spans="1:19">
      <c r="A293" s="150"/>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0.03</v>
      </c>
      <c r="R293" s="662">
        <f t="shared" si="63"/>
        <v>0</v>
      </c>
      <c r="S293" s="316">
        <f t="shared" si="64"/>
        <v>0</v>
      </c>
    </row>
    <row r="294" spans="1:19">
      <c r="A294" s="150"/>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0.03</v>
      </c>
      <c r="R294" s="662">
        <f t="shared" si="63"/>
        <v>0</v>
      </c>
      <c r="S294" s="316">
        <f t="shared" si="64"/>
        <v>0</v>
      </c>
    </row>
    <row r="295" spans="1:19">
      <c r="A295" s="150"/>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0.03</v>
      </c>
      <c r="R295" s="662">
        <f t="shared" si="63"/>
        <v>0</v>
      </c>
      <c r="S295" s="316">
        <f t="shared" si="64"/>
        <v>0</v>
      </c>
    </row>
    <row r="296" spans="1:19">
      <c r="A296" s="150"/>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0.03</v>
      </c>
      <c r="R296" s="662">
        <f t="shared" si="63"/>
        <v>0</v>
      </c>
      <c r="S296" s="316">
        <f t="shared" si="64"/>
        <v>0</v>
      </c>
    </row>
    <row r="297" spans="1:19">
      <c r="A297" s="150"/>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0.03</v>
      </c>
      <c r="R297" s="662">
        <f t="shared" si="63"/>
        <v>0</v>
      </c>
      <c r="S297" s="316">
        <f t="shared" si="64"/>
        <v>0</v>
      </c>
    </row>
    <row r="298" spans="1:19">
      <c r="A298" s="150"/>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0.03</v>
      </c>
      <c r="R298" s="662">
        <f t="shared" si="63"/>
        <v>0</v>
      </c>
      <c r="S298" s="316">
        <f t="shared" si="64"/>
        <v>0</v>
      </c>
    </row>
    <row r="299" spans="1:19">
      <c r="A299" s="150"/>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0.03</v>
      </c>
      <c r="R299" s="662">
        <f t="shared" si="63"/>
        <v>0</v>
      </c>
      <c r="S299" s="316">
        <f t="shared" si="64"/>
        <v>0</v>
      </c>
    </row>
    <row r="300" spans="1:19">
      <c r="A300" s="150"/>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0.03</v>
      </c>
      <c r="R300" s="662">
        <f t="shared" si="63"/>
        <v>0</v>
      </c>
      <c r="S300" s="316">
        <f t="shared" si="64"/>
        <v>0</v>
      </c>
    </row>
    <row r="301" spans="1:19">
      <c r="A301" s="150"/>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0.03</v>
      </c>
      <c r="R301" s="662">
        <f t="shared" si="63"/>
        <v>0</v>
      </c>
      <c r="S301" s="316">
        <f t="shared" si="64"/>
        <v>0</v>
      </c>
    </row>
    <row r="302" spans="1:19">
      <c r="A302" s="150"/>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0.03</v>
      </c>
      <c r="R302" s="662">
        <f t="shared" si="63"/>
        <v>0</v>
      </c>
      <c r="S302" s="316">
        <f t="shared" si="64"/>
        <v>0</v>
      </c>
    </row>
    <row r="303" spans="1:19">
      <c r="A303" s="150"/>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0.03</v>
      </c>
      <c r="R303" s="662">
        <f t="shared" si="63"/>
        <v>0</v>
      </c>
      <c r="S303" s="316">
        <f t="shared" si="64"/>
        <v>0</v>
      </c>
    </row>
    <row r="304" spans="1:19">
      <c r="A304" s="150"/>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0.03</v>
      </c>
      <c r="R304" s="662">
        <f t="shared" si="63"/>
        <v>0</v>
      </c>
      <c r="S304" s="316">
        <f t="shared" si="64"/>
        <v>0</v>
      </c>
    </row>
    <row r="305" spans="1:19">
      <c r="A305" s="150"/>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0.03</v>
      </c>
      <c r="R305" s="662">
        <f t="shared" si="63"/>
        <v>0</v>
      </c>
      <c r="S305" s="316">
        <f t="shared" si="64"/>
        <v>0</v>
      </c>
    </row>
    <row r="306" spans="1:19">
      <c r="A306" s="150"/>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0.03</v>
      </c>
      <c r="R306" s="662">
        <f t="shared" si="63"/>
        <v>0</v>
      </c>
      <c r="S306" s="316">
        <f t="shared" si="64"/>
        <v>0</v>
      </c>
    </row>
    <row r="307" spans="1:19">
      <c r="A307" s="150"/>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0.03</v>
      </c>
      <c r="R307" s="662">
        <f t="shared" si="63"/>
        <v>0</v>
      </c>
      <c r="S307" s="316">
        <f t="shared" si="64"/>
        <v>0</v>
      </c>
    </row>
    <row r="308" spans="1:19">
      <c r="A308" s="150"/>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0.03</v>
      </c>
      <c r="R308" s="662">
        <f t="shared" si="63"/>
        <v>0</v>
      </c>
      <c r="S308" s="316">
        <f t="shared" si="64"/>
        <v>0</v>
      </c>
    </row>
    <row r="309" spans="1:19">
      <c r="A309" s="150"/>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0.03</v>
      </c>
      <c r="R309" s="662">
        <f t="shared" si="63"/>
        <v>0</v>
      </c>
      <c r="S309" s="316">
        <f t="shared" si="64"/>
        <v>0</v>
      </c>
    </row>
    <row r="310" spans="1:19">
      <c r="A310" s="150"/>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0.03</v>
      </c>
      <c r="R310" s="662">
        <f t="shared" si="63"/>
        <v>0</v>
      </c>
      <c r="S310" s="316">
        <f t="shared" si="64"/>
        <v>0</v>
      </c>
    </row>
    <row r="311" spans="1:19">
      <c r="A311" s="150"/>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0.03</v>
      </c>
      <c r="R311" s="662">
        <f t="shared" si="63"/>
        <v>0</v>
      </c>
      <c r="S311" s="316">
        <f t="shared" si="64"/>
        <v>0</v>
      </c>
    </row>
    <row r="312" spans="1:19">
      <c r="A312" s="150"/>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0.03</v>
      </c>
      <c r="R312" s="662">
        <f t="shared" si="63"/>
        <v>0</v>
      </c>
      <c r="S312" s="316">
        <f t="shared" si="64"/>
        <v>0</v>
      </c>
    </row>
    <row r="313" spans="1:19">
      <c r="A313" s="150"/>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0.03</v>
      </c>
      <c r="R313" s="662">
        <f t="shared" si="63"/>
        <v>0</v>
      </c>
      <c r="S313" s="316">
        <f t="shared" si="64"/>
        <v>0</v>
      </c>
    </row>
    <row r="314" spans="1:19">
      <c r="A314" s="150"/>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0.03</v>
      </c>
      <c r="R314" s="662">
        <f t="shared" si="63"/>
        <v>0</v>
      </c>
      <c r="S314" s="316">
        <f t="shared" si="64"/>
        <v>0</v>
      </c>
    </row>
    <row r="315" spans="1:19">
      <c r="A315" s="150"/>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0.03</v>
      </c>
      <c r="R315" s="662">
        <f t="shared" si="63"/>
        <v>0</v>
      </c>
      <c r="S315" s="316">
        <f t="shared" si="64"/>
        <v>0</v>
      </c>
    </row>
    <row r="316" spans="1:19">
      <c r="A316" s="150"/>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0.03</v>
      </c>
      <c r="R316" s="662">
        <f t="shared" si="63"/>
        <v>0</v>
      </c>
      <c r="S316" s="316">
        <f t="shared" si="64"/>
        <v>0</v>
      </c>
    </row>
    <row r="317" spans="1:19">
      <c r="A317" s="150"/>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0.03</v>
      </c>
      <c r="R317" s="662">
        <f t="shared" si="63"/>
        <v>0</v>
      </c>
      <c r="S317" s="316">
        <f t="shared" si="64"/>
        <v>0</v>
      </c>
    </row>
    <row r="318" spans="1:19">
      <c r="A318" s="150"/>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0.03</v>
      </c>
      <c r="R318" s="662">
        <f t="shared" si="63"/>
        <v>0</v>
      </c>
      <c r="S318" s="316">
        <f t="shared" si="64"/>
        <v>0</v>
      </c>
    </row>
    <row r="319" spans="1:19">
      <c r="A319" s="150"/>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0.03</v>
      </c>
      <c r="R319" s="662">
        <f t="shared" si="63"/>
        <v>0</v>
      </c>
      <c r="S319" s="316">
        <f t="shared" si="64"/>
        <v>0</v>
      </c>
    </row>
    <row r="320" spans="1:19">
      <c r="A320" s="150"/>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0.03</v>
      </c>
      <c r="R320" s="662">
        <f t="shared" si="63"/>
        <v>0</v>
      </c>
      <c r="S320" s="316">
        <f t="shared" si="64"/>
        <v>0</v>
      </c>
    </row>
    <row r="321" spans="1:19">
      <c r="A321" s="150"/>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0.03</v>
      </c>
      <c r="R321" s="662">
        <f t="shared" si="63"/>
        <v>0</v>
      </c>
      <c r="S321" s="316">
        <f t="shared" ref="S321:S384" si="65">ROUND(R321*B321/10000,0)</f>
        <v>0</v>
      </c>
    </row>
    <row r="322" spans="1:19">
      <c r="A322" s="150"/>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0.03</v>
      </c>
      <c r="R322" s="662">
        <f t="shared" si="63"/>
        <v>0</v>
      </c>
      <c r="S322" s="316">
        <f t="shared" si="65"/>
        <v>0</v>
      </c>
    </row>
    <row r="323" spans="1:19">
      <c r="A323" s="150"/>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0.03</v>
      </c>
      <c r="R323" s="662">
        <f t="shared" si="63"/>
        <v>0</v>
      </c>
      <c r="S323" s="316">
        <f t="shared" si="65"/>
        <v>0</v>
      </c>
    </row>
    <row r="324" spans="1:19">
      <c r="A324" s="150"/>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0.03</v>
      </c>
      <c r="R324" s="662">
        <f t="shared" si="63"/>
        <v>0</v>
      </c>
      <c r="S324" s="316">
        <f t="shared" si="65"/>
        <v>0</v>
      </c>
    </row>
    <row r="325" spans="1:19">
      <c r="A325" s="150"/>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0.03</v>
      </c>
      <c r="R325" s="662">
        <f t="shared" si="63"/>
        <v>0</v>
      </c>
      <c r="S325" s="316">
        <f t="shared" si="65"/>
        <v>0</v>
      </c>
    </row>
    <row r="326" spans="1:19">
      <c r="A326" s="150"/>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0.03</v>
      </c>
      <c r="R326" s="662">
        <f t="shared" si="63"/>
        <v>0</v>
      </c>
      <c r="S326" s="316">
        <f t="shared" si="65"/>
        <v>0</v>
      </c>
    </row>
    <row r="327" spans="1:19">
      <c r="A327" s="150"/>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0.03</v>
      </c>
      <c r="R327" s="662">
        <f t="shared" si="63"/>
        <v>0</v>
      </c>
      <c r="S327" s="316">
        <f t="shared" si="65"/>
        <v>0</v>
      </c>
    </row>
    <row r="328" spans="1:19">
      <c r="A328" s="150"/>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0.03</v>
      </c>
      <c r="R328" s="662">
        <f t="shared" si="63"/>
        <v>0</v>
      </c>
      <c r="S328" s="316">
        <f t="shared" si="65"/>
        <v>0</v>
      </c>
    </row>
    <row r="329" spans="1:19">
      <c r="A329" s="150"/>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0.03</v>
      </c>
      <c r="R329" s="662">
        <f t="shared" si="63"/>
        <v>0</v>
      </c>
      <c r="S329" s="316">
        <f t="shared" si="65"/>
        <v>0</v>
      </c>
    </row>
    <row r="330" spans="1:19">
      <c r="A330" s="150"/>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0.03</v>
      </c>
      <c r="R330" s="662">
        <f t="shared" si="63"/>
        <v>0</v>
      </c>
      <c r="S330" s="316">
        <f t="shared" si="65"/>
        <v>0</v>
      </c>
    </row>
    <row r="331" spans="1:19">
      <c r="A331" s="150"/>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0.03</v>
      </c>
      <c r="R331" s="662">
        <f t="shared" si="63"/>
        <v>0</v>
      </c>
      <c r="S331" s="316">
        <f t="shared" si="65"/>
        <v>0</v>
      </c>
    </row>
    <row r="332" spans="1:19">
      <c r="A332" s="150"/>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0.03</v>
      </c>
      <c r="R332" s="662">
        <f t="shared" si="63"/>
        <v>0</v>
      </c>
      <c r="S332" s="316">
        <f t="shared" si="65"/>
        <v>0</v>
      </c>
    </row>
    <row r="333" spans="1:19">
      <c r="A333" s="150"/>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0.03</v>
      </c>
      <c r="R333" s="662">
        <f t="shared" si="63"/>
        <v>0</v>
      </c>
      <c r="S333" s="316">
        <f t="shared" si="65"/>
        <v>0</v>
      </c>
    </row>
    <row r="334" spans="1:19">
      <c r="A334" s="150"/>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0.03</v>
      </c>
      <c r="R334" s="662">
        <f t="shared" si="63"/>
        <v>0</v>
      </c>
      <c r="S334" s="316">
        <f t="shared" si="65"/>
        <v>0</v>
      </c>
    </row>
    <row r="335" spans="1:19">
      <c r="A335" s="150"/>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0.03</v>
      </c>
      <c r="R335" s="662">
        <f t="shared" si="63"/>
        <v>0</v>
      </c>
      <c r="S335" s="316">
        <f t="shared" si="65"/>
        <v>0</v>
      </c>
    </row>
    <row r="336" spans="1:19">
      <c r="A336" s="150"/>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0.03</v>
      </c>
      <c r="R336" s="662">
        <f t="shared" si="63"/>
        <v>0</v>
      </c>
      <c r="S336" s="316">
        <f t="shared" si="65"/>
        <v>0</v>
      </c>
    </row>
    <row r="337" spans="1:19">
      <c r="A337" s="150"/>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0.03</v>
      </c>
      <c r="R337" s="662">
        <f t="shared" si="63"/>
        <v>0</v>
      </c>
      <c r="S337" s="316">
        <f t="shared" si="65"/>
        <v>0</v>
      </c>
    </row>
    <row r="338" spans="1:19">
      <c r="A338" s="150"/>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0.03</v>
      </c>
      <c r="R338" s="662">
        <f t="shared" si="63"/>
        <v>0</v>
      </c>
      <c r="S338" s="316">
        <f t="shared" si="65"/>
        <v>0</v>
      </c>
    </row>
    <row r="339" spans="1:19">
      <c r="A339" s="150"/>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0.03</v>
      </c>
      <c r="R339" s="662">
        <f t="shared" si="63"/>
        <v>0</v>
      </c>
      <c r="S339" s="316">
        <f t="shared" si="65"/>
        <v>0</v>
      </c>
    </row>
    <row r="340" spans="1:19">
      <c r="A340" s="150"/>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0.03</v>
      </c>
      <c r="R340" s="662">
        <f t="shared" si="63"/>
        <v>0</v>
      </c>
      <c r="S340" s="316">
        <f t="shared" si="65"/>
        <v>0</v>
      </c>
    </row>
    <row r="341" spans="1:19">
      <c r="A341" s="150"/>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0.03</v>
      </c>
      <c r="R341" s="662">
        <f t="shared" si="63"/>
        <v>0</v>
      </c>
      <c r="S341" s="316">
        <f t="shared" si="65"/>
        <v>0</v>
      </c>
    </row>
    <row r="342" spans="1:19">
      <c r="A342" s="150"/>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0.03</v>
      </c>
      <c r="R342" s="662">
        <f t="shared" si="63"/>
        <v>0</v>
      </c>
      <c r="S342" s="316">
        <f t="shared" si="65"/>
        <v>0</v>
      </c>
    </row>
    <row r="343" spans="1:19">
      <c r="A343" s="150"/>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0.03</v>
      </c>
      <c r="R343" s="662">
        <f t="shared" si="63"/>
        <v>0</v>
      </c>
      <c r="S343" s="316">
        <f t="shared" si="65"/>
        <v>0</v>
      </c>
    </row>
    <row r="344" spans="1:19">
      <c r="A344" s="150"/>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0.03</v>
      </c>
      <c r="R344" s="662">
        <f t="shared" si="63"/>
        <v>0</v>
      </c>
      <c r="S344" s="316">
        <f t="shared" si="65"/>
        <v>0</v>
      </c>
    </row>
    <row r="345" spans="1:19">
      <c r="A345" s="150"/>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0.03</v>
      </c>
      <c r="R345" s="662">
        <f t="shared" si="63"/>
        <v>0</v>
      </c>
      <c r="S345" s="316">
        <f t="shared" si="65"/>
        <v>0</v>
      </c>
    </row>
    <row r="346" spans="1:19">
      <c r="A346" s="150"/>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0.03</v>
      </c>
      <c r="R346" s="662">
        <f t="shared" ref="R346:R409" si="74">IF(B346="",0,ROUND($R$24*C346*E346*G346*I346*K346*M346*O346*Q346,0))</f>
        <v>0</v>
      </c>
      <c r="S346" s="316">
        <f t="shared" si="65"/>
        <v>0</v>
      </c>
    </row>
    <row r="347" spans="1:19">
      <c r="A347" s="150"/>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0.03</v>
      </c>
      <c r="R347" s="662">
        <f t="shared" si="74"/>
        <v>0</v>
      </c>
      <c r="S347" s="316">
        <f t="shared" si="65"/>
        <v>0</v>
      </c>
    </row>
    <row r="348" spans="1:19">
      <c r="A348" s="150"/>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0.03</v>
      </c>
      <c r="R348" s="662">
        <f t="shared" si="74"/>
        <v>0</v>
      </c>
      <c r="S348" s="316">
        <f t="shared" si="65"/>
        <v>0</v>
      </c>
    </row>
    <row r="349" spans="1:19">
      <c r="A349" s="150"/>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0.03</v>
      </c>
      <c r="R349" s="662">
        <f t="shared" si="74"/>
        <v>0</v>
      </c>
      <c r="S349" s="316">
        <f t="shared" si="65"/>
        <v>0</v>
      </c>
    </row>
    <row r="350" spans="1:19">
      <c r="A350" s="150"/>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0.03</v>
      </c>
      <c r="R350" s="662">
        <f t="shared" si="74"/>
        <v>0</v>
      </c>
      <c r="S350" s="316">
        <f t="shared" si="65"/>
        <v>0</v>
      </c>
    </row>
    <row r="351" spans="1:19">
      <c r="A351" s="150"/>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0.03</v>
      </c>
      <c r="R351" s="662">
        <f t="shared" si="74"/>
        <v>0</v>
      </c>
      <c r="S351" s="316">
        <f t="shared" si="65"/>
        <v>0</v>
      </c>
    </row>
    <row r="352" spans="1:19">
      <c r="A352" s="150"/>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0.03</v>
      </c>
      <c r="R352" s="662">
        <f t="shared" si="74"/>
        <v>0</v>
      </c>
      <c r="S352" s="316">
        <f t="shared" si="65"/>
        <v>0</v>
      </c>
    </row>
    <row r="353" spans="1:19">
      <c r="A353" s="150"/>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0.03</v>
      </c>
      <c r="R353" s="662">
        <f t="shared" si="74"/>
        <v>0</v>
      </c>
      <c r="S353" s="316">
        <f t="shared" si="65"/>
        <v>0</v>
      </c>
    </row>
    <row r="354" spans="1:19">
      <c r="A354" s="150"/>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0.03</v>
      </c>
      <c r="R354" s="662">
        <f t="shared" si="74"/>
        <v>0</v>
      </c>
      <c r="S354" s="316">
        <f t="shared" si="65"/>
        <v>0</v>
      </c>
    </row>
    <row r="355" spans="1:19">
      <c r="A355" s="150"/>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0.03</v>
      </c>
      <c r="R355" s="662">
        <f t="shared" si="74"/>
        <v>0</v>
      </c>
      <c r="S355" s="316">
        <f t="shared" si="65"/>
        <v>0</v>
      </c>
    </row>
    <row r="356" spans="1:19">
      <c r="A356" s="150"/>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0.03</v>
      </c>
      <c r="R356" s="662">
        <f t="shared" si="74"/>
        <v>0</v>
      </c>
      <c r="S356" s="316">
        <f t="shared" si="65"/>
        <v>0</v>
      </c>
    </row>
    <row r="357" spans="1:19">
      <c r="A357" s="150"/>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0.03</v>
      </c>
      <c r="R357" s="662">
        <f t="shared" si="74"/>
        <v>0</v>
      </c>
      <c r="S357" s="316">
        <f t="shared" si="65"/>
        <v>0</v>
      </c>
    </row>
    <row r="358" spans="1:19">
      <c r="A358" s="150"/>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0.03</v>
      </c>
      <c r="R358" s="662">
        <f t="shared" si="74"/>
        <v>0</v>
      </c>
      <c r="S358" s="316">
        <f t="shared" si="65"/>
        <v>0</v>
      </c>
    </row>
    <row r="359" spans="1:19">
      <c r="A359" s="150"/>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0.03</v>
      </c>
      <c r="R359" s="662">
        <f t="shared" si="74"/>
        <v>0</v>
      </c>
      <c r="S359" s="316">
        <f t="shared" si="65"/>
        <v>0</v>
      </c>
    </row>
    <row r="360" spans="1:19">
      <c r="A360" s="150"/>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0.03</v>
      </c>
      <c r="R360" s="662">
        <f t="shared" si="74"/>
        <v>0</v>
      </c>
      <c r="S360" s="316">
        <f t="shared" si="65"/>
        <v>0</v>
      </c>
    </row>
    <row r="361" spans="1:19">
      <c r="A361" s="150"/>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0.03</v>
      </c>
      <c r="R361" s="662">
        <f t="shared" si="74"/>
        <v>0</v>
      </c>
      <c r="S361" s="316">
        <f t="shared" si="65"/>
        <v>0</v>
      </c>
    </row>
    <row r="362" spans="1:19">
      <c r="A362" s="150"/>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0.03</v>
      </c>
      <c r="R362" s="662">
        <f t="shared" si="74"/>
        <v>0</v>
      </c>
      <c r="S362" s="316">
        <f t="shared" si="65"/>
        <v>0</v>
      </c>
    </row>
    <row r="363" spans="1:19">
      <c r="A363" s="150"/>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0.03</v>
      </c>
      <c r="R363" s="662">
        <f t="shared" si="74"/>
        <v>0</v>
      </c>
      <c r="S363" s="316">
        <f t="shared" si="65"/>
        <v>0</v>
      </c>
    </row>
    <row r="364" spans="1:19">
      <c r="A364" s="150"/>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0.03</v>
      </c>
      <c r="R364" s="662">
        <f t="shared" si="74"/>
        <v>0</v>
      </c>
      <c r="S364" s="316">
        <f t="shared" si="65"/>
        <v>0</v>
      </c>
    </row>
    <row r="365" spans="1:19">
      <c r="A365" s="150"/>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0.03</v>
      </c>
      <c r="R365" s="662">
        <f t="shared" si="74"/>
        <v>0</v>
      </c>
      <c r="S365" s="316">
        <f t="shared" si="65"/>
        <v>0</v>
      </c>
    </row>
    <row r="366" spans="1:19">
      <c r="A366" s="150"/>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0.03</v>
      </c>
      <c r="R366" s="662">
        <f t="shared" si="74"/>
        <v>0</v>
      </c>
      <c r="S366" s="316">
        <f t="shared" si="65"/>
        <v>0</v>
      </c>
    </row>
    <row r="367" spans="1:19">
      <c r="A367" s="150"/>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0.03</v>
      </c>
      <c r="R367" s="662">
        <f t="shared" si="74"/>
        <v>0</v>
      </c>
      <c r="S367" s="316">
        <f t="shared" si="65"/>
        <v>0</v>
      </c>
    </row>
    <row r="368" spans="1:19">
      <c r="A368" s="150"/>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0.03</v>
      </c>
      <c r="R368" s="662">
        <f t="shared" si="74"/>
        <v>0</v>
      </c>
      <c r="S368" s="316">
        <f t="shared" si="65"/>
        <v>0</v>
      </c>
    </row>
    <row r="369" spans="1:19">
      <c r="A369" s="150"/>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0.03</v>
      </c>
      <c r="R369" s="662">
        <f t="shared" si="74"/>
        <v>0</v>
      </c>
      <c r="S369" s="316">
        <f t="shared" si="65"/>
        <v>0</v>
      </c>
    </row>
    <row r="370" spans="1:19">
      <c r="A370" s="150"/>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0.03</v>
      </c>
      <c r="R370" s="662">
        <f t="shared" si="74"/>
        <v>0</v>
      </c>
      <c r="S370" s="316">
        <f t="shared" si="65"/>
        <v>0</v>
      </c>
    </row>
    <row r="371" spans="1:19">
      <c r="A371" s="150"/>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0.03</v>
      </c>
      <c r="R371" s="662">
        <f t="shared" si="74"/>
        <v>0</v>
      </c>
      <c r="S371" s="316">
        <f t="shared" si="65"/>
        <v>0</v>
      </c>
    </row>
    <row r="372" spans="1:19">
      <c r="A372" s="150"/>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0.03</v>
      </c>
      <c r="R372" s="662">
        <f t="shared" si="74"/>
        <v>0</v>
      </c>
      <c r="S372" s="316">
        <f t="shared" si="65"/>
        <v>0</v>
      </c>
    </row>
    <row r="373" spans="1:19">
      <c r="A373" s="150"/>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0.03</v>
      </c>
      <c r="R373" s="662">
        <f t="shared" si="74"/>
        <v>0</v>
      </c>
      <c r="S373" s="316">
        <f t="shared" si="65"/>
        <v>0</v>
      </c>
    </row>
    <row r="374" spans="1:19">
      <c r="A374" s="150"/>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0.03</v>
      </c>
      <c r="R374" s="662">
        <f t="shared" si="74"/>
        <v>0</v>
      </c>
      <c r="S374" s="316">
        <f t="shared" si="65"/>
        <v>0</v>
      </c>
    </row>
    <row r="375" spans="1:19">
      <c r="A375" s="150"/>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0.03</v>
      </c>
      <c r="R375" s="662">
        <f t="shared" si="74"/>
        <v>0</v>
      </c>
      <c r="S375" s="316">
        <f t="shared" si="65"/>
        <v>0</v>
      </c>
    </row>
    <row r="376" spans="1:19">
      <c r="A376" s="150"/>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0.03</v>
      </c>
      <c r="R376" s="662">
        <f t="shared" si="74"/>
        <v>0</v>
      </c>
      <c r="S376" s="316">
        <f t="shared" si="65"/>
        <v>0</v>
      </c>
    </row>
    <row r="377" spans="1:19">
      <c r="A377" s="150"/>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0.03</v>
      </c>
      <c r="R377" s="662">
        <f t="shared" si="74"/>
        <v>0</v>
      </c>
      <c r="S377" s="316">
        <f t="shared" si="65"/>
        <v>0</v>
      </c>
    </row>
    <row r="378" spans="1:19">
      <c r="A378" s="150"/>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0.03</v>
      </c>
      <c r="R378" s="662">
        <f t="shared" si="74"/>
        <v>0</v>
      </c>
      <c r="S378" s="316">
        <f t="shared" si="65"/>
        <v>0</v>
      </c>
    </row>
    <row r="379" spans="1:19">
      <c r="A379" s="150"/>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0.03</v>
      </c>
      <c r="R379" s="662">
        <f t="shared" si="74"/>
        <v>0</v>
      </c>
      <c r="S379" s="316">
        <f t="shared" si="65"/>
        <v>0</v>
      </c>
    </row>
    <row r="380" spans="1:19">
      <c r="A380" s="150"/>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0.03</v>
      </c>
      <c r="R380" s="662">
        <f t="shared" si="74"/>
        <v>0</v>
      </c>
      <c r="S380" s="316">
        <f t="shared" si="65"/>
        <v>0</v>
      </c>
    </row>
    <row r="381" spans="1:19">
      <c r="A381" s="150"/>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0.03</v>
      </c>
      <c r="R381" s="662">
        <f t="shared" si="74"/>
        <v>0</v>
      </c>
      <c r="S381" s="316">
        <f t="shared" si="65"/>
        <v>0</v>
      </c>
    </row>
    <row r="382" spans="1:19">
      <c r="A382" s="150"/>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0.03</v>
      </c>
      <c r="R382" s="662">
        <f t="shared" si="74"/>
        <v>0</v>
      </c>
      <c r="S382" s="316">
        <f t="shared" si="65"/>
        <v>0</v>
      </c>
    </row>
    <row r="383" spans="1:19">
      <c r="A383" s="150"/>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0.03</v>
      </c>
      <c r="R383" s="662">
        <f t="shared" si="74"/>
        <v>0</v>
      </c>
      <c r="S383" s="316">
        <f t="shared" si="65"/>
        <v>0</v>
      </c>
    </row>
    <row r="384" spans="1:19">
      <c r="A384" s="150"/>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0.03</v>
      </c>
      <c r="R384" s="662">
        <f t="shared" si="74"/>
        <v>0</v>
      </c>
      <c r="S384" s="316">
        <f t="shared" si="65"/>
        <v>0</v>
      </c>
    </row>
    <row r="385" spans="1:19">
      <c r="A385" s="150"/>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0.03</v>
      </c>
      <c r="R385" s="662">
        <f t="shared" si="74"/>
        <v>0</v>
      </c>
      <c r="S385" s="316">
        <f t="shared" ref="S385:S422" si="75">ROUND(R385*B385/10000,0)</f>
        <v>0</v>
      </c>
    </row>
    <row r="386" spans="1:19">
      <c r="A386" s="150"/>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0.03</v>
      </c>
      <c r="R386" s="662">
        <f t="shared" si="74"/>
        <v>0</v>
      </c>
      <c r="S386" s="316">
        <f t="shared" si="75"/>
        <v>0</v>
      </c>
    </row>
    <row r="387" spans="1:19">
      <c r="A387" s="150"/>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0.03</v>
      </c>
      <c r="R387" s="662">
        <f t="shared" si="74"/>
        <v>0</v>
      </c>
      <c r="S387" s="316">
        <f t="shared" si="75"/>
        <v>0</v>
      </c>
    </row>
    <row r="388" spans="1:19">
      <c r="A388" s="150"/>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0.03</v>
      </c>
      <c r="R388" s="662">
        <f t="shared" si="74"/>
        <v>0</v>
      </c>
      <c r="S388" s="316">
        <f t="shared" si="75"/>
        <v>0</v>
      </c>
    </row>
    <row r="389" spans="1:19">
      <c r="A389" s="150"/>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0.03</v>
      </c>
      <c r="R389" s="662">
        <f t="shared" si="74"/>
        <v>0</v>
      </c>
      <c r="S389" s="316">
        <f t="shared" si="75"/>
        <v>0</v>
      </c>
    </row>
    <row r="390" spans="1:19">
      <c r="A390" s="150"/>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0.03</v>
      </c>
      <c r="R390" s="662">
        <f t="shared" si="74"/>
        <v>0</v>
      </c>
      <c r="S390" s="316">
        <f t="shared" si="75"/>
        <v>0</v>
      </c>
    </row>
    <row r="391" spans="1:19">
      <c r="A391" s="150"/>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0.03</v>
      </c>
      <c r="R391" s="662">
        <f t="shared" si="74"/>
        <v>0</v>
      </c>
      <c r="S391" s="316">
        <f t="shared" si="75"/>
        <v>0</v>
      </c>
    </row>
    <row r="392" spans="1:19">
      <c r="A392" s="150"/>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0.03</v>
      </c>
      <c r="R392" s="662">
        <f t="shared" si="74"/>
        <v>0</v>
      </c>
      <c r="S392" s="316">
        <f t="shared" si="75"/>
        <v>0</v>
      </c>
    </row>
    <row r="393" spans="1:19">
      <c r="A393" s="150"/>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0.03</v>
      </c>
      <c r="R393" s="662">
        <f t="shared" si="74"/>
        <v>0</v>
      </c>
      <c r="S393" s="316">
        <f t="shared" si="75"/>
        <v>0</v>
      </c>
    </row>
    <row r="394" spans="1:19">
      <c r="A394" s="150"/>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0.03</v>
      </c>
      <c r="R394" s="662">
        <f t="shared" si="74"/>
        <v>0</v>
      </c>
      <c r="S394" s="316">
        <f t="shared" si="75"/>
        <v>0</v>
      </c>
    </row>
    <row r="395" spans="1:19">
      <c r="A395" s="150"/>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0.03</v>
      </c>
      <c r="R395" s="662">
        <f t="shared" si="74"/>
        <v>0</v>
      </c>
      <c r="S395" s="316">
        <f t="shared" si="75"/>
        <v>0</v>
      </c>
    </row>
    <row r="396" spans="1:19">
      <c r="A396" s="150"/>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0.03</v>
      </c>
      <c r="R396" s="662">
        <f t="shared" si="74"/>
        <v>0</v>
      </c>
      <c r="S396" s="316">
        <f t="shared" si="75"/>
        <v>0</v>
      </c>
    </row>
    <row r="397" spans="1:19">
      <c r="A397" s="150"/>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0.03</v>
      </c>
      <c r="R397" s="662">
        <f t="shared" si="74"/>
        <v>0</v>
      </c>
      <c r="S397" s="316">
        <f t="shared" si="75"/>
        <v>0</v>
      </c>
    </row>
    <row r="398" spans="1:19">
      <c r="A398" s="150"/>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0.03</v>
      </c>
      <c r="R398" s="662">
        <f t="shared" si="74"/>
        <v>0</v>
      </c>
      <c r="S398" s="316">
        <f t="shared" si="75"/>
        <v>0</v>
      </c>
    </row>
    <row r="399" spans="1:19">
      <c r="A399" s="150"/>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0.03</v>
      </c>
      <c r="R399" s="662">
        <f t="shared" si="74"/>
        <v>0</v>
      </c>
      <c r="S399" s="316">
        <f t="shared" si="75"/>
        <v>0</v>
      </c>
    </row>
    <row r="400" spans="1:19">
      <c r="A400" s="150"/>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0.03</v>
      </c>
      <c r="R400" s="662">
        <f t="shared" si="74"/>
        <v>0</v>
      </c>
      <c r="S400" s="316">
        <f t="shared" si="75"/>
        <v>0</v>
      </c>
    </row>
    <row r="401" spans="1:19">
      <c r="A401" s="150"/>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0.03</v>
      </c>
      <c r="R401" s="662">
        <f t="shared" si="74"/>
        <v>0</v>
      </c>
      <c r="S401" s="316">
        <f t="shared" si="75"/>
        <v>0</v>
      </c>
    </row>
    <row r="402" spans="1:19">
      <c r="A402" s="150"/>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0.03</v>
      </c>
      <c r="R402" s="662">
        <f t="shared" si="74"/>
        <v>0</v>
      </c>
      <c r="S402" s="316">
        <f t="shared" si="75"/>
        <v>0</v>
      </c>
    </row>
    <row r="403" spans="1:19">
      <c r="A403" s="150"/>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0.03</v>
      </c>
      <c r="R403" s="662">
        <f t="shared" si="74"/>
        <v>0</v>
      </c>
      <c r="S403" s="316">
        <f t="shared" si="75"/>
        <v>0</v>
      </c>
    </row>
    <row r="404" spans="1:19">
      <c r="A404" s="150"/>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0.03</v>
      </c>
      <c r="R404" s="662">
        <f t="shared" si="74"/>
        <v>0</v>
      </c>
      <c r="S404" s="316">
        <f t="shared" si="75"/>
        <v>0</v>
      </c>
    </row>
    <row r="405" spans="1:19">
      <c r="A405" s="150"/>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0.03</v>
      </c>
      <c r="R405" s="662">
        <f t="shared" si="74"/>
        <v>0</v>
      </c>
      <c r="S405" s="316">
        <f t="shared" si="75"/>
        <v>0</v>
      </c>
    </row>
    <row r="406" spans="1:19">
      <c r="A406" s="150"/>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0.03</v>
      </c>
      <c r="R406" s="662">
        <f t="shared" si="74"/>
        <v>0</v>
      </c>
      <c r="S406" s="316">
        <f t="shared" si="75"/>
        <v>0</v>
      </c>
    </row>
    <row r="407" spans="1:19">
      <c r="A407" s="150"/>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0.03</v>
      </c>
      <c r="R407" s="662">
        <f t="shared" si="74"/>
        <v>0</v>
      </c>
      <c r="S407" s="316">
        <f t="shared" si="75"/>
        <v>0</v>
      </c>
    </row>
    <row r="408" spans="1:19">
      <c r="A408" s="150"/>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0.03</v>
      </c>
      <c r="R408" s="662">
        <f t="shared" si="74"/>
        <v>0</v>
      </c>
      <c r="S408" s="316">
        <f t="shared" si="75"/>
        <v>0</v>
      </c>
    </row>
    <row r="409" spans="1:19">
      <c r="A409" s="150"/>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0.03</v>
      </c>
      <c r="R409" s="662">
        <f t="shared" si="74"/>
        <v>0</v>
      </c>
      <c r="S409" s="316">
        <f t="shared" si="75"/>
        <v>0</v>
      </c>
    </row>
    <row r="410" spans="1:19">
      <c r="A410" s="150"/>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0.03</v>
      </c>
      <c r="R410" s="662">
        <f t="shared" ref="R410:R473" si="84">IF(B410="",0,ROUND($R$24*C410*E410*G410*I410*K410*M410*O410*Q410,0))</f>
        <v>0</v>
      </c>
      <c r="S410" s="316">
        <f t="shared" si="75"/>
        <v>0</v>
      </c>
    </row>
    <row r="411" spans="1:19">
      <c r="A411" s="150"/>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0.03</v>
      </c>
      <c r="R411" s="662">
        <f t="shared" si="84"/>
        <v>0</v>
      </c>
      <c r="S411" s="316">
        <f t="shared" si="75"/>
        <v>0</v>
      </c>
    </row>
    <row r="412" spans="1:19">
      <c r="A412" s="150"/>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0.03</v>
      </c>
      <c r="R412" s="662">
        <f t="shared" si="84"/>
        <v>0</v>
      </c>
      <c r="S412" s="316">
        <f t="shared" si="75"/>
        <v>0</v>
      </c>
    </row>
    <row r="413" spans="1:19">
      <c r="A413" s="150"/>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0.03</v>
      </c>
      <c r="R413" s="662">
        <f t="shared" si="84"/>
        <v>0</v>
      </c>
      <c r="S413" s="316">
        <f t="shared" si="75"/>
        <v>0</v>
      </c>
    </row>
    <row r="414" spans="1:19">
      <c r="A414" s="150"/>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0.03</v>
      </c>
      <c r="R414" s="662">
        <f t="shared" si="84"/>
        <v>0</v>
      </c>
      <c r="S414" s="316">
        <f t="shared" si="75"/>
        <v>0</v>
      </c>
    </row>
    <row r="415" spans="1:19">
      <c r="A415" s="150"/>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0.03</v>
      </c>
      <c r="R415" s="662">
        <f t="shared" si="84"/>
        <v>0</v>
      </c>
      <c r="S415" s="316">
        <f t="shared" si="75"/>
        <v>0</v>
      </c>
    </row>
    <row r="416" spans="1:19">
      <c r="A416" s="150"/>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0.03</v>
      </c>
      <c r="R416" s="662">
        <f t="shared" si="84"/>
        <v>0</v>
      </c>
      <c r="S416" s="316">
        <f t="shared" si="75"/>
        <v>0</v>
      </c>
    </row>
    <row r="417" spans="1:19">
      <c r="A417" s="150"/>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0.03</v>
      </c>
      <c r="R417" s="662">
        <f t="shared" si="84"/>
        <v>0</v>
      </c>
      <c r="S417" s="316">
        <f t="shared" si="75"/>
        <v>0</v>
      </c>
    </row>
    <row r="418" spans="1:19">
      <c r="A418" s="150"/>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0.03</v>
      </c>
      <c r="R418" s="662">
        <f t="shared" si="84"/>
        <v>0</v>
      </c>
      <c r="S418" s="316">
        <f t="shared" si="75"/>
        <v>0</v>
      </c>
    </row>
    <row r="419" spans="1:19">
      <c r="A419" s="150"/>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0.03</v>
      </c>
      <c r="R419" s="662">
        <f t="shared" si="84"/>
        <v>0</v>
      </c>
      <c r="S419" s="316">
        <f t="shared" si="75"/>
        <v>0</v>
      </c>
    </row>
    <row r="420" spans="1:19">
      <c r="A420" s="150"/>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0.03</v>
      </c>
      <c r="R420" s="662">
        <f t="shared" si="84"/>
        <v>0</v>
      </c>
      <c r="S420" s="316">
        <f t="shared" si="75"/>
        <v>0</v>
      </c>
    </row>
    <row r="421" spans="1:19">
      <c r="A421" s="150"/>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0.03</v>
      </c>
      <c r="R421" s="662">
        <f t="shared" si="84"/>
        <v>0</v>
      </c>
      <c r="S421" s="316">
        <f t="shared" si="75"/>
        <v>0</v>
      </c>
    </row>
    <row r="422" spans="1:19">
      <c r="A422" s="150"/>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0.03</v>
      </c>
      <c r="R422" s="662">
        <f t="shared" si="84"/>
        <v>0</v>
      </c>
      <c r="S422" s="316">
        <f t="shared" si="75"/>
        <v>0</v>
      </c>
    </row>
    <row r="423" spans="1:19">
      <c r="A423" s="150"/>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0.03</v>
      </c>
      <c r="R423" s="662">
        <f t="shared" si="84"/>
        <v>0</v>
      </c>
      <c r="S423" s="316">
        <f t="shared" ref="S423:S467" si="85">ROUND(R423*B423/10000,0)</f>
        <v>0</v>
      </c>
    </row>
    <row r="424" spans="1:19">
      <c r="A424" s="150"/>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0.03</v>
      </c>
      <c r="R424" s="662">
        <f t="shared" si="84"/>
        <v>0</v>
      </c>
      <c r="S424" s="316">
        <f t="shared" si="85"/>
        <v>0</v>
      </c>
    </row>
    <row r="425" spans="1:19">
      <c r="A425" s="150"/>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0.03</v>
      </c>
      <c r="R425" s="662">
        <f t="shared" si="84"/>
        <v>0</v>
      </c>
      <c r="S425" s="316">
        <f t="shared" si="85"/>
        <v>0</v>
      </c>
    </row>
    <row r="426" spans="1:19">
      <c r="A426" s="150"/>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0.03</v>
      </c>
      <c r="R426" s="662">
        <f t="shared" si="84"/>
        <v>0</v>
      </c>
      <c r="S426" s="316">
        <f t="shared" si="85"/>
        <v>0</v>
      </c>
    </row>
    <row r="427" spans="1:19">
      <c r="A427" s="150"/>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0.03</v>
      </c>
      <c r="R427" s="662">
        <f t="shared" si="84"/>
        <v>0</v>
      </c>
      <c r="S427" s="316">
        <f t="shared" si="85"/>
        <v>0</v>
      </c>
    </row>
    <row r="428" spans="1:19">
      <c r="A428" s="150"/>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0.03</v>
      </c>
      <c r="R428" s="662">
        <f t="shared" si="84"/>
        <v>0</v>
      </c>
      <c r="S428" s="316">
        <f t="shared" si="85"/>
        <v>0</v>
      </c>
    </row>
    <row r="429" spans="1:19">
      <c r="A429" s="150"/>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0.03</v>
      </c>
      <c r="R429" s="662">
        <f t="shared" si="84"/>
        <v>0</v>
      </c>
      <c r="S429" s="316">
        <f t="shared" si="85"/>
        <v>0</v>
      </c>
    </row>
    <row r="430" spans="1:19">
      <c r="A430" s="150"/>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0.03</v>
      </c>
      <c r="R430" s="662">
        <f t="shared" si="84"/>
        <v>0</v>
      </c>
      <c r="S430" s="316">
        <f t="shared" si="85"/>
        <v>0</v>
      </c>
    </row>
    <row r="431" spans="1:19">
      <c r="A431" s="150"/>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0.03</v>
      </c>
      <c r="R431" s="662">
        <f t="shared" si="84"/>
        <v>0</v>
      </c>
      <c r="S431" s="316">
        <f t="shared" si="85"/>
        <v>0</v>
      </c>
    </row>
    <row r="432" spans="1:19">
      <c r="A432" s="150"/>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0.03</v>
      </c>
      <c r="R432" s="662">
        <f t="shared" si="84"/>
        <v>0</v>
      </c>
      <c r="S432" s="316">
        <f t="shared" si="85"/>
        <v>0</v>
      </c>
    </row>
    <row r="433" spans="1:19">
      <c r="A433" s="150"/>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0.03</v>
      </c>
      <c r="R433" s="662">
        <f t="shared" si="84"/>
        <v>0</v>
      </c>
      <c r="S433" s="316">
        <f t="shared" si="85"/>
        <v>0</v>
      </c>
    </row>
    <row r="434" spans="1:19">
      <c r="A434" s="150"/>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0.03</v>
      </c>
      <c r="R434" s="662">
        <f t="shared" si="84"/>
        <v>0</v>
      </c>
      <c r="S434" s="316">
        <f t="shared" si="85"/>
        <v>0</v>
      </c>
    </row>
    <row r="435" spans="1:19">
      <c r="A435" s="150"/>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0.03</v>
      </c>
      <c r="R435" s="662">
        <f t="shared" si="84"/>
        <v>0</v>
      </c>
      <c r="S435" s="316">
        <f t="shared" si="85"/>
        <v>0</v>
      </c>
    </row>
    <row r="436" spans="1:19">
      <c r="A436" s="150"/>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0.03</v>
      </c>
      <c r="R436" s="662">
        <f t="shared" si="84"/>
        <v>0</v>
      </c>
      <c r="S436" s="316">
        <f t="shared" si="85"/>
        <v>0</v>
      </c>
    </row>
    <row r="437" spans="1:19">
      <c r="A437" s="150"/>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0.03</v>
      </c>
      <c r="R437" s="662">
        <f t="shared" si="84"/>
        <v>0</v>
      </c>
      <c r="S437" s="316">
        <f t="shared" si="85"/>
        <v>0</v>
      </c>
    </row>
    <row r="438" spans="1:19">
      <c r="A438" s="150"/>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0.03</v>
      </c>
      <c r="R438" s="662">
        <f t="shared" si="84"/>
        <v>0</v>
      </c>
      <c r="S438" s="316">
        <f t="shared" si="85"/>
        <v>0</v>
      </c>
    </row>
    <row r="439" spans="1:19">
      <c r="A439" s="150"/>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0.03</v>
      </c>
      <c r="R439" s="662">
        <f t="shared" si="84"/>
        <v>0</v>
      </c>
      <c r="S439" s="316">
        <f t="shared" si="85"/>
        <v>0</v>
      </c>
    </row>
    <row r="440" spans="1:19">
      <c r="A440" s="150"/>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0.03</v>
      </c>
      <c r="R440" s="662">
        <f t="shared" si="84"/>
        <v>0</v>
      </c>
      <c r="S440" s="316">
        <f t="shared" si="85"/>
        <v>0</v>
      </c>
    </row>
    <row r="441" spans="1:19">
      <c r="A441" s="150"/>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0.03</v>
      </c>
      <c r="R441" s="662">
        <f t="shared" si="84"/>
        <v>0</v>
      </c>
      <c r="S441" s="316">
        <f t="shared" si="85"/>
        <v>0</v>
      </c>
    </row>
    <row r="442" spans="1:19">
      <c r="A442" s="150"/>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0.03</v>
      </c>
      <c r="R442" s="662">
        <f t="shared" si="84"/>
        <v>0</v>
      </c>
      <c r="S442" s="316">
        <f t="shared" si="85"/>
        <v>0</v>
      </c>
    </row>
    <row r="443" spans="1:19">
      <c r="A443" s="150"/>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0.03</v>
      </c>
      <c r="R443" s="662">
        <f t="shared" si="84"/>
        <v>0</v>
      </c>
      <c r="S443" s="316">
        <f t="shared" si="85"/>
        <v>0</v>
      </c>
    </row>
    <row r="444" spans="1:19">
      <c r="A444" s="150"/>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0.03</v>
      </c>
      <c r="R444" s="662">
        <f t="shared" si="84"/>
        <v>0</v>
      </c>
      <c r="S444" s="316">
        <f t="shared" si="85"/>
        <v>0</v>
      </c>
    </row>
    <row r="445" spans="1:19">
      <c r="A445" s="150"/>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0.03</v>
      </c>
      <c r="R445" s="662">
        <f t="shared" si="84"/>
        <v>0</v>
      </c>
      <c r="S445" s="316">
        <f t="shared" si="85"/>
        <v>0</v>
      </c>
    </row>
    <row r="446" spans="1:19">
      <c r="A446" s="150"/>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0.03</v>
      </c>
      <c r="R446" s="662">
        <f t="shared" si="84"/>
        <v>0</v>
      </c>
      <c r="S446" s="316">
        <f t="shared" si="85"/>
        <v>0</v>
      </c>
    </row>
    <row r="447" spans="1:19">
      <c r="A447" s="150"/>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0.03</v>
      </c>
      <c r="R447" s="662">
        <f t="shared" si="84"/>
        <v>0</v>
      </c>
      <c r="S447" s="316">
        <f t="shared" si="85"/>
        <v>0</v>
      </c>
    </row>
    <row r="448" spans="1:19">
      <c r="A448" s="150"/>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0.03</v>
      </c>
      <c r="R448" s="662">
        <f t="shared" si="84"/>
        <v>0</v>
      </c>
      <c r="S448" s="316">
        <f t="shared" si="85"/>
        <v>0</v>
      </c>
    </row>
    <row r="449" spans="1:19">
      <c r="A449" s="150"/>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0.03</v>
      </c>
      <c r="R449" s="662">
        <f t="shared" si="84"/>
        <v>0</v>
      </c>
      <c r="S449" s="316">
        <f t="shared" si="85"/>
        <v>0</v>
      </c>
    </row>
    <row r="450" spans="1:19">
      <c r="A450" s="150"/>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0.03</v>
      </c>
      <c r="R450" s="662">
        <f t="shared" si="84"/>
        <v>0</v>
      </c>
      <c r="S450" s="316">
        <f t="shared" si="85"/>
        <v>0</v>
      </c>
    </row>
    <row r="451" spans="1:19">
      <c r="A451" s="150"/>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0.03</v>
      </c>
      <c r="R451" s="662">
        <f t="shared" si="84"/>
        <v>0</v>
      </c>
      <c r="S451" s="316">
        <f t="shared" si="85"/>
        <v>0</v>
      </c>
    </row>
    <row r="452" spans="1:19">
      <c r="A452" s="150"/>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0.03</v>
      </c>
      <c r="R452" s="662">
        <f t="shared" si="84"/>
        <v>0</v>
      </c>
      <c r="S452" s="316">
        <f t="shared" si="85"/>
        <v>0</v>
      </c>
    </row>
    <row r="453" spans="1:19">
      <c r="A453" s="150"/>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0.03</v>
      </c>
      <c r="R453" s="662">
        <f t="shared" si="84"/>
        <v>0</v>
      </c>
      <c r="S453" s="316">
        <f t="shared" si="85"/>
        <v>0</v>
      </c>
    </row>
    <row r="454" spans="1:19">
      <c r="A454" s="150"/>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0.03</v>
      </c>
      <c r="R454" s="662">
        <f t="shared" si="84"/>
        <v>0</v>
      </c>
      <c r="S454" s="316">
        <f t="shared" si="85"/>
        <v>0</v>
      </c>
    </row>
    <row r="455" spans="1:19">
      <c r="A455" s="150"/>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0.03</v>
      </c>
      <c r="R455" s="662">
        <f t="shared" si="84"/>
        <v>0</v>
      </c>
      <c r="S455" s="316">
        <f t="shared" si="85"/>
        <v>0</v>
      </c>
    </row>
    <row r="456" spans="1:19">
      <c r="A456" s="150"/>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0.03</v>
      </c>
      <c r="R456" s="662">
        <f t="shared" si="84"/>
        <v>0</v>
      </c>
      <c r="S456" s="316">
        <f t="shared" si="85"/>
        <v>0</v>
      </c>
    </row>
    <row r="457" spans="1:19">
      <c r="A457" s="150"/>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0.03</v>
      </c>
      <c r="R457" s="662">
        <f t="shared" si="84"/>
        <v>0</v>
      </c>
      <c r="S457" s="316">
        <f t="shared" si="85"/>
        <v>0</v>
      </c>
    </row>
    <row r="458" spans="1:19">
      <c r="A458" s="150"/>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0.03</v>
      </c>
      <c r="R458" s="662">
        <f t="shared" si="84"/>
        <v>0</v>
      </c>
      <c r="S458" s="316">
        <f t="shared" si="85"/>
        <v>0</v>
      </c>
    </row>
    <row r="459" spans="1:19">
      <c r="A459" s="150"/>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0.03</v>
      </c>
      <c r="R459" s="662">
        <f t="shared" si="84"/>
        <v>0</v>
      </c>
      <c r="S459" s="316">
        <f t="shared" si="85"/>
        <v>0</v>
      </c>
    </row>
    <row r="460" spans="1:19">
      <c r="A460" s="150"/>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0.03</v>
      </c>
      <c r="R460" s="662">
        <f t="shared" si="84"/>
        <v>0</v>
      </c>
      <c r="S460" s="316">
        <f t="shared" si="85"/>
        <v>0</v>
      </c>
    </row>
    <row r="461" spans="1:19">
      <c r="A461" s="150"/>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0.03</v>
      </c>
      <c r="R461" s="662">
        <f t="shared" si="84"/>
        <v>0</v>
      </c>
      <c r="S461" s="316">
        <f t="shared" si="85"/>
        <v>0</v>
      </c>
    </row>
    <row r="462" spans="1:19">
      <c r="A462" s="150"/>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0.03</v>
      </c>
      <c r="R462" s="662">
        <f t="shared" si="84"/>
        <v>0</v>
      </c>
      <c r="S462" s="316">
        <f t="shared" si="85"/>
        <v>0</v>
      </c>
    </row>
    <row r="463" spans="1:19">
      <c r="A463" s="150"/>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0.03</v>
      </c>
      <c r="R463" s="662">
        <f t="shared" si="84"/>
        <v>0</v>
      </c>
      <c r="S463" s="316">
        <f t="shared" si="85"/>
        <v>0</v>
      </c>
    </row>
    <row r="464" spans="1:19">
      <c r="A464" s="150"/>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0.03</v>
      </c>
      <c r="R464" s="662">
        <f t="shared" si="84"/>
        <v>0</v>
      </c>
      <c r="S464" s="316">
        <f t="shared" si="85"/>
        <v>0</v>
      </c>
    </row>
    <row r="465" spans="1:19">
      <c r="A465" s="150"/>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0.03</v>
      </c>
      <c r="R465" s="662">
        <f t="shared" si="84"/>
        <v>0</v>
      </c>
      <c r="S465" s="316">
        <f t="shared" si="85"/>
        <v>0</v>
      </c>
    </row>
    <row r="466" spans="1:19">
      <c r="A466" s="150"/>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0.03</v>
      </c>
      <c r="R466" s="662">
        <f t="shared" si="84"/>
        <v>0</v>
      </c>
      <c r="S466" s="316">
        <f t="shared" si="85"/>
        <v>0</v>
      </c>
    </row>
    <row r="467" spans="1:19">
      <c r="A467" s="150"/>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0.03</v>
      </c>
      <c r="R467" s="662">
        <f t="shared" si="84"/>
        <v>0</v>
      </c>
      <c r="S467" s="316">
        <f t="shared" si="85"/>
        <v>0</v>
      </c>
    </row>
    <row r="468" spans="1:19">
      <c r="A468" s="150"/>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0.03</v>
      </c>
      <c r="R468" s="662">
        <f t="shared" si="84"/>
        <v>0</v>
      </c>
      <c r="S468" s="316">
        <f t="shared" ref="S468:S497" si="86">ROUND(R468*B468/10000,0)</f>
        <v>0</v>
      </c>
    </row>
    <row r="469" spans="1:19">
      <c r="A469" s="150"/>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0.03</v>
      </c>
      <c r="R469" s="662">
        <f t="shared" si="84"/>
        <v>0</v>
      </c>
      <c r="S469" s="316">
        <f t="shared" si="86"/>
        <v>0</v>
      </c>
    </row>
    <row r="470" spans="1:19">
      <c r="A470" s="150"/>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0.03</v>
      </c>
      <c r="R470" s="662">
        <f t="shared" si="84"/>
        <v>0</v>
      </c>
      <c r="S470" s="316">
        <f t="shared" si="86"/>
        <v>0</v>
      </c>
    </row>
    <row r="471" spans="1:19">
      <c r="A471" s="150"/>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0.03</v>
      </c>
      <c r="R471" s="662">
        <f t="shared" si="84"/>
        <v>0</v>
      </c>
      <c r="S471" s="316">
        <f t="shared" si="86"/>
        <v>0</v>
      </c>
    </row>
    <row r="472" spans="1:19">
      <c r="A472" s="150"/>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0.03</v>
      </c>
      <c r="R472" s="662">
        <f t="shared" si="84"/>
        <v>0</v>
      </c>
      <c r="S472" s="316">
        <f t="shared" si="86"/>
        <v>0</v>
      </c>
    </row>
    <row r="473" spans="1:19">
      <c r="A473" s="150"/>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0.03</v>
      </c>
      <c r="R473" s="662">
        <f t="shared" si="84"/>
        <v>0</v>
      </c>
      <c r="S473" s="316">
        <f t="shared" si="86"/>
        <v>0</v>
      </c>
    </row>
    <row r="474" spans="1:19">
      <c r="A474" s="150"/>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0.03</v>
      </c>
      <c r="R474" s="662">
        <f t="shared" ref="R474:R524" si="95">IF(B474="",0,ROUND($R$24*C474*E474*G474*I474*K474*M474*O474*Q474,0))</f>
        <v>0</v>
      </c>
      <c r="S474" s="316">
        <f t="shared" si="86"/>
        <v>0</v>
      </c>
    </row>
    <row r="475" spans="1:19">
      <c r="A475" s="150"/>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0.03</v>
      </c>
      <c r="R475" s="662">
        <f t="shared" si="95"/>
        <v>0</v>
      </c>
      <c r="S475" s="316">
        <f t="shared" si="86"/>
        <v>0</v>
      </c>
    </row>
    <row r="476" spans="1:19">
      <c r="A476" s="150"/>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0.03</v>
      </c>
      <c r="R476" s="662">
        <f t="shared" si="95"/>
        <v>0</v>
      </c>
      <c r="S476" s="316">
        <f t="shared" si="86"/>
        <v>0</v>
      </c>
    </row>
    <row r="477" spans="1:19">
      <c r="A477" s="150"/>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0.03</v>
      </c>
      <c r="R477" s="662">
        <f t="shared" si="95"/>
        <v>0</v>
      </c>
      <c r="S477" s="316">
        <f t="shared" si="86"/>
        <v>0</v>
      </c>
    </row>
    <row r="478" spans="1:19">
      <c r="A478" s="150"/>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0.03</v>
      </c>
      <c r="R478" s="662">
        <f t="shared" si="95"/>
        <v>0</v>
      </c>
      <c r="S478" s="316">
        <f t="shared" si="86"/>
        <v>0</v>
      </c>
    </row>
    <row r="479" spans="1:19">
      <c r="A479" s="150"/>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0.03</v>
      </c>
      <c r="R479" s="662">
        <f t="shared" si="95"/>
        <v>0</v>
      </c>
      <c r="S479" s="316">
        <f t="shared" si="86"/>
        <v>0</v>
      </c>
    </row>
    <row r="480" spans="1:19">
      <c r="A480" s="150"/>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0.03</v>
      </c>
      <c r="R480" s="662">
        <f t="shared" si="95"/>
        <v>0</v>
      </c>
      <c r="S480" s="316">
        <f t="shared" si="86"/>
        <v>0</v>
      </c>
    </row>
    <row r="481" spans="1:19">
      <c r="A481" s="150"/>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0.03</v>
      </c>
      <c r="R481" s="662">
        <f t="shared" si="95"/>
        <v>0</v>
      </c>
      <c r="S481" s="316">
        <f t="shared" si="86"/>
        <v>0</v>
      </c>
    </row>
    <row r="482" spans="1:19">
      <c r="A482" s="150"/>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0.03</v>
      </c>
      <c r="R482" s="662">
        <f t="shared" si="95"/>
        <v>0</v>
      </c>
      <c r="S482" s="316">
        <f t="shared" si="86"/>
        <v>0</v>
      </c>
    </row>
    <row r="483" spans="1:19">
      <c r="A483" s="150"/>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0.03</v>
      </c>
      <c r="R483" s="662">
        <f t="shared" si="95"/>
        <v>0</v>
      </c>
      <c r="S483" s="316">
        <f t="shared" si="86"/>
        <v>0</v>
      </c>
    </row>
    <row r="484" spans="1:19">
      <c r="A484" s="150"/>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0.03</v>
      </c>
      <c r="R484" s="662">
        <f t="shared" si="95"/>
        <v>0</v>
      </c>
      <c r="S484" s="316">
        <f t="shared" si="86"/>
        <v>0</v>
      </c>
    </row>
    <row r="485" spans="1:19">
      <c r="A485" s="150"/>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0.03</v>
      </c>
      <c r="R485" s="662">
        <f t="shared" si="95"/>
        <v>0</v>
      </c>
      <c r="S485" s="316">
        <f t="shared" si="86"/>
        <v>0</v>
      </c>
    </row>
    <row r="486" spans="1:19">
      <c r="A486" s="150"/>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0.03</v>
      </c>
      <c r="R486" s="662">
        <f t="shared" si="95"/>
        <v>0</v>
      </c>
      <c r="S486" s="316">
        <f t="shared" si="86"/>
        <v>0</v>
      </c>
    </row>
    <row r="487" spans="1:19">
      <c r="A487" s="150"/>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0.03</v>
      </c>
      <c r="R487" s="662">
        <f t="shared" si="95"/>
        <v>0</v>
      </c>
      <c r="S487" s="316">
        <f t="shared" si="86"/>
        <v>0</v>
      </c>
    </row>
    <row r="488" spans="1:19">
      <c r="A488" s="150"/>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0.03</v>
      </c>
      <c r="R488" s="662">
        <f t="shared" si="95"/>
        <v>0</v>
      </c>
      <c r="S488" s="316">
        <f t="shared" si="86"/>
        <v>0</v>
      </c>
    </row>
    <row r="489" spans="1:19">
      <c r="A489" s="150"/>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0.03</v>
      </c>
      <c r="R489" s="662">
        <f t="shared" si="95"/>
        <v>0</v>
      </c>
      <c r="S489" s="316">
        <f t="shared" si="86"/>
        <v>0</v>
      </c>
    </row>
    <row r="490" spans="1:19">
      <c r="A490" s="150"/>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0.03</v>
      </c>
      <c r="R490" s="662">
        <f t="shared" si="95"/>
        <v>0</v>
      </c>
      <c r="S490" s="316">
        <f t="shared" si="86"/>
        <v>0</v>
      </c>
    </row>
    <row r="491" spans="1:19">
      <c r="A491" s="150"/>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0.03</v>
      </c>
      <c r="R491" s="662">
        <f t="shared" si="95"/>
        <v>0</v>
      </c>
      <c r="S491" s="316">
        <f t="shared" si="86"/>
        <v>0</v>
      </c>
    </row>
    <row r="492" spans="1:19">
      <c r="A492" s="150"/>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0.03</v>
      </c>
      <c r="R492" s="662">
        <f t="shared" si="95"/>
        <v>0</v>
      </c>
      <c r="S492" s="316">
        <f t="shared" si="86"/>
        <v>0</v>
      </c>
    </row>
    <row r="493" spans="1:19">
      <c r="A493" s="150"/>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0.03</v>
      </c>
      <c r="R493" s="662">
        <f t="shared" si="95"/>
        <v>0</v>
      </c>
      <c r="S493" s="316">
        <f t="shared" si="86"/>
        <v>0</v>
      </c>
    </row>
    <row r="494" spans="1:19">
      <c r="A494" s="150"/>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0.03</v>
      </c>
      <c r="R494" s="662">
        <f t="shared" si="95"/>
        <v>0</v>
      </c>
      <c r="S494" s="316">
        <f t="shared" si="86"/>
        <v>0</v>
      </c>
    </row>
    <row r="495" spans="1:19">
      <c r="A495" s="150"/>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0.03</v>
      </c>
      <c r="R495" s="662">
        <f t="shared" si="95"/>
        <v>0</v>
      </c>
      <c r="S495" s="316">
        <f t="shared" si="86"/>
        <v>0</v>
      </c>
    </row>
    <row r="496" spans="1:19">
      <c r="A496" s="150"/>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0.03</v>
      </c>
      <c r="R496" s="662">
        <f t="shared" si="95"/>
        <v>0</v>
      </c>
      <c r="S496" s="316">
        <f t="shared" si="86"/>
        <v>0</v>
      </c>
    </row>
    <row r="497" spans="1:19">
      <c r="A497" s="150"/>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0.03</v>
      </c>
      <c r="R497" s="662">
        <f t="shared" si="95"/>
        <v>0</v>
      </c>
      <c r="S497" s="316">
        <f t="shared" si="86"/>
        <v>0</v>
      </c>
    </row>
    <row r="498" spans="1:19">
      <c r="A498" s="150"/>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0.03</v>
      </c>
      <c r="R498" s="662">
        <f t="shared" si="95"/>
        <v>0</v>
      </c>
      <c r="S498" s="316">
        <f t="shared" ref="S498:S524" si="96">ROUND(R498*B498/10000,0)</f>
        <v>0</v>
      </c>
    </row>
    <row r="499" spans="1:19">
      <c r="A499" s="150"/>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0.03</v>
      </c>
      <c r="R499" s="662">
        <f t="shared" si="95"/>
        <v>0</v>
      </c>
      <c r="S499" s="316">
        <f t="shared" si="96"/>
        <v>0</v>
      </c>
    </row>
    <row r="500" spans="1:19">
      <c r="A500" s="150"/>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0.03</v>
      </c>
      <c r="R500" s="662">
        <f t="shared" si="95"/>
        <v>0</v>
      </c>
      <c r="S500" s="316">
        <f t="shared" si="96"/>
        <v>0</v>
      </c>
    </row>
    <row r="501" spans="1:19">
      <c r="A501" s="150"/>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0.03</v>
      </c>
      <c r="R501" s="662">
        <f t="shared" si="95"/>
        <v>0</v>
      </c>
      <c r="S501" s="316">
        <f t="shared" si="96"/>
        <v>0</v>
      </c>
    </row>
    <row r="502" spans="1:19">
      <c r="A502" s="150"/>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0.03</v>
      </c>
      <c r="R502" s="662">
        <f t="shared" si="95"/>
        <v>0</v>
      </c>
      <c r="S502" s="316">
        <f t="shared" si="96"/>
        <v>0</v>
      </c>
    </row>
    <row r="503" spans="1:19">
      <c r="A503" s="150"/>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0.03</v>
      </c>
      <c r="R503" s="662">
        <f t="shared" si="95"/>
        <v>0</v>
      </c>
      <c r="S503" s="316">
        <f t="shared" si="96"/>
        <v>0</v>
      </c>
    </row>
    <row r="504" spans="1:19">
      <c r="A504" s="150"/>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0.03</v>
      </c>
      <c r="R504" s="662">
        <f t="shared" si="95"/>
        <v>0</v>
      </c>
      <c r="S504" s="316">
        <f t="shared" si="96"/>
        <v>0</v>
      </c>
    </row>
    <row r="505" spans="1:19">
      <c r="A505" s="150"/>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0.03</v>
      </c>
      <c r="R505" s="662">
        <f t="shared" si="95"/>
        <v>0</v>
      </c>
      <c r="S505" s="316">
        <f t="shared" si="96"/>
        <v>0</v>
      </c>
    </row>
    <row r="506" spans="1:19">
      <c r="A506" s="150"/>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0.03</v>
      </c>
      <c r="R506" s="662">
        <f t="shared" si="95"/>
        <v>0</v>
      </c>
      <c r="S506" s="316">
        <f t="shared" si="96"/>
        <v>0</v>
      </c>
    </row>
    <row r="507" spans="1:19">
      <c r="A507" s="150"/>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0.03</v>
      </c>
      <c r="R507" s="662">
        <f t="shared" si="95"/>
        <v>0</v>
      </c>
      <c r="S507" s="316">
        <f t="shared" si="96"/>
        <v>0</v>
      </c>
    </row>
    <row r="508" spans="1:19">
      <c r="A508" s="150"/>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0.03</v>
      </c>
      <c r="R508" s="662">
        <f t="shared" si="95"/>
        <v>0</v>
      </c>
      <c r="S508" s="316">
        <f t="shared" si="96"/>
        <v>0</v>
      </c>
    </row>
    <row r="509" spans="1:19">
      <c r="A509" s="150"/>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0.03</v>
      </c>
      <c r="R509" s="662">
        <f t="shared" si="95"/>
        <v>0</v>
      </c>
      <c r="S509" s="316">
        <f t="shared" si="96"/>
        <v>0</v>
      </c>
    </row>
    <row r="510" spans="1:19">
      <c r="A510" s="150"/>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0.03</v>
      </c>
      <c r="R510" s="662">
        <f t="shared" si="95"/>
        <v>0</v>
      </c>
      <c r="S510" s="316">
        <f t="shared" si="96"/>
        <v>0</v>
      </c>
    </row>
    <row r="511" spans="1:19">
      <c r="A511" s="150"/>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0.03</v>
      </c>
      <c r="R511" s="662">
        <f t="shared" si="95"/>
        <v>0</v>
      </c>
      <c r="S511" s="316">
        <f t="shared" si="96"/>
        <v>0</v>
      </c>
    </row>
    <row r="512" spans="1:19">
      <c r="A512" s="150"/>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0.03</v>
      </c>
      <c r="R512" s="662">
        <f t="shared" si="95"/>
        <v>0</v>
      </c>
      <c r="S512" s="316">
        <f t="shared" si="96"/>
        <v>0</v>
      </c>
    </row>
    <row r="513" spans="1:19">
      <c r="A513" s="150"/>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0.03</v>
      </c>
      <c r="R513" s="662">
        <f t="shared" si="95"/>
        <v>0</v>
      </c>
      <c r="S513" s="316">
        <f t="shared" si="96"/>
        <v>0</v>
      </c>
    </row>
    <row r="514" spans="1:19">
      <c r="A514" s="150"/>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0.03</v>
      </c>
      <c r="R514" s="662">
        <f t="shared" si="95"/>
        <v>0</v>
      </c>
      <c r="S514" s="316">
        <f t="shared" si="96"/>
        <v>0</v>
      </c>
    </row>
    <row r="515" spans="1:19">
      <c r="A515" s="150"/>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0.03</v>
      </c>
      <c r="R515" s="662">
        <f t="shared" si="95"/>
        <v>0</v>
      </c>
      <c r="S515" s="316">
        <f t="shared" si="96"/>
        <v>0</v>
      </c>
    </row>
    <row r="516" spans="1:19">
      <c r="A516" s="150"/>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0.03</v>
      </c>
      <c r="R516" s="662">
        <f t="shared" si="95"/>
        <v>0</v>
      </c>
      <c r="S516" s="316">
        <f t="shared" si="96"/>
        <v>0</v>
      </c>
    </row>
    <row r="517" spans="1:19">
      <c r="A517" s="150"/>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0.03</v>
      </c>
      <c r="R517" s="662">
        <f t="shared" si="95"/>
        <v>0</v>
      </c>
      <c r="S517" s="316">
        <f t="shared" si="96"/>
        <v>0</v>
      </c>
    </row>
    <row r="518" spans="1:19">
      <c r="A518" s="150"/>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0.03</v>
      </c>
      <c r="R518" s="662">
        <f t="shared" si="95"/>
        <v>0</v>
      </c>
      <c r="S518" s="316">
        <f t="shared" si="96"/>
        <v>0</v>
      </c>
    </row>
    <row r="519" spans="1:19">
      <c r="A519" s="150"/>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0.03</v>
      </c>
      <c r="R519" s="662">
        <f t="shared" si="95"/>
        <v>0</v>
      </c>
      <c r="S519" s="316">
        <f t="shared" si="96"/>
        <v>0</v>
      </c>
    </row>
    <row r="520" spans="1:19">
      <c r="A520" s="150"/>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0.03</v>
      </c>
      <c r="R520" s="662">
        <f t="shared" si="95"/>
        <v>0</v>
      </c>
      <c r="S520" s="316">
        <f t="shared" si="96"/>
        <v>0</v>
      </c>
    </row>
    <row r="521" spans="1:19">
      <c r="A521" s="150"/>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0.03</v>
      </c>
      <c r="R521" s="662">
        <f t="shared" si="95"/>
        <v>0</v>
      </c>
      <c r="S521" s="316">
        <f t="shared" si="96"/>
        <v>0</v>
      </c>
    </row>
    <row r="522" spans="1:19">
      <c r="A522" s="150"/>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0.03</v>
      </c>
      <c r="R522" s="662">
        <f t="shared" si="95"/>
        <v>0</v>
      </c>
      <c r="S522" s="316">
        <f t="shared" si="96"/>
        <v>0</v>
      </c>
    </row>
    <row r="523" spans="1:19">
      <c r="A523" s="150"/>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0.03</v>
      </c>
      <c r="R523" s="662">
        <f t="shared" si="95"/>
        <v>0</v>
      </c>
      <c r="S523" s="316">
        <f t="shared" si="96"/>
        <v>0</v>
      </c>
    </row>
    <row r="524" spans="1:19">
      <c r="A524" s="150"/>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0.03</v>
      </c>
      <c r="R524" s="662">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76"/>
      <c r="B4" s="3777"/>
      <c r="C4" s="3777"/>
      <c r="D4" s="3778"/>
      <c r="E4" s="3778"/>
      <c r="F4" s="3778"/>
      <c r="G4" s="3778"/>
      <c r="H4" s="3778"/>
      <c r="I4" s="3778"/>
      <c r="J4" s="3779"/>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3242</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73" t="s">
        <v>1960</v>
      </c>
      <c r="X8" s="377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75"/>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7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80" t="s">
        <v>3259</v>
      </c>
      <c r="B20" s="167" t="s">
        <v>1994</v>
      </c>
      <c r="C20" s="3323" t="e">
        <f>ROUND(IF(F21="与级别开发程度一致",0,(G21-E21)/C21),0)</f>
        <v>#DIV/0!</v>
      </c>
      <c r="D20" s="3339" t="s">
        <v>1998</v>
      </c>
      <c r="E20" s="3340"/>
      <c r="F20" s="3786" t="s">
        <v>1995</v>
      </c>
      <c r="G20" s="378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8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0">
        <v>44197</v>
      </c>
      <c r="F23" s="2052" t="s">
        <v>2003</v>
      </c>
      <c r="G23" s="761">
        <f>'数据-取费表'!B2</f>
        <v>45212</v>
      </c>
      <c r="H23" s="3341" t="s">
        <v>3261</v>
      </c>
      <c r="I23" s="3342" t="str">
        <f>IF(H23="季度增幅（自定义）",SUMIF(N25:N28,E2,O25:O28),"")</f>
        <v/>
      </c>
      <c r="J23" s="3444" t="s">
        <v>3260</v>
      </c>
      <c r="K23" s="1123"/>
      <c r="L23" s="2053" t="s">
        <v>2004</v>
      </c>
      <c r="M23" s="1326">
        <f>ROUND(SUMIF(地价!B2:G2,E2,地价!B16:G16),0)</f>
        <v>0</v>
      </c>
      <c r="N23" s="2054" t="s">
        <v>2005</v>
      </c>
      <c r="O23" s="762">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85"/>
      <c r="B39" s="2039" t="s">
        <v>3264</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4"/>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4"/>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4"/>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4"/>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4"/>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4"/>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4"/>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4"/>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4"/>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4"/>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4"/>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4"/>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5"/>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3">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6"/>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c r="D74" s="1063">
        <f t="shared" si="17"/>
        <v>0</v>
      </c>
      <c r="E74" s="746"/>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6"/>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6"/>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6"/>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6"/>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6"/>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7"/>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6"/>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6"/>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6"/>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6"/>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6"/>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2" t="s">
        <v>3299</v>
      </c>
      <c r="B103" s="3782"/>
      <c r="C103" s="3782"/>
      <c r="D103" s="3782"/>
      <c r="E103" s="3782"/>
      <c r="F103" s="3782"/>
      <c r="G103" s="3782"/>
      <c r="H103" s="3782"/>
      <c r="I103" s="3782"/>
      <c r="J103" s="3782"/>
      <c r="K103" s="3388"/>
      <c r="L103" s="3388"/>
      <c r="M103" s="3388"/>
      <c r="N103" s="3388"/>
    </row>
    <row r="104" spans="1:14">
      <c r="A104" s="3783" t="s">
        <v>3300</v>
      </c>
      <c r="B104" s="3783" t="s">
        <v>3301</v>
      </c>
      <c r="C104" s="3389" t="s">
        <v>3302</v>
      </c>
      <c r="D104" s="3390"/>
      <c r="E104" s="3390"/>
      <c r="F104" s="3390"/>
      <c r="G104" s="3390"/>
      <c r="H104" s="3390"/>
      <c r="I104" s="3390"/>
      <c r="J104" s="3391"/>
      <c r="K104" s="3392"/>
      <c r="L104" s="3392"/>
      <c r="M104" s="3392"/>
      <c r="N104" s="3392"/>
    </row>
    <row r="105" spans="1:14">
      <c r="A105" s="3783"/>
      <c r="B105" s="3783"/>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69"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0"/>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2" t="s">
        <v>3316</v>
      </c>
      <c r="B113" s="3772"/>
      <c r="C113" s="3772"/>
      <c r="D113" s="3772"/>
      <c r="E113" s="3772"/>
      <c r="F113" s="3772"/>
      <c r="G113" s="3772"/>
      <c r="H113" s="3772"/>
      <c r="I113" s="3772"/>
      <c r="J113" s="377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v>
      </c>
      <c r="E116" s="1998" t="s">
        <v>3319</v>
      </c>
      <c r="F116" s="3400">
        <f>E2</f>
        <v>0</v>
      </c>
      <c r="G116" s="1998" t="s">
        <v>3320</v>
      </c>
      <c r="H116" s="3400">
        <f>G2</f>
        <v>0</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95" t="s">
        <v>2610</v>
      </c>
      <c r="B20" s="3788" t="s">
        <v>2631</v>
      </c>
      <c r="C20" s="3101" t="s">
        <v>2442</v>
      </c>
      <c r="D20" s="3102"/>
      <c r="E20" s="3103">
        <v>1</v>
      </c>
      <c r="F20" s="3104" t="s">
        <v>2443</v>
      </c>
      <c r="G20" s="3104"/>
    </row>
    <row r="21" spans="1:13" ht="19.5" customHeight="1">
      <c r="A21" s="3796"/>
      <c r="B21" s="3789"/>
      <c r="C21" s="3105" t="s">
        <v>2444</v>
      </c>
      <c r="D21" s="3106"/>
      <c r="E21" s="3107">
        <v>1</v>
      </c>
      <c r="F21" s="3104" t="s">
        <v>2445</v>
      </c>
      <c r="G21" s="3104"/>
    </row>
    <row r="22" spans="1:13" ht="19.5" customHeight="1">
      <c r="A22" s="3796"/>
      <c r="B22" s="3789"/>
      <c r="C22" s="3105" t="s">
        <v>2446</v>
      </c>
      <c r="D22" s="3106"/>
      <c r="E22" s="3107">
        <v>0.9</v>
      </c>
      <c r="F22" s="3104" t="s">
        <v>2447</v>
      </c>
      <c r="G22" s="3104"/>
    </row>
    <row r="23" spans="1:13" ht="19.5" customHeight="1">
      <c r="A23" s="3796"/>
      <c r="B23" s="3789"/>
      <c r="C23" s="3105" t="s">
        <v>2448</v>
      </c>
      <c r="D23" s="3106"/>
      <c r="E23" s="3107">
        <v>0.9</v>
      </c>
      <c r="F23" s="3104" t="s">
        <v>2449</v>
      </c>
      <c r="G23" s="3104"/>
    </row>
    <row r="24" spans="1:13" ht="19.5" customHeight="1">
      <c r="A24" s="3796"/>
      <c r="B24" s="3789"/>
      <c r="C24" s="3105" t="s">
        <v>2450</v>
      </c>
      <c r="D24" s="3106"/>
      <c r="E24" s="3107">
        <v>0.8</v>
      </c>
      <c r="F24" s="3104" t="s">
        <v>2451</v>
      </c>
      <c r="G24" s="3104"/>
    </row>
    <row r="25" spans="1:13" ht="19.5" customHeight="1" thickBot="1">
      <c r="A25" s="3797"/>
      <c r="B25" s="379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91" t="s">
        <v>2634</v>
      </c>
      <c r="B27" s="3788" t="s">
        <v>2615</v>
      </c>
      <c r="C27" s="3101" t="s">
        <v>2455</v>
      </c>
      <c r="D27" s="3102"/>
      <c r="E27" s="3103">
        <v>1</v>
      </c>
      <c r="F27" s="3104" t="s">
        <v>2456</v>
      </c>
      <c r="G27" s="3104"/>
    </row>
    <row r="28" spans="1:13" ht="19.5" customHeight="1">
      <c r="A28" s="3792"/>
      <c r="B28" s="3789"/>
      <c r="C28" s="3105" t="s">
        <v>2457</v>
      </c>
      <c r="D28" s="3106"/>
      <c r="E28" s="3107">
        <v>1</v>
      </c>
      <c r="F28" s="3104" t="s">
        <v>2458</v>
      </c>
      <c r="G28" s="3104"/>
    </row>
    <row r="29" spans="1:13" ht="19.5" customHeight="1">
      <c r="A29" s="3792"/>
      <c r="B29" s="3789"/>
      <c r="C29" s="3105" t="s">
        <v>2459</v>
      </c>
      <c r="D29" s="3106"/>
      <c r="E29" s="3107">
        <v>0.8</v>
      </c>
      <c r="F29" s="3104" t="s">
        <v>2460</v>
      </c>
      <c r="G29" s="3104"/>
    </row>
    <row r="30" spans="1:13" ht="19.5" customHeight="1">
      <c r="A30" s="3792"/>
      <c r="B30" s="3789"/>
      <c r="C30" s="3105" t="s">
        <v>2461</v>
      </c>
      <c r="D30" s="3106"/>
      <c r="E30" s="3107">
        <v>0.8</v>
      </c>
      <c r="F30" s="3104" t="s">
        <v>2462</v>
      </c>
      <c r="G30" s="3104"/>
    </row>
    <row r="31" spans="1:13" ht="19.5" customHeight="1">
      <c r="A31" s="3792"/>
      <c r="B31" s="3789"/>
      <c r="C31" s="3105" t="s">
        <v>2463</v>
      </c>
      <c r="D31" s="3106"/>
      <c r="E31" s="3107">
        <v>0.8</v>
      </c>
      <c r="F31" s="3104" t="s">
        <v>2464</v>
      </c>
      <c r="G31" s="3104"/>
    </row>
    <row r="32" spans="1:13" ht="19.5" customHeight="1">
      <c r="A32" s="3792"/>
      <c r="B32" s="3789"/>
      <c r="C32" s="3105" t="s">
        <v>2465</v>
      </c>
      <c r="D32" s="3106"/>
      <c r="E32" s="3107">
        <v>0.7</v>
      </c>
      <c r="F32" s="3104" t="s">
        <v>2466</v>
      </c>
      <c r="G32" s="3104"/>
    </row>
    <row r="33" spans="1:7" ht="19.5" customHeight="1">
      <c r="A33" s="3792"/>
      <c r="B33" s="3789"/>
      <c r="C33" s="3105" t="s">
        <v>2467</v>
      </c>
      <c r="D33" s="3106"/>
      <c r="E33" s="3107">
        <v>0.8</v>
      </c>
      <c r="F33" s="3104" t="s">
        <v>2468</v>
      </c>
      <c r="G33" s="3104"/>
    </row>
    <row r="34" spans="1:7" ht="19.5" customHeight="1">
      <c r="A34" s="3792"/>
      <c r="B34" s="3789"/>
      <c r="C34" s="3105" t="s">
        <v>2469</v>
      </c>
      <c r="D34" s="3106"/>
      <c r="E34" s="3107">
        <v>0.6</v>
      </c>
      <c r="F34" s="3104" t="s">
        <v>2470</v>
      </c>
      <c r="G34" s="3104"/>
    </row>
    <row r="35" spans="1:7" ht="19.5" customHeight="1">
      <c r="A35" s="3792"/>
      <c r="B35" s="3789"/>
      <c r="C35" s="3105" t="s">
        <v>2471</v>
      </c>
      <c r="D35" s="3106"/>
      <c r="E35" s="3107">
        <v>0.2</v>
      </c>
      <c r="F35" s="3104" t="s">
        <v>2472</v>
      </c>
      <c r="G35" s="3104"/>
    </row>
    <row r="36" spans="1:7" ht="19.5" customHeight="1">
      <c r="A36" s="3792"/>
      <c r="B36" s="3789"/>
      <c r="C36" s="3105" t="s">
        <v>2473</v>
      </c>
      <c r="D36" s="3106"/>
      <c r="E36" s="3107">
        <v>0.2</v>
      </c>
      <c r="F36" s="3104" t="s">
        <v>2474</v>
      </c>
      <c r="G36" s="3104"/>
    </row>
    <row r="37" spans="1:7" ht="19.5" customHeight="1">
      <c r="A37" s="3792"/>
      <c r="B37" s="3794" t="s">
        <v>2635</v>
      </c>
      <c r="C37" s="3105" t="s">
        <v>2475</v>
      </c>
      <c r="D37" s="3106"/>
      <c r="E37" s="3107">
        <v>0.6</v>
      </c>
      <c r="F37" s="3104" t="s">
        <v>2476</v>
      </c>
      <c r="G37" s="3104"/>
    </row>
    <row r="38" spans="1:7" ht="19.5" customHeight="1">
      <c r="A38" s="3792"/>
      <c r="B38" s="3789"/>
      <c r="C38" s="3105" t="s">
        <v>2477</v>
      </c>
      <c r="D38" s="3106"/>
      <c r="E38" s="3107">
        <v>0.6</v>
      </c>
      <c r="F38" s="3104" t="s">
        <v>2478</v>
      </c>
      <c r="G38" s="3104"/>
    </row>
    <row r="39" spans="1:7" ht="19.5" customHeight="1" thickBot="1">
      <c r="A39" s="3793"/>
      <c r="B39" s="379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95" t="s">
        <v>2613</v>
      </c>
      <c r="B41" s="3788" t="s">
        <v>2637</v>
      </c>
      <c r="C41" s="3101" t="s">
        <v>2482</v>
      </c>
      <c r="D41" s="3102"/>
      <c r="E41" s="3103">
        <v>1</v>
      </c>
      <c r="F41" s="3104" t="s">
        <v>2483</v>
      </c>
      <c r="G41" s="3104"/>
    </row>
    <row r="42" spans="1:7" ht="19.5" customHeight="1">
      <c r="A42" s="3796"/>
      <c r="B42" s="3789"/>
      <c r="C42" s="3105" t="s">
        <v>2484</v>
      </c>
      <c r="D42" s="3106"/>
      <c r="E42" s="3107">
        <v>1</v>
      </c>
      <c r="F42" s="3104" t="s">
        <v>2485</v>
      </c>
      <c r="G42" s="3104"/>
    </row>
    <row r="43" spans="1:7" ht="19.5" customHeight="1">
      <c r="A43" s="3796"/>
      <c r="B43" s="3798"/>
      <c r="C43" s="3105" t="s">
        <v>2486</v>
      </c>
      <c r="D43" s="3106"/>
      <c r="E43" s="3107">
        <v>1.5</v>
      </c>
      <c r="F43" s="3104" t="s">
        <v>2487</v>
      </c>
      <c r="G43" s="3104"/>
    </row>
    <row r="44" spans="1:7" ht="19.5" customHeight="1">
      <c r="A44" s="3796"/>
      <c r="B44" s="3116" t="s">
        <v>2638</v>
      </c>
      <c r="C44" s="3105" t="s">
        <v>2639</v>
      </c>
      <c r="D44" s="3106"/>
      <c r="E44" s="3107">
        <v>2</v>
      </c>
      <c r="F44" s="3104" t="s">
        <v>2488</v>
      </c>
      <c r="G44" s="3104"/>
    </row>
    <row r="45" spans="1:7" ht="19.5" customHeight="1">
      <c r="A45" s="3796"/>
      <c r="B45" s="3794" t="s">
        <v>2640</v>
      </c>
      <c r="C45" s="3105" t="s">
        <v>2489</v>
      </c>
      <c r="D45" s="3106"/>
      <c r="E45" s="3107">
        <v>1</v>
      </c>
      <c r="F45" s="3104" t="s">
        <v>2490</v>
      </c>
      <c r="G45" s="3104"/>
    </row>
    <row r="46" spans="1:7" ht="19.5" customHeight="1">
      <c r="A46" s="3796"/>
      <c r="B46" s="3789"/>
      <c r="C46" s="3105" t="s">
        <v>2491</v>
      </c>
      <c r="D46" s="3106"/>
      <c r="E46" s="3107">
        <v>1</v>
      </c>
      <c r="F46" s="3104" t="s">
        <v>2492</v>
      </c>
      <c r="G46" s="3104"/>
    </row>
    <row r="47" spans="1:7" ht="19.5" customHeight="1">
      <c r="A47" s="3796"/>
      <c r="B47" s="3789"/>
      <c r="C47" s="3105" t="s">
        <v>2493</v>
      </c>
      <c r="D47" s="3106"/>
      <c r="E47" s="3107">
        <v>1</v>
      </c>
      <c r="F47" s="3104" t="s">
        <v>2494</v>
      </c>
      <c r="G47" s="3104"/>
    </row>
    <row r="48" spans="1:7" ht="19.5" customHeight="1">
      <c r="A48" s="3796"/>
      <c r="B48" s="3789"/>
      <c r="C48" s="3105" t="s">
        <v>2495</v>
      </c>
      <c r="D48" s="3106"/>
      <c r="E48" s="3107">
        <v>1</v>
      </c>
      <c r="F48" s="3104" t="s">
        <v>2496</v>
      </c>
      <c r="G48" s="3104"/>
    </row>
    <row r="49" spans="1:7" ht="19.5" customHeight="1">
      <c r="A49" s="3796"/>
      <c r="B49" s="3789"/>
      <c r="C49" s="3105" t="s">
        <v>2497</v>
      </c>
      <c r="D49" s="3106"/>
      <c r="E49" s="3107">
        <v>1</v>
      </c>
      <c r="F49" s="3104" t="s">
        <v>2498</v>
      </c>
      <c r="G49" s="3104"/>
    </row>
    <row r="50" spans="1:7" ht="19.5" customHeight="1">
      <c r="A50" s="3796"/>
      <c r="B50" s="3789"/>
      <c r="C50" s="3105" t="s">
        <v>2499</v>
      </c>
      <c r="D50" s="3106"/>
      <c r="E50" s="3107">
        <v>1</v>
      </c>
      <c r="F50" s="3104" t="s">
        <v>2500</v>
      </c>
      <c r="G50" s="3104"/>
    </row>
    <row r="51" spans="1:7" ht="19.5" customHeight="1" thickBot="1">
      <c r="A51" s="3797"/>
      <c r="B51" s="379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94" t="s">
        <v>2654</v>
      </c>
      <c r="C73" s="3090" t="s">
        <v>2655</v>
      </c>
      <c r="D73" s="3090" t="s">
        <v>2656</v>
      </c>
      <c r="E73" s="3116">
        <v>0.2</v>
      </c>
      <c r="F73" s="3116">
        <v>25</v>
      </c>
    </row>
    <row r="74" spans="1:7" ht="24">
      <c r="A74" s="3116">
        <v>2</v>
      </c>
      <c r="B74" s="3789"/>
      <c r="C74" s="3090" t="s">
        <v>2657</v>
      </c>
      <c r="D74" s="3090" t="s">
        <v>2658</v>
      </c>
      <c r="E74" s="3116">
        <v>0.2</v>
      </c>
      <c r="F74" s="3116">
        <v>25</v>
      </c>
    </row>
    <row r="75" spans="1:7" ht="24">
      <c r="A75" s="3116">
        <v>3</v>
      </c>
      <c r="B75" s="3789"/>
      <c r="C75" s="3090" t="s">
        <v>2659</v>
      </c>
      <c r="D75" s="3090" t="s">
        <v>2660</v>
      </c>
      <c r="E75" s="3116">
        <v>0.2</v>
      </c>
      <c r="F75" s="3116">
        <v>25</v>
      </c>
    </row>
    <row r="76" spans="1:7" ht="13.5">
      <c r="A76" s="3116">
        <v>4</v>
      </c>
      <c r="B76" s="3789"/>
      <c r="C76" s="3090" t="s">
        <v>2661</v>
      </c>
      <c r="D76" s="3090" t="s">
        <v>2662</v>
      </c>
      <c r="E76" s="3116">
        <v>0.15</v>
      </c>
      <c r="F76" s="3116">
        <v>20</v>
      </c>
    </row>
    <row r="77" spans="1:7" ht="24">
      <c r="A77" s="3116">
        <v>5</v>
      </c>
      <c r="B77" s="3789"/>
      <c r="C77" s="3090" t="s">
        <v>2663</v>
      </c>
      <c r="D77" s="3090" t="s">
        <v>2664</v>
      </c>
      <c r="E77" s="3116">
        <v>0.15</v>
      </c>
      <c r="F77" s="3116">
        <v>20</v>
      </c>
    </row>
    <row r="78" spans="1:7" ht="24">
      <c r="A78" s="3116">
        <v>6</v>
      </c>
      <c r="B78" s="3789"/>
      <c r="C78" s="3090" t="s">
        <v>2665</v>
      </c>
      <c r="D78" s="3090" t="s">
        <v>2666</v>
      </c>
      <c r="E78" s="3116">
        <v>0.15</v>
      </c>
      <c r="F78" s="3116">
        <v>20</v>
      </c>
    </row>
    <row r="79" spans="1:7" ht="24">
      <c r="A79" s="3116">
        <v>7</v>
      </c>
      <c r="B79" s="3789"/>
      <c r="C79" s="3090" t="s">
        <v>2667</v>
      </c>
      <c r="D79" s="3090" t="s">
        <v>2668</v>
      </c>
      <c r="E79" s="3116">
        <v>0.15</v>
      </c>
      <c r="F79" s="3116">
        <v>20</v>
      </c>
    </row>
    <row r="80" spans="1:7" ht="24">
      <c r="A80" s="3116">
        <v>8</v>
      </c>
      <c r="B80" s="3789"/>
      <c r="C80" s="3090" t="s">
        <v>2669</v>
      </c>
      <c r="D80" s="3090" t="s">
        <v>2670</v>
      </c>
      <c r="E80" s="3116">
        <v>0.1</v>
      </c>
      <c r="F80" s="3116">
        <v>15</v>
      </c>
    </row>
    <row r="81" spans="1:6" ht="24">
      <c r="A81" s="3116">
        <v>9</v>
      </c>
      <c r="B81" s="3789"/>
      <c r="C81" s="3090" t="s">
        <v>2671</v>
      </c>
      <c r="D81" s="3090" t="s">
        <v>2672</v>
      </c>
      <c r="E81" s="3116">
        <v>0.1</v>
      </c>
      <c r="F81" s="3116">
        <v>15</v>
      </c>
    </row>
    <row r="82" spans="1:6" ht="24">
      <c r="A82" s="3116">
        <v>10</v>
      </c>
      <c r="B82" s="3789"/>
      <c r="C82" s="3090" t="s">
        <v>2673</v>
      </c>
      <c r="D82" s="3090" t="s">
        <v>2674</v>
      </c>
      <c r="E82" s="3116">
        <v>0.1</v>
      </c>
      <c r="F82" s="3116">
        <v>15</v>
      </c>
    </row>
    <row r="83" spans="1:6" ht="24">
      <c r="A83" s="3116">
        <v>11</v>
      </c>
      <c r="B83" s="3789"/>
      <c r="C83" s="3090" t="s">
        <v>2675</v>
      </c>
      <c r="D83" s="3090" t="s">
        <v>2676</v>
      </c>
      <c r="E83" s="3116">
        <v>0.1</v>
      </c>
      <c r="F83" s="3116">
        <v>15</v>
      </c>
    </row>
    <row r="84" spans="1:6" ht="24">
      <c r="A84" s="3116">
        <v>12</v>
      </c>
      <c r="B84" s="3789"/>
      <c r="C84" s="3090" t="s">
        <v>2677</v>
      </c>
      <c r="D84" s="3090" t="s">
        <v>2678</v>
      </c>
      <c r="E84" s="3116">
        <v>0.1</v>
      </c>
      <c r="F84" s="3116">
        <v>15</v>
      </c>
    </row>
    <row r="85" spans="1:6" ht="13.5">
      <c r="A85" s="3116">
        <v>13</v>
      </c>
      <c r="B85" s="3789"/>
      <c r="C85" s="3090" t="s">
        <v>2679</v>
      </c>
      <c r="D85" s="3090" t="s">
        <v>2680</v>
      </c>
      <c r="E85" s="3116">
        <v>0.1</v>
      </c>
      <c r="F85" s="3116">
        <v>15</v>
      </c>
    </row>
    <row r="86" spans="1:6" ht="13.5">
      <c r="A86" s="3116">
        <v>14</v>
      </c>
      <c r="B86" s="3789"/>
      <c r="C86" s="3090" t="s">
        <v>2681</v>
      </c>
      <c r="D86" s="3090" t="s">
        <v>2682</v>
      </c>
      <c r="E86" s="3116">
        <v>0.1</v>
      </c>
      <c r="F86" s="3116">
        <v>15</v>
      </c>
    </row>
    <row r="87" spans="1:6" ht="13.5">
      <c r="A87" s="3116">
        <v>15</v>
      </c>
      <c r="B87" s="3789"/>
      <c r="C87" s="3090" t="s">
        <v>2683</v>
      </c>
      <c r="D87" s="3090" t="s">
        <v>2684</v>
      </c>
      <c r="E87" s="3116">
        <v>0.1</v>
      </c>
      <c r="F87" s="3116">
        <v>15</v>
      </c>
    </row>
    <row r="88" spans="1:6" ht="24">
      <c r="A88" s="3116">
        <v>16</v>
      </c>
      <c r="B88" s="3789"/>
      <c r="C88" s="3090" t="s">
        <v>2685</v>
      </c>
      <c r="D88" s="3090" t="s">
        <v>2686</v>
      </c>
      <c r="E88" s="3116">
        <v>0.1</v>
      </c>
      <c r="F88" s="3116">
        <v>15</v>
      </c>
    </row>
    <row r="89" spans="1:6" ht="24">
      <c r="A89" s="3116">
        <v>17</v>
      </c>
      <c r="B89" s="3798"/>
      <c r="C89" s="3090" t="s">
        <v>2687</v>
      </c>
      <c r="D89" s="3090" t="s">
        <v>2688</v>
      </c>
      <c r="E89" s="3116">
        <v>0.1</v>
      </c>
      <c r="F89" s="3116">
        <v>15</v>
      </c>
    </row>
    <row r="90" spans="1:6" ht="13.5">
      <c r="A90" s="3116">
        <v>18</v>
      </c>
      <c r="B90" s="3794" t="s">
        <v>2689</v>
      </c>
      <c r="C90" s="3090" t="s">
        <v>2690</v>
      </c>
      <c r="D90" s="3090" t="s">
        <v>2691</v>
      </c>
      <c r="E90" s="3116">
        <v>0.2</v>
      </c>
      <c r="F90" s="3116">
        <v>25</v>
      </c>
    </row>
    <row r="91" spans="1:6" ht="24">
      <c r="A91" s="3116">
        <v>19</v>
      </c>
      <c r="B91" s="3789"/>
      <c r="C91" s="3090" t="s">
        <v>2692</v>
      </c>
      <c r="D91" s="3090" t="s">
        <v>2693</v>
      </c>
      <c r="E91" s="3116">
        <v>0.2</v>
      </c>
      <c r="F91" s="3116">
        <v>25</v>
      </c>
    </row>
    <row r="92" spans="1:6" ht="13.5">
      <c r="A92" s="3116">
        <v>20</v>
      </c>
      <c r="B92" s="3789"/>
      <c r="C92" s="3090" t="s">
        <v>2694</v>
      </c>
      <c r="D92" s="3090" t="s">
        <v>2695</v>
      </c>
      <c r="E92" s="3116">
        <v>0.15</v>
      </c>
      <c r="F92" s="3116">
        <v>20</v>
      </c>
    </row>
    <row r="93" spans="1:6" ht="13.5">
      <c r="A93" s="3116">
        <v>21</v>
      </c>
      <c r="B93" s="3789"/>
      <c r="C93" s="3090" t="s">
        <v>2696</v>
      </c>
      <c r="D93" s="3090" t="s">
        <v>2697</v>
      </c>
      <c r="E93" s="3116">
        <v>0.15</v>
      </c>
      <c r="F93" s="3116">
        <v>20</v>
      </c>
    </row>
    <row r="94" spans="1:6" ht="13.5">
      <c r="A94" s="3116">
        <v>22</v>
      </c>
      <c r="B94" s="3789"/>
      <c r="C94" s="3090" t="s">
        <v>2698</v>
      </c>
      <c r="D94" s="3090" t="s">
        <v>2699</v>
      </c>
      <c r="E94" s="3116">
        <v>0.15</v>
      </c>
      <c r="F94" s="3116">
        <v>20</v>
      </c>
    </row>
    <row r="95" spans="1:6" ht="36">
      <c r="A95" s="3116">
        <v>23</v>
      </c>
      <c r="B95" s="3789"/>
      <c r="C95" s="3090" t="s">
        <v>2700</v>
      </c>
      <c r="D95" s="3090" t="s">
        <v>2701</v>
      </c>
      <c r="E95" s="3116">
        <v>0.15</v>
      </c>
      <c r="F95" s="3116">
        <v>20</v>
      </c>
    </row>
    <row r="96" spans="1:6" ht="13.5">
      <c r="A96" s="3116">
        <v>24</v>
      </c>
      <c r="B96" s="3789"/>
      <c r="C96" s="3090" t="s">
        <v>2702</v>
      </c>
      <c r="D96" s="3090" t="s">
        <v>2703</v>
      </c>
      <c r="E96" s="3116">
        <v>0.1</v>
      </c>
      <c r="F96" s="3116">
        <v>15</v>
      </c>
    </row>
    <row r="97" spans="1:6" ht="13.5">
      <c r="A97" s="3116">
        <v>25</v>
      </c>
      <c r="B97" s="3789"/>
      <c r="C97" s="3090" t="s">
        <v>2704</v>
      </c>
      <c r="D97" s="3090" t="s">
        <v>2705</v>
      </c>
      <c r="E97" s="3116">
        <v>0.1</v>
      </c>
      <c r="F97" s="3116">
        <v>15</v>
      </c>
    </row>
    <row r="98" spans="1:6" ht="24">
      <c r="A98" s="3116">
        <v>26</v>
      </c>
      <c r="B98" s="3789"/>
      <c r="C98" s="3090" t="s">
        <v>2706</v>
      </c>
      <c r="D98" s="3090" t="s">
        <v>2707</v>
      </c>
      <c r="E98" s="3116">
        <v>0.1</v>
      </c>
      <c r="F98" s="3116">
        <v>15</v>
      </c>
    </row>
    <row r="99" spans="1:6" ht="24">
      <c r="A99" s="3116">
        <v>27</v>
      </c>
      <c r="B99" s="3789"/>
      <c r="C99" s="3090" t="s">
        <v>2708</v>
      </c>
      <c r="D99" s="3090" t="s">
        <v>2709</v>
      </c>
      <c r="E99" s="3116">
        <v>0.1</v>
      </c>
      <c r="F99" s="3116">
        <v>15</v>
      </c>
    </row>
    <row r="100" spans="1:6" ht="13.5">
      <c r="A100" s="3116">
        <v>28</v>
      </c>
      <c r="B100" s="3789"/>
      <c r="C100" s="3090" t="s">
        <v>2710</v>
      </c>
      <c r="D100" s="3090" t="s">
        <v>2711</v>
      </c>
      <c r="E100" s="3116">
        <v>0.1</v>
      </c>
      <c r="F100" s="3116">
        <v>15</v>
      </c>
    </row>
    <row r="101" spans="1:6" ht="13.5">
      <c r="A101" s="3116">
        <v>29</v>
      </c>
      <c r="B101" s="3789"/>
      <c r="C101" s="3090" t="s">
        <v>2712</v>
      </c>
      <c r="D101" s="3090" t="s">
        <v>2713</v>
      </c>
      <c r="E101" s="3116">
        <v>0.1</v>
      </c>
      <c r="F101" s="3116">
        <v>15</v>
      </c>
    </row>
    <row r="102" spans="1:6" ht="13.5">
      <c r="A102" s="3116">
        <v>30</v>
      </c>
      <c r="B102" s="3789"/>
      <c r="C102" s="3090" t="s">
        <v>2714</v>
      </c>
      <c r="D102" s="3090" t="s">
        <v>2715</v>
      </c>
      <c r="E102" s="3116">
        <v>0.1</v>
      </c>
      <c r="F102" s="3116">
        <v>15</v>
      </c>
    </row>
    <row r="103" spans="1:6" ht="24">
      <c r="A103" s="3116">
        <v>31</v>
      </c>
      <c r="B103" s="3789"/>
      <c r="C103" s="3090" t="s">
        <v>2716</v>
      </c>
      <c r="D103" s="3090" t="s">
        <v>2717</v>
      </c>
      <c r="E103" s="3116">
        <v>0.1</v>
      </c>
      <c r="F103" s="3116">
        <v>15</v>
      </c>
    </row>
    <row r="104" spans="1:6" ht="24">
      <c r="A104" s="3116">
        <v>32</v>
      </c>
      <c r="B104" s="3789"/>
      <c r="C104" s="3090" t="s">
        <v>2718</v>
      </c>
      <c r="D104" s="3090" t="s">
        <v>2719</v>
      </c>
      <c r="E104" s="3116">
        <v>0.1</v>
      </c>
      <c r="F104" s="3116">
        <v>15</v>
      </c>
    </row>
    <row r="105" spans="1:6" ht="24">
      <c r="A105" s="3116">
        <v>33</v>
      </c>
      <c r="B105" s="3789"/>
      <c r="C105" s="3090" t="s">
        <v>2720</v>
      </c>
      <c r="D105" s="3090" t="s">
        <v>2721</v>
      </c>
      <c r="E105" s="3116">
        <v>0.1</v>
      </c>
      <c r="F105" s="3116">
        <v>15</v>
      </c>
    </row>
    <row r="106" spans="1:6" ht="24">
      <c r="A106" s="3116">
        <v>34</v>
      </c>
      <c r="B106" s="3798"/>
      <c r="C106" s="3090" t="s">
        <v>2722</v>
      </c>
      <c r="D106" s="3090" t="s">
        <v>2723</v>
      </c>
      <c r="E106" s="3116">
        <v>0.1</v>
      </c>
      <c r="F106" s="3116">
        <v>15</v>
      </c>
    </row>
    <row r="107" spans="1:6" ht="24">
      <c r="A107" s="3116">
        <v>35</v>
      </c>
      <c r="B107" s="3794" t="s">
        <v>2724</v>
      </c>
      <c r="C107" s="3116" t="s">
        <v>2725</v>
      </c>
      <c r="D107" s="3090" t="s">
        <v>2726</v>
      </c>
      <c r="E107" s="3116">
        <v>0.15</v>
      </c>
      <c r="F107" s="3116">
        <v>20</v>
      </c>
    </row>
    <row r="108" spans="1:6" ht="13.5">
      <c r="A108" s="3116">
        <v>36</v>
      </c>
      <c r="B108" s="3789"/>
      <c r="C108" s="3116" t="s">
        <v>2727</v>
      </c>
      <c r="D108" s="3090" t="s">
        <v>2728</v>
      </c>
      <c r="E108" s="3116">
        <v>0.15</v>
      </c>
      <c r="F108" s="3116">
        <v>20</v>
      </c>
    </row>
    <row r="109" spans="1:6" ht="13.5">
      <c r="A109" s="3116">
        <v>37</v>
      </c>
      <c r="B109" s="3789"/>
      <c r="C109" s="3116" t="s">
        <v>2729</v>
      </c>
      <c r="D109" s="3090" t="s">
        <v>2730</v>
      </c>
      <c r="E109" s="3116">
        <v>0.15</v>
      </c>
      <c r="F109" s="3116">
        <v>20</v>
      </c>
    </row>
    <row r="110" spans="1:6" ht="13.5">
      <c r="A110" s="3116">
        <v>38</v>
      </c>
      <c r="B110" s="3789"/>
      <c r="C110" s="3116" t="s">
        <v>2731</v>
      </c>
      <c r="D110" s="3090" t="s">
        <v>2732</v>
      </c>
      <c r="E110" s="3116">
        <v>0.1</v>
      </c>
      <c r="F110" s="3116">
        <v>15</v>
      </c>
    </row>
    <row r="111" spans="1:6" ht="24">
      <c r="A111" s="3116">
        <v>39</v>
      </c>
      <c r="B111" s="3789"/>
      <c r="C111" s="3116" t="s">
        <v>2733</v>
      </c>
      <c r="D111" s="3090" t="s">
        <v>2734</v>
      </c>
      <c r="E111" s="3116">
        <v>0.1</v>
      </c>
      <c r="F111" s="3116">
        <v>15</v>
      </c>
    </row>
    <row r="112" spans="1:6" ht="24">
      <c r="A112" s="3116">
        <v>40</v>
      </c>
      <c r="B112" s="3798"/>
      <c r="C112" s="3116" t="s">
        <v>2735</v>
      </c>
      <c r="D112" s="3090" t="s">
        <v>2736</v>
      </c>
      <c r="E112" s="3116">
        <v>0.1</v>
      </c>
      <c r="F112" s="3116">
        <v>15</v>
      </c>
    </row>
    <row r="113" spans="1:6" ht="13.5">
      <c r="A113" s="3116">
        <v>41</v>
      </c>
      <c r="B113" s="3799" t="s">
        <v>2737</v>
      </c>
      <c r="C113" s="3116" t="s">
        <v>2738</v>
      </c>
      <c r="D113" s="3090" t="s">
        <v>2739</v>
      </c>
      <c r="E113" s="3116">
        <v>0.1</v>
      </c>
      <c r="F113" s="3116">
        <v>15</v>
      </c>
    </row>
    <row r="114" spans="1:6" ht="13.5">
      <c r="A114" s="3116">
        <v>42</v>
      </c>
      <c r="B114" s="3799"/>
      <c r="C114" s="3116" t="s">
        <v>2740</v>
      </c>
      <c r="D114" s="3090" t="s">
        <v>2741</v>
      </c>
      <c r="E114" s="3116">
        <v>0.1</v>
      </c>
      <c r="F114" s="3116">
        <v>15</v>
      </c>
    </row>
    <row r="115" spans="1:6" ht="24">
      <c r="A115" s="3116">
        <v>43</v>
      </c>
      <c r="B115" s="3799"/>
      <c r="C115" s="3116" t="s">
        <v>2742</v>
      </c>
      <c r="D115" s="3090" t="s">
        <v>2743</v>
      </c>
      <c r="E115" s="3116">
        <v>0.1</v>
      </c>
      <c r="F115" s="3116">
        <v>15</v>
      </c>
    </row>
    <row r="116" spans="1:6" ht="13.5">
      <c r="A116" s="3116">
        <v>44</v>
      </c>
      <c r="B116" s="3794" t="s">
        <v>2744</v>
      </c>
      <c r="C116" s="3116" t="s">
        <v>2745</v>
      </c>
      <c r="D116" s="3090" t="s">
        <v>2746</v>
      </c>
      <c r="E116" s="3116">
        <v>0.1</v>
      </c>
      <c r="F116" s="3116">
        <v>15</v>
      </c>
    </row>
    <row r="117" spans="1:6" ht="24">
      <c r="A117" s="3116">
        <v>45</v>
      </c>
      <c r="B117" s="3798"/>
      <c r="C117" s="3090" t="s">
        <v>2747</v>
      </c>
      <c r="D117" s="3090" t="s">
        <v>2748</v>
      </c>
      <c r="E117" s="3116">
        <v>0.1</v>
      </c>
      <c r="F117" s="3116">
        <v>15</v>
      </c>
    </row>
    <row r="118" spans="1:6" ht="24">
      <c r="A118" s="3116">
        <v>46</v>
      </c>
      <c r="B118" s="3794" t="s">
        <v>2749</v>
      </c>
      <c r="C118" s="3116" t="s">
        <v>2750</v>
      </c>
      <c r="D118" s="3090" t="s">
        <v>2751</v>
      </c>
      <c r="E118" s="3116">
        <v>0.1</v>
      </c>
      <c r="F118" s="3116">
        <v>15</v>
      </c>
    </row>
    <row r="119" spans="1:6" ht="24">
      <c r="A119" s="3116">
        <v>47</v>
      </c>
      <c r="B119" s="3798"/>
      <c r="C119" s="3116" t="s">
        <v>2752</v>
      </c>
      <c r="D119" s="3090" t="s">
        <v>2753</v>
      </c>
      <c r="E119" s="3116">
        <v>0.1</v>
      </c>
      <c r="F119" s="3116">
        <v>15</v>
      </c>
    </row>
    <row r="120" spans="1:6" ht="13.5">
      <c r="A120" s="3116">
        <v>48</v>
      </c>
      <c r="B120" s="3794" t="s">
        <v>2754</v>
      </c>
      <c r="C120" s="3116" t="s">
        <v>2755</v>
      </c>
      <c r="D120" s="3090" t="s">
        <v>2756</v>
      </c>
      <c r="E120" s="3116">
        <v>0.1</v>
      </c>
      <c r="F120" s="3116">
        <v>15</v>
      </c>
    </row>
    <row r="121" spans="1:6" ht="13.5">
      <c r="A121" s="3116">
        <v>49</v>
      </c>
      <c r="B121" s="3798"/>
      <c r="C121" s="3116" t="s">
        <v>2757</v>
      </c>
      <c r="D121" s="3090" t="s">
        <v>2758</v>
      </c>
      <c r="E121" s="3116">
        <v>0.1</v>
      </c>
      <c r="F121" s="3116">
        <v>15</v>
      </c>
    </row>
    <row r="122" spans="1:6" ht="24">
      <c r="A122" s="3116">
        <v>50</v>
      </c>
      <c r="B122" s="3799" t="s">
        <v>2759</v>
      </c>
      <c r="C122" s="3116" t="s">
        <v>2760</v>
      </c>
      <c r="D122" s="3090" t="s">
        <v>2761</v>
      </c>
      <c r="E122" s="3116">
        <v>0.1</v>
      </c>
      <c r="F122" s="3116">
        <v>15</v>
      </c>
    </row>
    <row r="123" spans="1:6" ht="24">
      <c r="A123" s="3116">
        <v>51</v>
      </c>
      <c r="B123" s="3799"/>
      <c r="C123" s="3116" t="s">
        <v>2762</v>
      </c>
      <c r="D123" s="3090" t="s">
        <v>2763</v>
      </c>
      <c r="E123" s="3116">
        <v>0.1</v>
      </c>
      <c r="F123" s="3116">
        <v>15</v>
      </c>
    </row>
    <row r="124" spans="1:6" ht="24">
      <c r="A124" s="3116">
        <v>52</v>
      </c>
      <c r="B124" s="3799" t="s">
        <v>2764</v>
      </c>
      <c r="C124" s="3116" t="s">
        <v>2765</v>
      </c>
      <c r="D124" s="3090" t="s">
        <v>2766</v>
      </c>
      <c r="E124" s="3116">
        <v>0.1</v>
      </c>
      <c r="F124" s="3116">
        <v>15</v>
      </c>
    </row>
    <row r="125" spans="1:6" ht="24">
      <c r="A125" s="3116">
        <v>53</v>
      </c>
      <c r="B125" s="379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99" t="s">
        <v>2772</v>
      </c>
      <c r="C127" s="3116" t="s">
        <v>2773</v>
      </c>
      <c r="D127" s="3090" t="s">
        <v>2774</v>
      </c>
      <c r="E127" s="3116">
        <v>0.1</v>
      </c>
      <c r="F127" s="3116">
        <v>15</v>
      </c>
    </row>
    <row r="128" spans="1:6" ht="13.5">
      <c r="A128" s="3116">
        <v>56</v>
      </c>
      <c r="B128" s="3799"/>
      <c r="C128" s="3116" t="s">
        <v>2775</v>
      </c>
      <c r="D128" s="3090" t="s">
        <v>2776</v>
      </c>
      <c r="E128" s="3116">
        <v>0.1</v>
      </c>
      <c r="F128" s="3116">
        <v>15</v>
      </c>
    </row>
    <row r="129" spans="1:6" ht="24">
      <c r="A129" s="3116">
        <v>57</v>
      </c>
      <c r="B129" s="3799"/>
      <c r="C129" s="3116" t="s">
        <v>2777</v>
      </c>
      <c r="D129" s="3090" t="s">
        <v>2778</v>
      </c>
      <c r="E129" s="3116">
        <v>0.1</v>
      </c>
      <c r="F129" s="3116">
        <v>15</v>
      </c>
    </row>
    <row r="130" spans="1:6" ht="24">
      <c r="A130" s="3116">
        <v>58</v>
      </c>
      <c r="B130" s="3799" t="s">
        <v>2779</v>
      </c>
      <c r="C130" s="3116" t="s">
        <v>2780</v>
      </c>
      <c r="D130" s="3090" t="s">
        <v>2781</v>
      </c>
      <c r="E130" s="3116">
        <v>0.1</v>
      </c>
      <c r="F130" s="3116">
        <v>15</v>
      </c>
    </row>
    <row r="131" spans="1:6" ht="13.5">
      <c r="A131" s="3116">
        <v>59</v>
      </c>
      <c r="B131" s="3799"/>
      <c r="C131" s="3116" t="s">
        <v>2782</v>
      </c>
      <c r="D131" s="3090" t="s">
        <v>2783</v>
      </c>
      <c r="E131" s="3116">
        <v>0.1</v>
      </c>
      <c r="F131" s="3116">
        <v>15</v>
      </c>
    </row>
    <row r="132" spans="1:6" ht="13.5">
      <c r="A132" s="3116">
        <v>60</v>
      </c>
      <c r="B132" s="3794" t="s">
        <v>2784</v>
      </c>
      <c r="C132" s="3116" t="s">
        <v>2785</v>
      </c>
      <c r="D132" s="3090" t="s">
        <v>2786</v>
      </c>
      <c r="E132" s="3116">
        <v>0.1</v>
      </c>
      <c r="F132" s="3116">
        <v>15</v>
      </c>
    </row>
    <row r="133" spans="1:6" ht="13.5">
      <c r="A133" s="3116">
        <v>61</v>
      </c>
      <c r="B133" s="379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99" t="s">
        <v>2792</v>
      </c>
      <c r="C135" s="3116" t="s">
        <v>2793</v>
      </c>
      <c r="D135" s="3090" t="s">
        <v>2794</v>
      </c>
      <c r="E135" s="3116">
        <v>0.1</v>
      </c>
      <c r="F135" s="3116">
        <v>15</v>
      </c>
    </row>
    <row r="136" spans="1:6" ht="13.5">
      <c r="A136" s="3116">
        <v>64</v>
      </c>
      <c r="B136" s="379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估价结果一览表（市场价值不需“结果表-1”）</v>
      </c>
      <c r="B3" s="3484"/>
      <c r="C3" s="3484"/>
      <c r="D3" s="3484"/>
      <c r="E3" s="3484"/>
    </row>
    <row r="4" spans="1:5" ht="19.5" thickBot="1">
      <c r="A4" s="1491"/>
      <c r="B4" s="3482" t="s">
        <v>917</v>
      </c>
      <c r="C4" s="3482"/>
      <c r="D4" s="3482"/>
      <c r="E4" s="1491"/>
    </row>
    <row r="5" spans="1:5" ht="16.5" thickTop="1">
      <c r="A5" s="1489"/>
      <c r="B5" s="3480" t="s">
        <v>909</v>
      </c>
      <c r="C5" s="1492" t="s">
        <v>910</v>
      </c>
      <c r="D5" s="849" t="e">
        <f ca="1">结果表!H101</f>
        <v>#REF!</v>
      </c>
      <c r="E5" s="1489"/>
    </row>
    <row r="6" spans="1:5" ht="15.75">
      <c r="A6" s="1489"/>
      <c r="B6" s="3480"/>
      <c r="C6" s="1492" t="s">
        <v>911</v>
      </c>
      <c r="D6" s="849" t="e">
        <f ca="1">NUMBERSTRING(INT(D5*10000),2)&amp;"元整"</f>
        <v>#REF!</v>
      </c>
      <c r="E6" s="1489"/>
    </row>
    <row r="7" spans="1:5" ht="15.75">
      <c r="A7" s="1489"/>
      <c r="B7" s="3485"/>
      <c r="C7" s="1493" t="s">
        <v>912</v>
      </c>
      <c r="D7" s="850" t="e">
        <f ca="1">结果表!H102</f>
        <v>#REF!</v>
      </c>
      <c r="E7" s="1489"/>
    </row>
    <row r="8" spans="1:5" ht="15.75">
      <c r="A8" s="1489"/>
      <c r="B8" s="3486" t="str">
        <f>结果表!E103</f>
        <v>2.估价师知悉的法定优先受偿款</v>
      </c>
      <c r="C8" s="1494" t="s">
        <v>913</v>
      </c>
      <c r="D8" s="850">
        <f>结果表!H103</f>
        <v>0</v>
      </c>
      <c r="E8" s="1489"/>
    </row>
    <row r="9" spans="1:5" ht="15.75">
      <c r="A9" s="1489"/>
      <c r="B9" s="3488"/>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79" t="str">
        <f>结果表!E107</f>
        <v>3.房地产抵押价值</v>
      </c>
      <c r="C13" s="1497" t="s">
        <v>910</v>
      </c>
      <c r="D13" s="852" t="e">
        <f ca="1">结果表!H107</f>
        <v>#REF!</v>
      </c>
      <c r="E13" s="1489"/>
    </row>
    <row r="14" spans="1:5" ht="15.75">
      <c r="A14" s="1489"/>
      <c r="B14" s="3480"/>
      <c r="C14" s="1492" t="s">
        <v>911</v>
      </c>
      <c r="D14" s="849" t="e">
        <f ca="1">NUMBERSTRING(INT(D13*10000),2)&amp;"元整"</f>
        <v>#REF!</v>
      </c>
      <c r="E14" s="1489"/>
    </row>
    <row r="15" spans="1:5" ht="15">
      <c r="A15" s="1489"/>
      <c r="B15" s="3485"/>
      <c r="C15" s="1493" t="s">
        <v>921</v>
      </c>
      <c r="D15" s="858" t="e">
        <f ca="1">结果表!H108</f>
        <v>#REF!</v>
      </c>
      <c r="E15" s="1489"/>
    </row>
    <row r="16" spans="1:5" ht="15">
      <c r="A16" s="1489"/>
      <c r="B16" s="3486" t="str">
        <f>结果表!E109</f>
        <v>——</v>
      </c>
      <c r="C16" s="1497" t="s">
        <v>922</v>
      </c>
      <c r="D16" s="1498" t="str">
        <f>结果表!H109</f>
        <v>——</v>
      </c>
      <c r="E16" s="1489"/>
    </row>
    <row r="17" spans="1:5" ht="15.75">
      <c r="A17" s="1489"/>
      <c r="B17" s="3487"/>
      <c r="C17" s="1492" t="s">
        <v>923</v>
      </c>
      <c r="D17" s="849" t="e">
        <f>NUMBERSTRING(INT(D16*10000),2)&amp;"元整"</f>
        <v>#VALUE!</v>
      </c>
      <c r="E17" s="1489"/>
    </row>
    <row r="18" spans="1:5" ht="15">
      <c r="A18" s="1489"/>
      <c r="B18" s="3488"/>
      <c r="C18" s="1493" t="s">
        <v>912</v>
      </c>
      <c r="D18" s="858" t="str">
        <f>结果表!H110</f>
        <v>——</v>
      </c>
      <c r="E18" s="1489"/>
    </row>
    <row r="19" spans="1:5" ht="15.75">
      <c r="A19" s="1489"/>
      <c r="B19" s="3479" t="str">
        <f>结果表!E111</f>
        <v>——</v>
      </c>
      <c r="C19" s="1497" t="s">
        <v>910</v>
      </c>
      <c r="D19" s="850" t="str">
        <f>结果表!H111</f>
        <v>——</v>
      </c>
      <c r="E19" s="1489"/>
    </row>
    <row r="20" spans="1:5" ht="15.75">
      <c r="A20" s="1489"/>
      <c r="B20" s="3480"/>
      <c r="C20" s="1492" t="s">
        <v>923</v>
      </c>
      <c r="D20" s="849" t="e">
        <f>NUMBERSTRING(INT(D19*10000),2)&amp;"元整"</f>
        <v>#VALUE!</v>
      </c>
      <c r="E20" s="1489"/>
    </row>
    <row r="21" spans="1:5" ht="15.75" thickBot="1">
      <c r="A21" s="1489"/>
      <c r="B21" s="3481"/>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34617</v>
      </c>
      <c r="C2" s="2" t="s">
        <v>106</v>
      </c>
      <c r="D2" s="199"/>
      <c r="E2" s="199"/>
      <c r="F2" s="199"/>
      <c r="G2" s="199"/>
    </row>
    <row r="3" spans="1:7" s="200" customFormat="1" ht="18" customHeight="1" thickBot="1">
      <c r="A3" s="203" t="s">
        <v>58</v>
      </c>
      <c r="B3" s="204">
        <f ca="1">ROUND(B2*10000/'数据-汇总表'!E3,0)</f>
        <v>22955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302</v>
      </c>
      <c r="D10" s="844">
        <f>'数据-汇总表'!E6</f>
        <v>15080.55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302</v>
      </c>
      <c r="D19" s="848">
        <f>'数据-汇总表'!E3</f>
        <v>15080.55</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1482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21</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3200</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3200</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5278</v>
      </c>
      <c r="D34" s="217"/>
      <c r="E34" s="220"/>
      <c r="F34" s="257">
        <f>IF('数据-取费表'!B24=0,1,'数据-取费表'!N16)</f>
        <v>1</v>
      </c>
      <c r="G34" s="219" t="s">
        <v>89</v>
      </c>
    </row>
    <row r="35" spans="1:7" ht="13.5" customHeight="1">
      <c r="A35" s="779" t="s">
        <v>351</v>
      </c>
      <c r="B35" s="215" t="s">
        <v>33</v>
      </c>
      <c r="C35" s="220">
        <f>ROUND(C34*F35,0)</f>
        <v>264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302</v>
      </c>
      <c r="D37" s="217">
        <f>'数据-汇总表'!E3</f>
        <v>15080.55</v>
      </c>
      <c r="E37" s="249">
        <f>'数据-取费表'!B35</f>
        <v>200</v>
      </c>
      <c r="F37" s="259"/>
      <c r="G37" s="261" t="s">
        <v>92</v>
      </c>
    </row>
    <row r="38" spans="1:7" ht="13.5" customHeight="1">
      <c r="A38" s="779" t="s">
        <v>354</v>
      </c>
      <c r="B38" s="215" t="s">
        <v>36</v>
      </c>
      <c r="C38" s="220">
        <f>ROUND(C34*F38,0)</f>
        <v>79</v>
      </c>
      <c r="D38" s="220"/>
      <c r="E38" s="220"/>
      <c r="F38" s="259">
        <f>'数据-取费表'!B36</f>
        <v>1.4999999999999999E-2</v>
      </c>
      <c r="G38" s="219" t="s">
        <v>90</v>
      </c>
    </row>
    <row r="39" spans="1:7" s="214" customFormat="1" ht="13.5" customHeight="1">
      <c r="A39" s="776" t="s">
        <v>338</v>
      </c>
      <c r="B39" s="210" t="s">
        <v>77</v>
      </c>
      <c r="C39" s="232">
        <f>ROUND(C33*F20,0)</f>
        <v>118</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208</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204</v>
      </c>
      <c r="D42" s="238"/>
      <c r="E42" s="238"/>
      <c r="F42" s="239"/>
      <c r="G42" s="3662" t="s">
        <v>94</v>
      </c>
    </row>
    <row r="43" spans="1:7" ht="13.5" customHeight="1">
      <c r="A43" s="779" t="s">
        <v>347</v>
      </c>
      <c r="B43" s="215" t="s">
        <v>426</v>
      </c>
      <c r="C43" s="238">
        <f ca="1">ROUND(IF('数据-取费表'!B22&lt;=1,C39*F22*'数据-取费表'!B21/2,C39*(POWER((1+F22),'数据-取费表'!B21/2)-1)),0)</f>
        <v>4</v>
      </c>
      <c r="D43" s="238"/>
      <c r="E43" s="238"/>
      <c r="F43" s="239"/>
      <c r="G43" s="3663"/>
    </row>
    <row r="44" spans="1:7" ht="13.5" customHeight="1">
      <c r="A44" s="779" t="s">
        <v>348</v>
      </c>
      <c r="B44" s="215" t="s">
        <v>428</v>
      </c>
      <c r="C44" s="238">
        <f ca="1">ROUND(IF('数据-取费表'!B22&lt;=1,C40*F22*'数据-取费表'!B21/2,C40*(POWER((1+F22),'数据-取费表'!B21/2)-1)),4)</f>
        <v>6.9999999999999999E-4</v>
      </c>
      <c r="D44" s="238"/>
      <c r="E44" s="238"/>
      <c r="F44" s="239"/>
      <c r="G44" s="3664"/>
    </row>
    <row r="45" spans="1:7" s="214" customFormat="1" ht="13.5" customHeight="1">
      <c r="A45" s="776" t="s">
        <v>341</v>
      </c>
      <c r="B45" s="244" t="s">
        <v>85</v>
      </c>
      <c r="C45" s="245">
        <f>C46</f>
        <v>906</v>
      </c>
      <c r="D45" s="235">
        <f>C47</f>
        <v>3.0000000000000001E-3</v>
      </c>
      <c r="E45" s="236" t="s">
        <v>102</v>
      </c>
      <c r="F45" s="246"/>
      <c r="G45" s="247" t="s">
        <v>434</v>
      </c>
    </row>
    <row r="46" spans="1:7" s="214" customFormat="1" ht="13.5" customHeight="1">
      <c r="A46" s="779" t="s">
        <v>349</v>
      </c>
      <c r="B46" s="248" t="s">
        <v>427</v>
      </c>
      <c r="C46" s="249">
        <f>ROUND((C33+C39)*F27,0)</f>
        <v>906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7752</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6434</v>
      </c>
      <c r="D51" s="232"/>
      <c r="E51" s="232"/>
      <c r="F51" s="264"/>
      <c r="G51" s="234" t="s">
        <v>37</v>
      </c>
    </row>
    <row r="52" spans="1:7" s="208" customFormat="1" ht="16.5" thickBot="1">
      <c r="A52" s="265" t="s">
        <v>38</v>
      </c>
      <c r="B52" s="266"/>
      <c r="C52" s="267">
        <f ca="1">C31+C51</f>
        <v>34617</v>
      </c>
      <c r="D52" s="266"/>
      <c r="E52" s="266"/>
      <c r="F52" s="266"/>
      <c r="G52" s="268"/>
    </row>
    <row r="55" spans="1:7" ht="15">
      <c r="B55" s="270" t="s">
        <v>39</v>
      </c>
      <c r="C55" s="271"/>
    </row>
    <row r="56" spans="1:7">
      <c r="B56" s="273" t="s">
        <v>40</v>
      </c>
      <c r="C56" s="274">
        <f ca="1">ROUND(C51/C52,3)</f>
        <v>0.186</v>
      </c>
    </row>
    <row r="57" spans="1:7">
      <c r="B57" s="273" t="s">
        <v>41</v>
      </c>
      <c r="C57" s="275">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2" t="s">
        <v>2844</v>
      </c>
      <c r="B1" s="3802"/>
      <c r="C1" s="3802"/>
      <c r="D1" s="3802"/>
      <c r="E1" s="3802"/>
      <c r="F1" s="3802"/>
      <c r="G1" s="3803"/>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00"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01"/>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4" t="s">
        <v>3186</v>
      </c>
      <c r="B1" s="3804"/>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805" t="s">
        <v>3237</v>
      </c>
      <c r="B1" s="3805"/>
      <c r="C1" s="3805"/>
      <c r="D1" s="3805"/>
      <c r="E1" s="3805"/>
      <c r="F1" s="3806"/>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9">
        <f>基准地价修正!G23</f>
        <v>45212</v>
      </c>
      <c r="B1" s="3208" t="s">
        <v>2843</v>
      </c>
      <c r="C1" s="3209"/>
      <c r="D1" s="3209"/>
      <c r="E1" s="3209"/>
      <c r="F1" s="3209"/>
      <c r="G1" s="3209"/>
      <c r="H1" s="3209"/>
      <c r="I1" s="3209"/>
      <c r="J1" s="3163"/>
      <c r="K1" s="3209" t="s">
        <v>454</v>
      </c>
      <c r="L1" s="3209"/>
      <c r="M1" s="3209"/>
      <c r="N1" s="3209"/>
      <c r="O1" s="3209"/>
      <c r="P1" s="3209"/>
      <c r="Q1" s="3163"/>
      <c r="R1" s="3807" t="s">
        <v>456</v>
      </c>
      <c r="S1" s="3808"/>
      <c r="T1" s="3808"/>
      <c r="U1" s="3808"/>
      <c r="V1" s="3808"/>
      <c r="W1" s="3808"/>
      <c r="X1" s="3163"/>
      <c r="Y1" s="3807" t="s">
        <v>457</v>
      </c>
      <c r="Z1" s="3808"/>
      <c r="AA1" s="3808"/>
      <c r="AB1" s="3808"/>
      <c r="AC1" s="3808"/>
      <c r="AD1" s="380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07" t="s">
        <v>2831</v>
      </c>
      <c r="S21" s="3808"/>
      <c r="T21" s="3808"/>
      <c r="U21" s="3808"/>
      <c r="V21" s="3808"/>
      <c r="W21" s="3808"/>
      <c r="X21" s="3163"/>
      <c r="Y21" s="3807" t="s">
        <v>2832</v>
      </c>
      <c r="Z21" s="3808"/>
      <c r="AA21" s="3808"/>
      <c r="AB21" s="3808"/>
      <c r="AC21" s="3808"/>
      <c r="AD21" s="3808"/>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45212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D74"/>
  <sheetViews>
    <sheetView topLeftCell="A52" workbookViewId="0">
      <selection activeCell="M71" sqref="M71"/>
    </sheetView>
  </sheetViews>
  <sheetFormatPr defaultRowHeight="13.5"/>
  <cols>
    <col min="3" max="3" width="9.875" customWidth="1"/>
  </cols>
  <sheetData>
    <row r="35" spans="3:3">
      <c r="C35" s="3472" t="s">
        <v>3498</v>
      </c>
    </row>
    <row r="36" spans="3:3">
      <c r="C36" s="3472" t="s">
        <v>3495</v>
      </c>
    </row>
    <row r="71" spans="4:4">
      <c r="D71" s="3472" t="s">
        <v>3496</v>
      </c>
    </row>
    <row r="72" spans="4:4">
      <c r="D72" s="3472" t="s">
        <v>3500</v>
      </c>
    </row>
    <row r="73" spans="4:4">
      <c r="D73" s="3472" t="s">
        <v>3497</v>
      </c>
    </row>
    <row r="74" spans="4:4">
      <c r="D74">
        <f>20/30</f>
        <v>0.66666666666666663</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
      <c r="A3" s="3491"/>
      <c r="B3" s="3491"/>
      <c r="C3" s="3491"/>
      <c r="D3" s="853" t="s">
        <v>925</v>
      </c>
      <c r="E3" s="853" t="s">
        <v>931</v>
      </c>
      <c r="F3" s="853" t="s">
        <v>925</v>
      </c>
      <c r="G3" s="853" t="s">
        <v>926</v>
      </c>
      <c r="H3" s="853" t="s">
        <v>925</v>
      </c>
      <c r="I3" s="853" t="s">
        <v>926</v>
      </c>
    </row>
    <row r="4" spans="1:9" ht="30">
      <c r="A4" s="1503" t="str">
        <f>项目基本情况!S2</f>
        <v>北京市石景山玉泉路59号院2号楼4层401-1501房地产</v>
      </c>
      <c r="B4" s="853">
        <f>项目基本情况!C17</f>
        <v>15080.55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75">
      <c r="A6" s="3492" t="str">
        <f>结果表!A120</f>
        <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
      </c>
      <c r="B8" s="3492"/>
      <c r="C8" s="3492"/>
      <c r="D8" s="3492" t="e">
        <f ca="1">结果表!D122</f>
        <v>#REF!</v>
      </c>
      <c r="E8" s="3492"/>
      <c r="F8" s="3492"/>
      <c r="G8" s="3492"/>
      <c r="H8" s="3492"/>
      <c r="I8" s="3492"/>
    </row>
    <row r="9" spans="1:9" ht="15">
      <c r="A9" s="3491" t="s">
        <v>927</v>
      </c>
      <c r="B9" s="3491"/>
      <c r="C9" s="3491"/>
      <c r="D9" s="3491" t="e">
        <f ca="1">结果表!D123</f>
        <v>#REF!</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8" t="s">
        <v>949</v>
      </c>
      <c r="B1" s="3498"/>
      <c r="C1" s="3498"/>
      <c r="D1" s="3498"/>
    </row>
    <row r="2" spans="1:4" ht="18">
      <c r="A2" s="3499" t="s">
        <v>933</v>
      </c>
      <c r="B2" s="3499"/>
      <c r="C2" s="3499"/>
      <c r="D2" s="3499"/>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499" t="s">
        <v>939</v>
      </c>
      <c r="B6" s="3499"/>
      <c r="C6" s="3499"/>
      <c r="D6" s="3499"/>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2" t="s">
        <v>956</v>
      </c>
      <c r="B15" s="3507" t="s">
        <v>109</v>
      </c>
      <c r="C15" s="3508"/>
    </row>
    <row r="16" spans="1:7" ht="13.5">
      <c r="A16" s="3513"/>
      <c r="B16" s="3507" t="s">
        <v>42</v>
      </c>
      <c r="C16" s="3508"/>
    </row>
    <row r="17" spans="1:3" ht="13.5">
      <c r="A17" s="3513"/>
      <c r="B17" s="3510" t="s">
        <v>957</v>
      </c>
      <c r="C17" s="1530" t="s">
        <v>956</v>
      </c>
    </row>
    <row r="18" spans="1:3" ht="13.5">
      <c r="A18" s="3513"/>
      <c r="B18" s="3510"/>
      <c r="C18" s="1530" t="s">
        <v>958</v>
      </c>
    </row>
    <row r="19" spans="1:3" ht="13.5">
      <c r="A19" s="3513"/>
      <c r="B19" s="3510"/>
      <c r="C19" s="1530" t="s">
        <v>959</v>
      </c>
    </row>
    <row r="20" spans="1:3" ht="13.5">
      <c r="A20" s="3514"/>
      <c r="B20" s="3509" t="s">
        <v>960</v>
      </c>
      <c r="C20" s="3508"/>
    </row>
    <row r="21" spans="1:3" ht="13.5">
      <c r="A21" s="1531" t="s">
        <v>961</v>
      </c>
      <c r="B21" s="1532"/>
      <c r="C21" s="1533"/>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0" t="s">
        <v>967</v>
      </c>
    </row>
    <row r="26" spans="1:3" ht="13.5">
      <c r="A26" s="3511"/>
      <c r="B26" s="3510"/>
      <c r="C26" s="1530" t="s">
        <v>968</v>
      </c>
    </row>
    <row r="27" spans="1:3" ht="13.5">
      <c r="A27" s="3511"/>
      <c r="B27" s="3510"/>
      <c r="C27" s="1530" t="s">
        <v>969</v>
      </c>
    </row>
    <row r="28" spans="1:3" ht="13.5">
      <c r="A28" s="3511"/>
      <c r="B28" s="3510"/>
      <c r="C28" s="1530" t="s">
        <v>970</v>
      </c>
    </row>
    <row r="29" spans="1:3" ht="13.5">
      <c r="A29" s="3511"/>
      <c r="B29" s="3510"/>
      <c r="C29" s="1530" t="s">
        <v>971</v>
      </c>
    </row>
    <row r="30" spans="1:3" ht="13.5">
      <c r="A30" s="3511"/>
      <c r="B30" s="3510"/>
      <c r="C30" s="1530" t="s">
        <v>972</v>
      </c>
    </row>
    <row r="31" spans="1:3" ht="13.5">
      <c r="A31" s="3511"/>
      <c r="B31" s="3510"/>
      <c r="C31" s="1530" t="s">
        <v>973</v>
      </c>
    </row>
    <row r="32" spans="1:3" ht="13.5">
      <c r="A32" s="3511"/>
      <c r="B32" s="3510"/>
      <c r="C32" s="1530" t="s">
        <v>974</v>
      </c>
    </row>
    <row r="33" spans="1:3" ht="13.5">
      <c r="A33" s="3511"/>
      <c r="B33" s="351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45217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5" t="s">
        <v>2159</v>
      </c>
      <c r="B17" s="3515"/>
      <c r="C17" s="3515"/>
      <c r="D17" s="3515"/>
      <c r="E17" s="3515"/>
      <c r="F17" s="3515"/>
      <c r="G17" s="3515"/>
      <c r="H17" s="3515"/>
    </row>
    <row r="18" spans="1:8" ht="24" customHeight="1">
      <c r="A18" s="3516" t="s">
        <v>2160</v>
      </c>
      <c r="B18" s="3516"/>
      <c r="C18" s="3516"/>
      <c r="D18" s="2341"/>
      <c r="E18" s="3517" t="s">
        <v>2161</v>
      </c>
      <c r="F18" s="3516"/>
      <c r="G18" s="351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燕保房屋清单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燕保房屋清单!Print_Area</vt:lpstr>
      <vt:lpstr>燕保房屋清单!Print_Titles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2023-10-18T05:31:43Z</dcterms:modified>
</cp:coreProperties>
</file>