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70" windowWidth="11310" windowHeight="10290" tabRatio="899" firstSheet="17"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 name="清单及结果表" sheetId="84"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0" i="34" l="1"/>
  <c r="F130" i="34" s="1"/>
  <c r="F16" i="84" l="1"/>
  <c r="D130" i="34" l="1"/>
  <c r="C18" i="31" l="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C34" i="34" l="1"/>
  <c r="D67" i="34"/>
  <c r="E67" i="34" s="1"/>
  <c r="F67" i="34" s="1"/>
  <c r="G67" i="34" s="1"/>
  <c r="H67" i="34" s="1"/>
  <c r="I67" i="34" s="1"/>
  <c r="J67" i="34" s="1"/>
  <c r="N19" i="1" l="1"/>
  <c r="N6" i="1" s="1"/>
  <c r="I13" i="3"/>
  <c r="B14" i="74" s="1"/>
  <c r="I15" i="80"/>
  <c r="K14" i="80"/>
  <c r="G14" i="80"/>
  <c r="K13" i="80"/>
  <c r="G13" i="80"/>
  <c r="K12" i="80"/>
  <c r="G12" i="80"/>
  <c r="K11" i="80"/>
  <c r="G11" i="80"/>
  <c r="K10" i="80"/>
  <c r="G10" i="80"/>
  <c r="K9" i="80"/>
  <c r="G9" i="80"/>
  <c r="K8" i="80"/>
  <c r="G8" i="80"/>
  <c r="K7" i="80"/>
  <c r="G7" i="80"/>
  <c r="K6" i="80"/>
  <c r="G6" i="80"/>
  <c r="K5" i="80"/>
  <c r="G5" i="80"/>
  <c r="K4" i="80"/>
  <c r="G4" i="80"/>
  <c r="K3" i="80"/>
  <c r="G3" i="80"/>
  <c r="F19" i="6"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O37" i="71"/>
  <c r="N37" i="71"/>
  <c r="X35" i="71" s="1"/>
  <c r="D37" i="71"/>
  <c r="Q36" i="71"/>
  <c r="P36" i="71"/>
  <c r="O36" i="71"/>
  <c r="Y36" i="71" s="1"/>
  <c r="Z36" i="71" s="1"/>
  <c r="N36" i="71"/>
  <c r="Q35" i="71"/>
  <c r="P35" i="71"/>
  <c r="O35" i="71"/>
  <c r="N35" i="71"/>
  <c r="Q34" i="71"/>
  <c r="P34" i="71"/>
  <c r="O34" i="71"/>
  <c r="N34" i="71"/>
  <c r="X34" i="71" s="1"/>
  <c r="Q33" i="71"/>
  <c r="F34" i="71" s="1"/>
  <c r="P33" i="71"/>
  <c r="O33" i="71"/>
  <c r="N33" i="71"/>
  <c r="X28" i="71" s="1"/>
  <c r="D33" i="71"/>
  <c r="Q32" i="71"/>
  <c r="AB28"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B34" i="71"/>
  <c r="B35" i="71" s="1"/>
  <c r="B36" i="71" s="1"/>
  <c r="S36" i="71" s="1"/>
  <c r="N68" i="71"/>
  <c r="C30" i="71"/>
  <c r="C34" i="71"/>
  <c r="C35" i="71"/>
  <c r="D35" i="71" s="1"/>
  <c r="C38" i="71"/>
  <c r="F51" i="71"/>
  <c r="F52" i="71" s="1"/>
  <c r="V52" i="71" s="1"/>
  <c r="B28" i="71"/>
  <c r="B27" i="71" s="1"/>
  <c r="B26" i="71" s="1"/>
  <c r="C31" i="71"/>
  <c r="D30" i="71"/>
  <c r="D34" i="71"/>
  <c r="D42" i="71"/>
  <c r="C51" i="71"/>
  <c r="D51" i="71" s="1"/>
  <c r="P28" i="71"/>
  <c r="E55" i="71"/>
  <c r="E56" i="71"/>
  <c r="U56" i="71" s="1"/>
  <c r="E59" i="71"/>
  <c r="E60" i="71" s="1"/>
  <c r="U60" i="71" s="1"/>
  <c r="E63" i="71"/>
  <c r="E64" i="71" s="1"/>
  <c r="U64" i="71" s="1"/>
  <c r="U68" i="71"/>
  <c r="Q28" i="71"/>
  <c r="F28" i="71" s="1"/>
  <c r="D54" i="71"/>
  <c r="D58" i="71"/>
  <c r="T68" i="71"/>
  <c r="O68" i="71"/>
  <c r="D68" i="71"/>
  <c r="C67" i="71"/>
  <c r="O67" i="71" s="1"/>
  <c r="Q68" i="71"/>
  <c r="C71" i="71"/>
  <c r="D71" i="71" s="1"/>
  <c r="C75" i="71"/>
  <c r="C74" i="71" s="1"/>
  <c r="D74" i="71" s="1"/>
  <c r="D76" i="71"/>
  <c r="C79" i="71"/>
  <c r="C83" i="71"/>
  <c r="S28" i="71"/>
  <c r="E28" i="71"/>
  <c r="E27" i="71" s="1"/>
  <c r="E26" i="71" s="1"/>
  <c r="C66" i="71"/>
  <c r="D67" i="71"/>
  <c r="D75" i="71"/>
  <c r="C70" i="71"/>
  <c r="D70" i="71" s="1"/>
  <c r="C56" i="71"/>
  <c r="C52" i="71"/>
  <c r="C44" i="71"/>
  <c r="T44" i="71" s="1"/>
  <c r="D43" i="71"/>
  <c r="C36" i="71"/>
  <c r="C32" i="71"/>
  <c r="T32" i="71" s="1"/>
  <c r="D31" i="71"/>
  <c r="D32"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2" i="20"/>
  <c r="B57" i="43"/>
  <c r="S25" i="40"/>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G83" i="21"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J5" i="3" s="1"/>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G5" i="3" s="1"/>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D114" i="34"/>
  <c r="E114" i="34" s="1"/>
  <c r="F38" i="34"/>
  <c r="S38" i="34" s="1"/>
  <c r="D112" i="34"/>
  <c r="F40" i="33"/>
  <c r="J41" i="33"/>
  <c r="W41" i="33" s="1"/>
  <c r="D113" i="33"/>
  <c r="F37" i="33"/>
  <c r="D111" i="33"/>
  <c r="E111" i="33" s="1"/>
  <c r="F111" i="33" s="1"/>
  <c r="S516" i="31"/>
  <c r="S518" i="31"/>
  <c r="S520" i="31"/>
  <c r="S522"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B108" i="37"/>
  <c r="C23" i="37"/>
  <c r="C19" i="37"/>
  <c r="C17" i="37"/>
  <c r="C15" i="37"/>
  <c r="B112" i="37"/>
  <c r="J40" i="37" s="1"/>
  <c r="AC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B71" i="36"/>
  <c r="D70" i="36"/>
  <c r="H22" i="36"/>
  <c r="AB22" i="36" s="1"/>
  <c r="D68" i="36"/>
  <c r="E68" i="36" s="1"/>
  <c r="F68" i="36" s="1"/>
  <c r="G68" i="36" s="1"/>
  <c r="D64" i="36"/>
  <c r="E64" i="36"/>
  <c r="F64" i="36" s="1"/>
  <c r="G64" i="36" s="1"/>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F47" i="34" s="1"/>
  <c r="S47" i="34" s="1"/>
  <c r="B129" i="34"/>
  <c r="H46" i="34" s="1"/>
  <c r="B127" i="34"/>
  <c r="B99" i="34"/>
  <c r="B97" i="34"/>
  <c r="H31" i="34" s="1"/>
  <c r="AB31" i="34" s="1"/>
  <c r="B95" i="34"/>
  <c r="B93" i="34"/>
  <c r="B75" i="34"/>
  <c r="B73" i="34"/>
  <c r="J13" i="34" s="1"/>
  <c r="W13" i="34" s="1"/>
  <c r="B71" i="34"/>
  <c r="B130" i="33"/>
  <c r="B128" i="33"/>
  <c r="B126" i="33"/>
  <c r="J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J26" i="21"/>
  <c r="W26" i="21" s="1"/>
  <c r="F26" i="21"/>
  <c r="S26" i="21" s="1"/>
  <c r="S41" i="21"/>
  <c r="F45" i="39"/>
  <c r="S45" i="39" s="1"/>
  <c r="J45" i="39"/>
  <c r="J44" i="39"/>
  <c r="AC44" i="39" s="1"/>
  <c r="F36" i="39"/>
  <c r="H36" i="39"/>
  <c r="J36" i="39"/>
  <c r="U9" i="39"/>
  <c r="W25" i="37"/>
  <c r="U30" i="37"/>
  <c r="W31" i="37"/>
  <c r="E103" i="37"/>
  <c r="F103" i="37" s="1"/>
  <c r="G103" i="37" s="1"/>
  <c r="H103" i="37" s="1"/>
  <c r="I103" i="37" s="1"/>
  <c r="J103" i="37" s="1"/>
  <c r="K103" i="37" s="1"/>
  <c r="L103" i="37" s="1"/>
  <c r="M103" i="37" s="1"/>
  <c r="F39" i="37"/>
  <c r="U14" i="37"/>
  <c r="F29" i="36"/>
  <c r="AA29" i="36" s="1"/>
  <c r="F16" i="36"/>
  <c r="AA16" i="36" s="1"/>
  <c r="W28" i="36"/>
  <c r="H22" i="35"/>
  <c r="AB22" i="35" s="1"/>
  <c r="AC27" i="35"/>
  <c r="U31" i="35"/>
  <c r="W22" i="35"/>
  <c r="F36" i="34"/>
  <c r="AA36" i="34" s="1"/>
  <c r="J35" i="34"/>
  <c r="U34" i="34"/>
  <c r="H39" i="33"/>
  <c r="AB39" i="33" s="1"/>
  <c r="F26" i="33"/>
  <c r="U33" i="33"/>
  <c r="S40" i="33"/>
  <c r="W33" i="33"/>
  <c r="W39" i="33"/>
  <c r="S27" i="35"/>
  <c r="F11" i="40"/>
  <c r="AA11" i="40"/>
  <c r="H11" i="40"/>
  <c r="AB11" i="40"/>
  <c r="AC9" i="40"/>
  <c r="S34" i="40"/>
  <c r="S38" i="40"/>
  <c r="F42" i="39"/>
  <c r="AA42" i="39" s="1"/>
  <c r="F41" i="39"/>
  <c r="S41" i="39" s="1"/>
  <c r="H40" i="39"/>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5"/>
  <c r="W32" i="40"/>
  <c r="S44" i="39"/>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14" i="35"/>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8" i="34"/>
  <c r="F25" i="34"/>
  <c r="S25" i="34" s="1"/>
  <c r="J23" i="34"/>
  <c r="W23" i="34" s="1"/>
  <c r="F19" i="34"/>
  <c r="AA19" i="34" s="1"/>
  <c r="H17" i="34"/>
  <c r="U17" i="34" s="1"/>
  <c r="F15" i="34"/>
  <c r="S15" i="34" s="1"/>
  <c r="J15" i="34"/>
  <c r="H15" i="34"/>
  <c r="AB15" i="34" s="1"/>
  <c r="J2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J43" i="34"/>
  <c r="AC43" i="34" s="1"/>
  <c r="AB42" i="34"/>
  <c r="J40" i="34"/>
  <c r="AC40" i="34" s="1"/>
  <c r="F114" i="34"/>
  <c r="G114" i="34" s="1"/>
  <c r="H114" i="34" s="1"/>
  <c r="I114" i="34" s="1"/>
  <c r="J114" i="34" s="1"/>
  <c r="K114" i="34" s="1"/>
  <c r="L114" i="34" s="1"/>
  <c r="M114" i="34" s="1"/>
  <c r="J36" i="34"/>
  <c r="W36" i="34" s="1"/>
  <c r="H25" i="34"/>
  <c r="AB25" i="34" s="1"/>
  <c r="J25" i="34"/>
  <c r="AC25" i="34" s="1"/>
  <c r="F23" i="34"/>
  <c r="AA23" i="34" s="1"/>
  <c r="J19" i="34"/>
  <c r="AC19" i="34" s="1"/>
  <c r="F17" i="34"/>
  <c r="AA17" i="34" s="1"/>
  <c r="AA15" i="34"/>
  <c r="F113" i="33"/>
  <c r="G113" i="33" s="1"/>
  <c r="H113" i="33" s="1"/>
  <c r="I113" i="33" s="1"/>
  <c r="J113" i="33" s="1"/>
  <c r="K113" i="33" s="1"/>
  <c r="L113" i="33" s="1"/>
  <c r="M113" i="33" s="1"/>
  <c r="H37" i="33"/>
  <c r="AB37" i="33" s="1"/>
  <c r="H15" i="33"/>
  <c r="AB15" i="33" s="1"/>
  <c r="H11" i="33"/>
  <c r="AB11" i="33" s="1"/>
  <c r="F28" i="40"/>
  <c r="AA28" i="40" s="1"/>
  <c r="AA42" i="34"/>
  <c r="S42" i="34"/>
  <c r="J11" i="33"/>
  <c r="W11" i="33" s="1"/>
  <c r="U23" i="40"/>
  <c r="J42" i="21"/>
  <c r="AC42" i="21"/>
  <c r="H42" i="21"/>
  <c r="U42" i="21"/>
  <c r="F44" i="34"/>
  <c r="AA44" i="34" s="1"/>
  <c r="J10" i="35"/>
  <c r="AC10" i="35" s="1"/>
  <c r="BL587" i="3"/>
  <c r="F14" i="21"/>
  <c r="S14" i="21" s="1"/>
  <c r="H28" i="21"/>
  <c r="AB28" i="21" s="1"/>
  <c r="F28" i="21"/>
  <c r="AA28" i="21" s="1"/>
  <c r="J28" i="21"/>
  <c r="F30" i="21"/>
  <c r="S30" i="21" s="1"/>
  <c r="F44" i="21"/>
  <c r="AA44"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U31" i="33" s="1"/>
  <c r="F31" i="33"/>
  <c r="H45" i="33"/>
  <c r="J45" i="33"/>
  <c r="W45" i="33" s="1"/>
  <c r="F45" i="33"/>
  <c r="J14" i="34"/>
  <c r="W14" i="34" s="1"/>
  <c r="F14" i="34"/>
  <c r="H14" i="34"/>
  <c r="H30" i="34"/>
  <c r="F30" i="34"/>
  <c r="S30" i="34" s="1"/>
  <c r="J30" i="34"/>
  <c r="W30" i="34" s="1"/>
  <c r="H32" i="34"/>
  <c r="F32" i="34"/>
  <c r="J32" i="34"/>
  <c r="W32" i="34" s="1"/>
  <c r="F46" i="34"/>
  <c r="S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F14" i="33"/>
  <c r="H30" i="33"/>
  <c r="AB30" i="33" s="1"/>
  <c r="F30" i="33"/>
  <c r="H44" i="33"/>
  <c r="AB44" i="33" s="1"/>
  <c r="F44" i="33"/>
  <c r="F46" i="33"/>
  <c r="AA46" i="33" s="1"/>
  <c r="H13" i="34"/>
  <c r="F13" i="34"/>
  <c r="AA13" i="34" s="1"/>
  <c r="F29" i="34"/>
  <c r="S29" i="34" s="1"/>
  <c r="J31" i="34"/>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H25" i="36"/>
  <c r="AB25" i="36" s="1"/>
  <c r="F13" i="37"/>
  <c r="S13" i="37" s="1"/>
  <c r="J13" i="37"/>
  <c r="W13" i="37" s="1"/>
  <c r="F28" i="37"/>
  <c r="AA28" i="37" s="1"/>
  <c r="J28" i="37"/>
  <c r="AC28" i="37" s="1"/>
  <c r="H28" i="37"/>
  <c r="U28" i="37" s="1"/>
  <c r="H38" i="37"/>
  <c r="AB38" i="37" s="1"/>
  <c r="J38" i="37"/>
  <c r="AC38" i="37" s="1"/>
  <c r="F38" i="37"/>
  <c r="S38" i="37" s="1"/>
  <c r="H43" i="39"/>
  <c r="AB43" i="39" s="1"/>
  <c r="J14" i="39"/>
  <c r="AC14" i="39" s="1"/>
  <c r="F14" i="39"/>
  <c r="AA14" i="39" s="1"/>
  <c r="H14" i="39"/>
  <c r="AB14" i="39"/>
  <c r="H30" i="40"/>
  <c r="AB30" i="40"/>
  <c r="F33" i="40"/>
  <c r="AA33" i="40"/>
  <c r="H33" i="40"/>
  <c r="U33" i="40"/>
  <c r="J35" i="40"/>
  <c r="AC35" i="40"/>
  <c r="J37" i="40"/>
  <c r="AC37" i="40"/>
  <c r="H13" i="40"/>
  <c r="U13" i="40"/>
  <c r="J13" i="40"/>
  <c r="W13" i="40"/>
  <c r="F13" i="40"/>
  <c r="AA13" i="40"/>
  <c r="F14" i="37"/>
  <c r="S14" i="37"/>
  <c r="J13" i="39"/>
  <c r="W13" i="39" s="1"/>
  <c r="H14" i="40"/>
  <c r="AB14" i="40" s="1"/>
  <c r="F14" i="40"/>
  <c r="J14" i="37"/>
  <c r="AC14" i="37" s="1"/>
  <c r="J27" i="37"/>
  <c r="AC27" i="37" s="1"/>
  <c r="U31" i="34"/>
  <c r="J36" i="37"/>
  <c r="AC36" i="37" s="1"/>
  <c r="G105" i="37"/>
  <c r="J10" i="36"/>
  <c r="AC10" i="36" s="1"/>
  <c r="AA14" i="37"/>
  <c r="AC13" i="36"/>
  <c r="W13" i="36"/>
  <c r="S11" i="36"/>
  <c r="AB31" i="33"/>
  <c r="S44" i="34"/>
  <c r="BA585" i="3"/>
  <c r="F17" i="21"/>
  <c r="AA17" i="21" s="1"/>
  <c r="H17" i="21"/>
  <c r="AB17" i="21" s="1"/>
  <c r="F15" i="21"/>
  <c r="S15" i="21" s="1"/>
  <c r="J41" i="39"/>
  <c r="W41" i="39" s="1"/>
  <c r="W44" i="39"/>
  <c r="G540" i="3"/>
  <c r="G535" i="3"/>
  <c r="G531" i="3"/>
  <c r="G527" i="3"/>
  <c r="G518" i="3"/>
  <c r="G510" i="3"/>
  <c r="G504" i="3"/>
  <c r="G496" i="3"/>
  <c r="G580" i="3"/>
  <c r="G572" i="3"/>
  <c r="BL576" i="3"/>
  <c r="BL568" i="3"/>
  <c r="BL560" i="3"/>
  <c r="BL546" i="3"/>
  <c r="BL538" i="3"/>
  <c r="AZ538" i="3" s="1"/>
  <c r="BL530" i="3"/>
  <c r="BL522" i="3"/>
  <c r="BL512" i="3"/>
  <c r="BL502" i="3"/>
  <c r="BL494" i="3"/>
  <c r="BL578" i="3"/>
  <c r="BL570" i="3"/>
  <c r="BL562" i="3"/>
  <c r="BL540" i="3"/>
  <c r="G533" i="3"/>
  <c r="G529" i="3"/>
  <c r="G525" i="3"/>
  <c r="BL518" i="3"/>
  <c r="BL510" i="3"/>
  <c r="BL500" i="3"/>
  <c r="G493" i="3"/>
  <c r="BA578" i="3"/>
  <c r="BA574" i="3"/>
  <c r="BA570" i="3"/>
  <c r="AZ570" i="3" s="1"/>
  <c r="BA566" i="3"/>
  <c r="BA558" i="3"/>
  <c r="BA546" i="3"/>
  <c r="AZ546" i="3" s="1"/>
  <c r="BA538" i="3"/>
  <c r="BA528" i="3"/>
  <c r="BA524" i="3"/>
  <c r="BA520" i="3"/>
  <c r="BA516" i="3"/>
  <c r="BA512" i="3"/>
  <c r="AZ512" i="3" s="1"/>
  <c r="BA510" i="3"/>
  <c r="AZ510" i="3" s="1"/>
  <c r="BA508" i="3"/>
  <c r="BA504" i="3"/>
  <c r="BA502" i="3"/>
  <c r="BA498" i="3"/>
  <c r="BA496" i="3"/>
  <c r="BA587" i="3"/>
  <c r="AZ587" i="3" s="1"/>
  <c r="BA579" i="3"/>
  <c r="BA575" i="3"/>
  <c r="BA571" i="3"/>
  <c r="BA567" i="3"/>
  <c r="BA553" i="3"/>
  <c r="BA547" i="3"/>
  <c r="BA543" i="3"/>
  <c r="AZ543" i="3" s="1"/>
  <c r="BA539" i="3"/>
  <c r="BA535" i="3"/>
  <c r="AZ535" i="3" s="1"/>
  <c r="BA531" i="3"/>
  <c r="BA527" i="3"/>
  <c r="AZ527" i="3" s="1"/>
  <c r="BA523" i="3"/>
  <c r="BA517" i="3"/>
  <c r="BA513" i="3"/>
  <c r="BA507" i="3"/>
  <c r="AZ507" i="3" s="1"/>
  <c r="BA503" i="3"/>
  <c r="BA499" i="3"/>
  <c r="BA495" i="3"/>
  <c r="G583" i="3"/>
  <c r="G579" i="3"/>
  <c r="G575" i="3"/>
  <c r="G571" i="3"/>
  <c r="G567" i="3"/>
  <c r="AC557" i="3"/>
  <c r="BQ557" i="3"/>
  <c r="BQ583" i="3"/>
  <c r="BQ581" i="3"/>
  <c r="BL581" i="3"/>
  <c r="BQ579" i="3"/>
  <c r="BL579" i="3"/>
  <c r="BQ577" i="3"/>
  <c r="BQ575" i="3"/>
  <c r="BQ573" i="3"/>
  <c r="BL573" i="3" s="1"/>
  <c r="BQ571" i="3"/>
  <c r="BL571" i="3"/>
  <c r="BQ569" i="3"/>
  <c r="BQ567" i="3"/>
  <c r="BQ565" i="3"/>
  <c r="BQ563" i="3"/>
  <c r="BQ561" i="3"/>
  <c r="BQ559" i="3"/>
  <c r="G553" i="3"/>
  <c r="G547" i="3"/>
  <c r="G543" i="3"/>
  <c r="G539" i="3"/>
  <c r="BQ555" i="3"/>
  <c r="BQ553" i="3"/>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BQ5" i="3" s="1"/>
  <c r="F28" i="6" s="1"/>
  <c r="O27" i="31"/>
  <c r="O28" i="31"/>
  <c r="O26" i="31"/>
  <c r="M27" i="31"/>
  <c r="M28" i="31"/>
  <c r="M26" i="31"/>
  <c r="I26" i="31"/>
  <c r="I25" i="31"/>
  <c r="K26" i="31"/>
  <c r="I27" i="31"/>
  <c r="K27" i="31"/>
  <c r="I28" i="31"/>
  <c r="K28" i="31"/>
  <c r="S21" i="40"/>
  <c r="H25" i="21"/>
  <c r="U25" i="21" s="1"/>
  <c r="F25" i="21"/>
  <c r="S25" i="21" s="1"/>
  <c r="J25" i="21"/>
  <c r="AC25" i="21" s="1"/>
  <c r="H43" i="33"/>
  <c r="H17" i="37"/>
  <c r="U1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c r="F123" i="33"/>
  <c r="G123" i="33"/>
  <c r="H123" i="33" s="1"/>
  <c r="I123" i="33" s="1"/>
  <c r="J123" i="33" s="1"/>
  <c r="K123" i="33" s="1"/>
  <c r="L123" i="33" s="1"/>
  <c r="M123" i="33" s="1"/>
  <c r="H42" i="33"/>
  <c r="AB42" i="33"/>
  <c r="J43" i="33"/>
  <c r="AC43" i="33" s="1"/>
  <c r="U14" i="40"/>
  <c r="U35" i="35"/>
  <c r="AA12" i="35"/>
  <c r="W14" i="37"/>
  <c r="AB28" i="37"/>
  <c r="U33" i="37"/>
  <c r="U26" i="37"/>
  <c r="AA13" i="33"/>
  <c r="AC45" i="33"/>
  <c r="U11" i="33"/>
  <c r="U19" i="21"/>
  <c r="U26" i="21"/>
  <c r="AB38" i="21"/>
  <c r="F43" i="33"/>
  <c r="AA43" i="33" s="1"/>
  <c r="W16" i="35"/>
  <c r="W40" i="37"/>
  <c r="H37" i="21"/>
  <c r="U37" i="21" s="1"/>
  <c r="S42" i="21"/>
  <c r="H19" i="34"/>
  <c r="AB19" i="34" s="1"/>
  <c r="F36" i="35"/>
  <c r="S36" i="35"/>
  <c r="J9" i="37"/>
  <c r="W9" i="37" s="1"/>
  <c r="H9" i="37"/>
  <c r="U9" i="37" s="1"/>
  <c r="F9" i="37"/>
  <c r="S9" i="37" s="1"/>
  <c r="J12" i="37"/>
  <c r="H12" i="37"/>
  <c r="AB12" i="37" s="1"/>
  <c r="F12" i="37"/>
  <c r="S12" i="37" s="1"/>
  <c r="E71" i="37"/>
  <c r="F15" i="37"/>
  <c r="AA15" i="37" s="1"/>
  <c r="F31" i="37"/>
  <c r="S31" i="37" s="1"/>
  <c r="F12" i="39"/>
  <c r="S12" i="39" s="1"/>
  <c r="J42" i="39"/>
  <c r="AC42" i="39" s="1"/>
  <c r="H21" i="40"/>
  <c r="AB21" i="40" s="1"/>
  <c r="H31" i="37"/>
  <c r="U31" i="37" s="1"/>
  <c r="F71" i="37"/>
  <c r="G71" i="37" s="1"/>
  <c r="J15" i="37"/>
  <c r="W15" i="37" s="1"/>
  <c r="AT6" i="3"/>
  <c r="H5" i="3"/>
  <c r="AA25" i="21"/>
  <c r="H19" i="40"/>
  <c r="U19" i="40" s="1"/>
  <c r="F88" i="40"/>
  <c r="G88" i="40" s="1"/>
  <c r="F19" i="40"/>
  <c r="S19" i="40" s="1"/>
  <c r="AC13" i="40"/>
  <c r="AB33" i="40"/>
  <c r="W23" i="39"/>
  <c r="U45" i="39"/>
  <c r="AB44" i="39"/>
  <c r="U44"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G4" i="4"/>
  <c r="I4" i="4"/>
  <c r="A2" i="9"/>
  <c r="F61" i="43"/>
  <c r="H64" i="43" s="1"/>
  <c r="AZ24" i="3"/>
  <c r="AZ28"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39" i="3"/>
  <c r="AZ43" i="3"/>
  <c r="AZ47" i="3"/>
  <c r="AZ59" i="3"/>
  <c r="AZ63" i="3"/>
  <c r="AZ71" i="3"/>
  <c r="AZ79" i="3"/>
  <c r="AZ83" i="3"/>
  <c r="AZ136" i="3"/>
  <c r="AZ152" i="3"/>
  <c r="AZ160" i="3"/>
  <c r="AZ168" i="3"/>
  <c r="AZ184" i="3"/>
  <c r="AZ192" i="3"/>
  <c r="AZ85" i="3"/>
  <c r="AZ93" i="3"/>
  <c r="AZ97" i="3"/>
  <c r="AZ101" i="3"/>
  <c r="AZ105" i="3"/>
  <c r="AZ109" i="3"/>
  <c r="AZ120" i="3"/>
  <c r="G534" i="3"/>
  <c r="G522" i="3"/>
  <c r="G512" i="3"/>
  <c r="G498"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1"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F5" i="3"/>
  <c r="AZ309" i="3"/>
  <c r="AZ325" i="3"/>
  <c r="AZ341" i="3"/>
  <c r="AC5" i="3"/>
  <c r="G548" i="3"/>
  <c r="G520" i="3"/>
  <c r="BS5" i="3"/>
  <c r="BK5" i="3"/>
  <c r="BC5" i="3"/>
  <c r="G17" i="3"/>
  <c r="BA17" i="3"/>
  <c r="AZ17" i="3" s="1"/>
  <c r="AZ350" i="3"/>
  <c r="AZ356" i="3"/>
  <c r="AZ364" i="3"/>
  <c r="BA15" i="3"/>
  <c r="AZ380" i="3"/>
  <c r="AZ388" i="3"/>
  <c r="G509" i="3"/>
  <c r="AZ491" i="3"/>
  <c r="AZ390" i="3"/>
  <c r="U36" i="40"/>
  <c r="F83" i="43"/>
  <c r="H85" i="43" s="1"/>
  <c r="F50" i="43"/>
  <c r="H54" i="43" s="1"/>
  <c r="F72" i="43"/>
  <c r="H75" i="43" s="1"/>
  <c r="U17" i="39"/>
  <c r="U43" i="21"/>
  <c r="AC35" i="21"/>
  <c r="G8" i="1"/>
  <c r="G10" i="1"/>
  <c r="AC11" i="39"/>
  <c r="W37" i="37"/>
  <c r="S15" i="37"/>
  <c r="J37" i="33"/>
  <c r="W37" i="33" s="1"/>
  <c r="G106" i="33"/>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c r="F20" i="35"/>
  <c r="AA20" i="35"/>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296" i="3"/>
  <c r="AZ114" i="3"/>
  <c r="AZ130" i="3"/>
  <c r="AZ21" i="3"/>
  <c r="AZ37" i="3"/>
  <c r="AZ42" i="3"/>
  <c r="AZ45" i="3"/>
  <c r="AZ58"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12" i="39"/>
  <c r="W12" i="39"/>
  <c r="AC39" i="40"/>
  <c r="W39" i="40"/>
  <c r="W12" i="33"/>
  <c r="AC12" i="33"/>
  <c r="AA32" i="36"/>
  <c r="S32" i="36"/>
  <c r="AZ408" i="3"/>
  <c r="AZ437" i="3"/>
  <c r="AZ441" i="3"/>
  <c r="AA39" i="34"/>
  <c r="BL14" i="3"/>
  <c r="AZ266" i="3"/>
  <c r="U30" i="33"/>
  <c r="AC13" i="34"/>
  <c r="AA47" i="34"/>
  <c r="W28" i="37"/>
  <c r="S19" i="39"/>
  <c r="F12" i="33"/>
  <c r="H12" i="39"/>
  <c r="AB12" i="39" s="1"/>
  <c r="F39" i="40"/>
  <c r="AA39" i="40" s="1"/>
  <c r="BA14" i="3"/>
  <c r="AZ367" i="3"/>
  <c r="AZ224" i="3"/>
  <c r="AZ234" i="3"/>
  <c r="AZ254" i="3"/>
  <c r="AZ281" i="3"/>
  <c r="AZ149" i="3"/>
  <c r="AZ165" i="3"/>
  <c r="AZ181" i="3"/>
  <c r="AZ197" i="3"/>
  <c r="AZ19" i="3"/>
  <c r="AZ26" i="3"/>
  <c r="AZ35" i="3"/>
  <c r="AZ41" i="3"/>
  <c r="B12" i="1"/>
  <c r="E12" i="1" s="1"/>
  <c r="B10" i="1"/>
  <c r="E10" i="1" s="1"/>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U21" i="40"/>
  <c r="U37" i="39"/>
  <c r="S37" i="39"/>
  <c r="F32" i="39"/>
  <c r="AA32" i="39" s="1"/>
  <c r="F106" i="39"/>
  <c r="G106" i="39" s="1"/>
  <c r="H106" i="39" s="1"/>
  <c r="I106" i="39" s="1"/>
  <c r="J106" i="39" s="1"/>
  <c r="K106" i="39" s="1"/>
  <c r="L106" i="39" s="1"/>
  <c r="M106" i="39" s="1"/>
  <c r="U25" i="39"/>
  <c r="U31" i="39"/>
  <c r="J21" i="39"/>
  <c r="W21" i="39" s="1"/>
  <c r="F21" i="39"/>
  <c r="AA21" i="39" s="1"/>
  <c r="G94" i="39"/>
  <c r="H21" i="39"/>
  <c r="AB21" i="39" s="1"/>
  <c r="W19" i="39"/>
  <c r="U19" i="39"/>
  <c r="S15" i="39"/>
  <c r="AA12" i="39"/>
  <c r="S9" i="39"/>
  <c r="U14" i="39"/>
  <c r="AC13" i="39"/>
  <c r="S23" i="36"/>
  <c r="U13" i="36"/>
  <c r="U26" i="36"/>
  <c r="AA26" i="36"/>
  <c r="AC26" i="36"/>
  <c r="AA22" i="36"/>
  <c r="W14" i="36"/>
  <c r="AB14" i="36"/>
  <c r="U22" i="36"/>
  <c r="S16" i="36"/>
  <c r="AA25" i="36"/>
  <c r="U24" i="36"/>
  <c r="U23" i="36"/>
  <c r="AB20" i="36"/>
  <c r="U16" i="36"/>
  <c r="S14" i="36"/>
  <c r="AA25"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S32" i="37"/>
  <c r="W30" i="37"/>
  <c r="AA38" i="37"/>
  <c r="U32" i="37"/>
  <c r="W38" i="37"/>
  <c r="AC35" i="37"/>
  <c r="S37" i="37"/>
  <c r="J17" i="37"/>
  <c r="W17" i="37" s="1"/>
  <c r="G73" i="37"/>
  <c r="F17" i="37"/>
  <c r="AA17" i="37" s="1"/>
  <c r="AB17" i="37"/>
  <c r="F75" i="37"/>
  <c r="F19" i="37"/>
  <c r="F79" i="37"/>
  <c r="G79" i="37" s="1"/>
  <c r="F23" i="37"/>
  <c r="S23" i="37" s="1"/>
  <c r="U23" i="37"/>
  <c r="U15" i="37"/>
  <c r="AC13" i="37"/>
  <c r="H10" i="37"/>
  <c r="AB10" i="37" s="1"/>
  <c r="F63" i="37"/>
  <c r="F11" i="37"/>
  <c r="S11" i="37" s="1"/>
  <c r="W25" i="34"/>
  <c r="AB8" i="34"/>
  <c r="AA33" i="34"/>
  <c r="U43" i="34"/>
  <c r="AC39"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U43" i="39"/>
  <c r="AB11" i="39"/>
  <c r="U11" i="39"/>
  <c r="AA27" i="39"/>
  <c r="S27" i="39"/>
  <c r="W17" i="39"/>
  <c r="W31" i="39"/>
  <c r="AC31" i="39"/>
  <c r="S23" i="39"/>
  <c r="AA45" i="39"/>
  <c r="AB39" i="39"/>
  <c r="U38" i="39"/>
  <c r="S8" i="39"/>
  <c r="S20" i="36"/>
  <c r="U32" i="36"/>
  <c r="W29" i="36"/>
  <c r="AC20" i="36"/>
  <c r="U25" i="36"/>
  <c r="AB28" i="36"/>
  <c r="AA13" i="36"/>
  <c r="W22" i="36"/>
  <c r="W23" i="36"/>
  <c r="AB20" i="35"/>
  <c r="U25" i="35"/>
  <c r="S24" i="35"/>
  <c r="W35" i="35"/>
  <c r="AA16" i="35"/>
  <c r="AA35" i="37"/>
  <c r="S28" i="37"/>
  <c r="W32" i="37"/>
  <c r="U36" i="37"/>
  <c r="S40" i="37"/>
  <c r="U38" i="37"/>
  <c r="AB37" i="37"/>
  <c r="AB35" i="37"/>
  <c r="AA31" i="37"/>
  <c r="U19" i="37"/>
  <c r="AA29" i="37"/>
  <c r="U8" i="37"/>
  <c r="AA31" i="34"/>
  <c r="AA30" i="34"/>
  <c r="AB47" i="34"/>
  <c r="AC14" i="34"/>
  <c r="AC32" i="34"/>
  <c r="S32" i="34"/>
  <c r="AA32" i="34"/>
  <c r="U30" i="34"/>
  <c r="AB30" i="34"/>
  <c r="S19" i="34"/>
  <c r="S36" i="34"/>
  <c r="U9" i="34"/>
  <c r="AA46" i="34"/>
  <c r="U32" i="34"/>
  <c r="AB32" i="34"/>
  <c r="U14" i="34"/>
  <c r="AB14" i="34"/>
  <c r="AC23" i="34"/>
  <c r="AC35" i="34"/>
  <c r="W35" i="34"/>
  <c r="U12" i="34"/>
  <c r="AB12" i="34"/>
  <c r="AC37" i="33"/>
  <c r="U39" i="33"/>
  <c r="U38" i="33"/>
  <c r="S33" i="33"/>
  <c r="AB34" i="33"/>
  <c r="U44" i="33"/>
  <c r="S30" i="33"/>
  <c r="AA30" i="33"/>
  <c r="AC30" i="33"/>
  <c r="W30" i="33"/>
  <c r="S31" i="33"/>
  <c r="AA31" i="33"/>
  <c r="W13" i="33"/>
  <c r="AC13" i="33"/>
  <c r="U15" i="33"/>
  <c r="S11" i="33"/>
  <c r="U37"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c r="J17" i="21"/>
  <c r="AC17" i="21" s="1"/>
  <c r="AC19" i="21"/>
  <c r="W39"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A30" i="21"/>
  <c r="W13" i="21"/>
  <c r="W42" i="21"/>
  <c r="AC45" i="21"/>
  <c r="F10" i="21"/>
  <c r="AA10" i="21" s="1"/>
  <c r="K145" i="21"/>
  <c r="W17" i="21"/>
  <c r="W25" i="21"/>
  <c r="AA29"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S32" i="39"/>
  <c r="U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B23" i="33"/>
  <c r="U23" i="33"/>
  <c r="F23" i="33"/>
  <c r="AA23" i="33" s="1"/>
  <c r="AC23" i="33"/>
  <c r="W23" i="33"/>
  <c r="AA19" i="33"/>
  <c r="H19" i="33"/>
  <c r="G81" i="33"/>
  <c r="H17" i="33"/>
  <c r="AB17" i="33" s="1"/>
  <c r="F17" i="33"/>
  <c r="S17" i="33" s="1"/>
  <c r="W17" i="33"/>
  <c r="AC17" i="33"/>
  <c r="S37" i="21"/>
  <c r="AA23" i="21"/>
  <c r="AB15" i="21"/>
  <c r="J23" i="21"/>
  <c r="W23" i="21" s="1"/>
  <c r="F85" i="21"/>
  <c r="G85" i="21" s="1"/>
  <c r="H23" i="21"/>
  <c r="AB23" i="21" s="1"/>
  <c r="S13" i="21"/>
  <c r="D6" i="52"/>
  <c r="AP7" i="1"/>
  <c r="AB45" i="2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AC27" i="33"/>
  <c r="W25" i="33"/>
  <c r="AC25" i="33"/>
  <c r="S23" i="33"/>
  <c r="AB19" i="33"/>
  <c r="U19" i="33"/>
  <c r="AA17" i="33"/>
  <c r="U17" i="33"/>
  <c r="U23" i="21"/>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Y20" i="71"/>
  <c r="Z20" i="71" s="1"/>
  <c r="X3" i="71"/>
  <c r="C21" i="71"/>
  <c r="D21" i="71" s="1"/>
  <c r="AO13" i="1"/>
  <c r="M24" i="67"/>
  <c r="B9" i="76"/>
  <c r="F40" i="15"/>
  <c r="F6" i="73"/>
  <c r="D35" i="9"/>
  <c r="F43" i="67"/>
  <c r="L48" i="15"/>
  <c r="C76" i="15"/>
  <c r="F38" i="67"/>
  <c r="M6" i="67"/>
  <c r="F42" i="15"/>
  <c r="F37" i="15"/>
  <c r="F5" i="73"/>
  <c r="D3" i="73"/>
  <c r="B8" i="76"/>
  <c r="F3" i="73"/>
  <c r="F38" i="15"/>
  <c r="E13" i="76"/>
  <c r="B7" i="76"/>
  <c r="M28" i="15"/>
  <c r="F26" i="67"/>
  <c r="C76" i="67"/>
  <c r="F26" i="15"/>
  <c r="F7" i="15"/>
  <c r="M8" i="67"/>
  <c r="E2" i="69"/>
  <c r="F36" i="15"/>
  <c r="M22" i="67"/>
  <c r="F13" i="67"/>
  <c r="J15" i="15"/>
  <c r="M28" i="67"/>
  <c r="F20" i="31"/>
  <c r="M26" i="67"/>
  <c r="E7" i="76"/>
  <c r="F4" i="73"/>
  <c r="F40" i="67"/>
  <c r="F13" i="15"/>
  <c r="B11" i="76"/>
  <c r="M9" i="67"/>
  <c r="L47" i="67"/>
  <c r="E8" i="76"/>
  <c r="F9" i="15"/>
  <c r="J15" i="67"/>
  <c r="E12" i="76"/>
  <c r="B12" i="76"/>
  <c r="B13" i="76"/>
  <c r="F36" i="67"/>
  <c r="M22" i="15"/>
  <c r="F7" i="73"/>
  <c r="D34" i="9"/>
  <c r="M9" i="15"/>
  <c r="F6" i="15"/>
  <c r="D4" i="73"/>
  <c r="M23" i="15"/>
  <c r="E9" i="76"/>
  <c r="E11" i="76"/>
  <c r="B10" i="76"/>
  <c r="F43" i="15"/>
  <c r="M23" i="67"/>
  <c r="M24" i="15"/>
  <c r="F37" i="67"/>
  <c r="F7" i="67"/>
  <c r="L47" i="15"/>
  <c r="D7" i="73"/>
  <c r="F8" i="67"/>
  <c r="F16" i="67"/>
  <c r="F16" i="15"/>
  <c r="D5" i="73"/>
  <c r="E2" i="68"/>
  <c r="M29" i="67"/>
  <c r="F8" i="15"/>
  <c r="F9" i="67"/>
  <c r="E10" i="76"/>
  <c r="M29" i="15"/>
  <c r="M6" i="15"/>
  <c r="M26" i="15"/>
  <c r="M8" i="15"/>
  <c r="F6" i="67"/>
  <c r="F42" i="67"/>
  <c r="L48" i="67"/>
  <c r="D6" i="73"/>
  <c r="AA12" i="34" l="1"/>
  <c r="AA8" i="34"/>
  <c r="J46" i="34"/>
  <c r="H38" i="34"/>
  <c r="AB38" i="34" s="1"/>
  <c r="AA38" i="34"/>
  <c r="AZ563" i="3"/>
  <c r="C20" i="71"/>
  <c r="AZ558" i="3"/>
  <c r="U46" i="34"/>
  <c r="AB46" i="34"/>
  <c r="S14" i="34"/>
  <c r="AA14" i="34"/>
  <c r="AA45" i="33"/>
  <c r="S45" i="33"/>
  <c r="U45" i="33"/>
  <c r="AB45" i="33"/>
  <c r="AC29" i="33"/>
  <c r="W29" i="33"/>
  <c r="AB33" i="35"/>
  <c r="U33" i="35"/>
  <c r="S39" i="37"/>
  <c r="AA39" i="37"/>
  <c r="AB31" i="36"/>
  <c r="U31" i="36"/>
  <c r="AC26" i="37"/>
  <c r="W26" i="37"/>
  <c r="H25" i="37"/>
  <c r="F25" i="37"/>
  <c r="F13" i="39"/>
  <c r="H13" i="39"/>
  <c r="J31" i="40"/>
  <c r="H31" i="40"/>
  <c r="W38" i="34"/>
  <c r="AC38" i="34"/>
  <c r="S34" i="37"/>
  <c r="AA34" i="37"/>
  <c r="AA31" i="35"/>
  <c r="S31" i="35"/>
  <c r="H35" i="39"/>
  <c r="F35" i="39"/>
  <c r="BA583" i="3"/>
  <c r="BA565" i="3"/>
  <c r="BL563" i="3"/>
  <c r="BL561" i="3"/>
  <c r="AZ561" i="3" s="1"/>
  <c r="BA561" i="3"/>
  <c r="BA559" i="3"/>
  <c r="BA557" i="3"/>
  <c r="BL556" i="3"/>
  <c r="BA556" i="3"/>
  <c r="BL554" i="3"/>
  <c r="AZ554" i="3" s="1"/>
  <c r="BL552" i="3"/>
  <c r="BA552" i="3"/>
  <c r="AC17" i="37"/>
  <c r="AA31" i="21"/>
  <c r="S44" i="21"/>
  <c r="AC34" i="37"/>
  <c r="W36" i="37"/>
  <c r="S35" i="35"/>
  <c r="AC25" i="35"/>
  <c r="AC25" i="36"/>
  <c r="W34" i="39"/>
  <c r="S46" i="33"/>
  <c r="S23" i="34"/>
  <c r="AC42" i="34"/>
  <c r="AA13" i="37"/>
  <c r="AC15" i="37"/>
  <c r="S30" i="37"/>
  <c r="S36" i="37"/>
  <c r="AB31" i="37"/>
  <c r="U29" i="37"/>
  <c r="S26" i="37"/>
  <c r="S24" i="36"/>
  <c r="S33" i="36"/>
  <c r="U12" i="39"/>
  <c r="S17" i="39"/>
  <c r="AB27" i="39"/>
  <c r="AB19" i="40"/>
  <c r="AA27" i="40"/>
  <c r="AA19" i="40"/>
  <c r="AZ14" i="3"/>
  <c r="AC33" i="40"/>
  <c r="BB5" i="3"/>
  <c r="BN5" i="3"/>
  <c r="AZ305" i="3"/>
  <c r="W12" i="37"/>
  <c r="AC12" i="37"/>
  <c r="AC30" i="34"/>
  <c r="U34" i="37"/>
  <c r="S29" i="35"/>
  <c r="AA29" i="35"/>
  <c r="W28" i="34"/>
  <c r="AC28" i="34"/>
  <c r="W15" i="34"/>
  <c r="AC15" i="34"/>
  <c r="AA28" i="34"/>
  <c r="S28" i="34"/>
  <c r="AC40" i="40"/>
  <c r="AA26" i="33"/>
  <c r="S26" i="33"/>
  <c r="J35" i="39"/>
  <c r="S36" i="39"/>
  <c r="AA36" i="39"/>
  <c r="W45" i="39"/>
  <c r="AC45" i="39"/>
  <c r="J27" i="21"/>
  <c r="F27" i="21"/>
  <c r="H30" i="21"/>
  <c r="J30" i="21"/>
  <c r="H44" i="21"/>
  <c r="J44" i="21"/>
  <c r="H46" i="21"/>
  <c r="F46" i="21"/>
  <c r="J46" i="21"/>
  <c r="B72" i="43"/>
  <c r="C15" i="39"/>
  <c r="B101" i="43"/>
  <c r="B79" i="43"/>
  <c r="C25" i="39"/>
  <c r="B97" i="43"/>
  <c r="B75" i="43"/>
  <c r="AC23" i="35"/>
  <c r="W23" i="35"/>
  <c r="AC28" i="35"/>
  <c r="W28" i="35"/>
  <c r="AB34" i="35"/>
  <c r="U34" i="35"/>
  <c r="J24" i="35"/>
  <c r="H24" i="35"/>
  <c r="J34" i="35"/>
  <c r="F34" i="35"/>
  <c r="AC8" i="40"/>
  <c r="W8" i="40"/>
  <c r="AB9" i="40"/>
  <c r="U9" i="40"/>
  <c r="AB34" i="40"/>
  <c r="U34" i="40"/>
  <c r="F40" i="40"/>
  <c r="AA14" i="40"/>
  <c r="S14" i="40"/>
  <c r="AC47" i="34"/>
  <c r="W47" i="34"/>
  <c r="AC31" i="34"/>
  <c r="W31" i="34"/>
  <c r="AC36" i="39"/>
  <c r="W36" i="39"/>
  <c r="H34" i="36"/>
  <c r="J34" i="36"/>
  <c r="W34" i="36" s="1"/>
  <c r="F34" i="36"/>
  <c r="H33" i="36"/>
  <c r="J33" i="36"/>
  <c r="AC33" i="36" s="1"/>
  <c r="U8" i="39"/>
  <c r="AB8" i="39"/>
  <c r="AC40" i="39"/>
  <c r="W40" i="39"/>
  <c r="AB40" i="40"/>
  <c r="U40" i="40"/>
  <c r="W31" i="35"/>
  <c r="AC31" i="35"/>
  <c r="W30" i="36"/>
  <c r="AC30" i="36"/>
  <c r="BL584" i="3"/>
  <c r="AZ584" i="3" s="1"/>
  <c r="BA584" i="3"/>
  <c r="BL582" i="3"/>
  <c r="AZ582" i="3" s="1"/>
  <c r="BL564" i="3"/>
  <c r="BA564" i="3"/>
  <c r="AZ564" i="3" s="1"/>
  <c r="BA562" i="3"/>
  <c r="AZ562" i="3" s="1"/>
  <c r="BA560" i="3"/>
  <c r="AZ560" i="3" s="1"/>
  <c r="BL555" i="3"/>
  <c r="BA555" i="3"/>
  <c r="AZ343" i="3"/>
  <c r="AA11" i="39"/>
  <c r="S11" i="39"/>
  <c r="G7" i="34"/>
  <c r="I7" i="34"/>
  <c r="E7" i="34"/>
  <c r="AB43" i="33"/>
  <c r="U43" i="33"/>
  <c r="BL553" i="3"/>
  <c r="AZ553" i="3" s="1"/>
  <c r="BL565" i="3"/>
  <c r="AZ565" i="3" s="1"/>
  <c r="BL583" i="3"/>
  <c r="AZ583" i="3" s="1"/>
  <c r="G557" i="3"/>
  <c r="AZ503" i="3"/>
  <c r="AZ523" i="3"/>
  <c r="AZ531" i="3"/>
  <c r="AZ539" i="3"/>
  <c r="AZ547" i="3"/>
  <c r="AZ502" i="3"/>
  <c r="AZ578" i="3"/>
  <c r="U13" i="34"/>
  <c r="AB13" i="34"/>
  <c r="S44" i="33"/>
  <c r="AA44" i="33"/>
  <c r="S14" i="33"/>
  <c r="AA14" i="33"/>
  <c r="W31" i="33"/>
  <c r="AC31" i="33"/>
  <c r="W28" i="21"/>
  <c r="AC28" i="21"/>
  <c r="AA41" i="33"/>
  <c r="S41" i="33"/>
  <c r="AA14" i="35"/>
  <c r="S14" i="35"/>
  <c r="AB40" i="39"/>
  <c r="U40" i="39"/>
  <c r="AB36" i="39"/>
  <c r="U36" i="39"/>
  <c r="AB12" i="21"/>
  <c r="U12" i="21"/>
  <c r="AB35" i="21"/>
  <c r="U35" i="21"/>
  <c r="BA586" i="3"/>
  <c r="S12" i="21"/>
  <c r="AA12" i="21"/>
  <c r="J14" i="21"/>
  <c r="H14" i="21"/>
  <c r="AA40" i="21"/>
  <c r="S40" i="21"/>
  <c r="B94" i="43"/>
  <c r="B73" i="43"/>
  <c r="B99" i="43"/>
  <c r="B76" i="43"/>
  <c r="C27" i="39"/>
  <c r="U12" i="33"/>
  <c r="AB12" i="33"/>
  <c r="AB35" i="33"/>
  <c r="U35" i="33"/>
  <c r="AC40" i="33"/>
  <c r="W40" i="33"/>
  <c r="H28" i="33"/>
  <c r="F28" i="33"/>
  <c r="J28" i="33"/>
  <c r="J26" i="33"/>
  <c r="H26" i="33"/>
  <c r="E80" i="34"/>
  <c r="F80" i="34" s="1"/>
  <c r="G80" i="34" s="1"/>
  <c r="J17" i="34"/>
  <c r="W17" i="34" s="1"/>
  <c r="E86" i="34"/>
  <c r="F86" i="34" s="1"/>
  <c r="G86" i="34" s="1"/>
  <c r="H23" i="34"/>
  <c r="U23" i="34" s="1"/>
  <c r="J27" i="34"/>
  <c r="F27" i="34"/>
  <c r="E126" i="34"/>
  <c r="F126" i="34" s="1"/>
  <c r="G126" i="34" s="1"/>
  <c r="J44" i="34"/>
  <c r="E90" i="34"/>
  <c r="D18" i="31"/>
  <c r="AC36" i="35"/>
  <c r="W36" i="35"/>
  <c r="H14" i="33"/>
  <c r="J14" i="33"/>
  <c r="AC44" i="33"/>
  <c r="W44" i="33"/>
  <c r="J46" i="33"/>
  <c r="H46" i="33"/>
  <c r="AB46" i="33" s="1"/>
  <c r="J29" i="34"/>
  <c r="H29" i="34"/>
  <c r="H45" i="34"/>
  <c r="U45" i="34" s="1"/>
  <c r="F45" i="34"/>
  <c r="S45" i="34" s="1"/>
  <c r="F13" i="35"/>
  <c r="S13" i="35" s="1"/>
  <c r="H13" i="35"/>
  <c r="H23" i="35"/>
  <c r="F23" i="35"/>
  <c r="AB9" i="36"/>
  <c r="U9" i="36"/>
  <c r="J9" i="36"/>
  <c r="F9" i="36"/>
  <c r="J12" i="36"/>
  <c r="H12" i="36"/>
  <c r="F12" i="36"/>
  <c r="AC24" i="36"/>
  <c r="W24" i="36"/>
  <c r="AB13" i="37"/>
  <c r="U13" i="37"/>
  <c r="H27" i="37"/>
  <c r="F27" i="37"/>
  <c r="J39" i="37"/>
  <c r="H39" i="37"/>
  <c r="J43" i="39"/>
  <c r="F43" i="39"/>
  <c r="S9" i="40"/>
  <c r="AA9" i="40"/>
  <c r="J12" i="40"/>
  <c r="F12" i="40"/>
  <c r="H12" i="40"/>
  <c r="U41" i="21"/>
  <c r="AB41" i="21"/>
  <c r="E112" i="34"/>
  <c r="BA581" i="3"/>
  <c r="AZ581" i="3" s="1"/>
  <c r="BL580" i="3"/>
  <c r="BA580" i="3"/>
  <c r="AZ580" i="3" s="1"/>
  <c r="BA577" i="3"/>
  <c r="BA576" i="3"/>
  <c r="BL575" i="3"/>
  <c r="BL574" i="3"/>
  <c r="AZ574" i="3" s="1"/>
  <c r="BA573" i="3"/>
  <c r="AZ573" i="3" s="1"/>
  <c r="BL572" i="3"/>
  <c r="BA572" i="3"/>
  <c r="BA569" i="3"/>
  <c r="BA568" i="3"/>
  <c r="BL567" i="3"/>
  <c r="BL566" i="3"/>
  <c r="AZ566" i="3" s="1"/>
  <c r="BA551" i="3"/>
  <c r="AZ551" i="3" s="1"/>
  <c r="BL549" i="3"/>
  <c r="BA549" i="3"/>
  <c r="AZ549" i="3" s="1"/>
  <c r="BL548" i="3"/>
  <c r="BA548" i="3"/>
  <c r="AZ548" i="3" s="1"/>
  <c r="BL545" i="3"/>
  <c r="BA545" i="3"/>
  <c r="BL544" i="3"/>
  <c r="BA544" i="3"/>
  <c r="AZ544" i="3" s="1"/>
  <c r="BL542" i="3"/>
  <c r="BA542" i="3"/>
  <c r="AZ542" i="3" s="1"/>
  <c r="BL541" i="3"/>
  <c r="BA541" i="3"/>
  <c r="BA540" i="3"/>
  <c r="AZ540" i="3" s="1"/>
  <c r="BL537" i="3"/>
  <c r="AZ537" i="3" s="1"/>
  <c r="BA537" i="3"/>
  <c r="BL536" i="3"/>
  <c r="BA536" i="3"/>
  <c r="BL534" i="3"/>
  <c r="BA534" i="3"/>
  <c r="BL533" i="3"/>
  <c r="AZ533" i="3" s="1"/>
  <c r="BA533" i="3"/>
  <c r="BL532" i="3"/>
  <c r="BA532" i="3"/>
  <c r="BA530" i="3"/>
  <c r="AZ530" i="3" s="1"/>
  <c r="BL529" i="3"/>
  <c r="BA529" i="3"/>
  <c r="BL528" i="3"/>
  <c r="AZ528" i="3" s="1"/>
  <c r="BL526" i="3"/>
  <c r="BA526" i="3"/>
  <c r="BL525" i="3"/>
  <c r="AZ525" i="3" s="1"/>
  <c r="BA525" i="3"/>
  <c r="BL524" i="3"/>
  <c r="AZ524" i="3" s="1"/>
  <c r="BA522" i="3"/>
  <c r="AZ522" i="3" s="1"/>
  <c r="BL520" i="3"/>
  <c r="AZ520" i="3" s="1"/>
  <c r="BA519" i="3"/>
  <c r="AZ519" i="3" s="1"/>
  <c r="BA518" i="3"/>
  <c r="AZ518" i="3" s="1"/>
  <c r="BL516" i="3"/>
  <c r="AZ516" i="3" s="1"/>
  <c r="BA515" i="3"/>
  <c r="BL514" i="3"/>
  <c r="BA514" i="3"/>
  <c r="AZ514" i="3" s="1"/>
  <c r="BL513" i="3"/>
  <c r="BA511" i="3"/>
  <c r="AZ511" i="3" s="1"/>
  <c r="BA509" i="3"/>
  <c r="AZ509" i="3" s="1"/>
  <c r="BL508" i="3"/>
  <c r="AZ508" i="3" s="1"/>
  <c r="BL506" i="3"/>
  <c r="BA506" i="3"/>
  <c r="AZ506" i="3" s="1"/>
  <c r="BL505" i="3"/>
  <c r="BA505" i="3"/>
  <c r="BL504" i="3"/>
  <c r="AZ504" i="3" s="1"/>
  <c r="BL501" i="3"/>
  <c r="BA501" i="3"/>
  <c r="BA500" i="3"/>
  <c r="AZ500" i="3" s="1"/>
  <c r="BL499" i="3"/>
  <c r="AZ499" i="3" s="1"/>
  <c r="BL498" i="3"/>
  <c r="AZ498" i="3" s="1"/>
  <c r="BL497" i="3"/>
  <c r="BA497" i="3"/>
  <c r="AZ497" i="3" s="1"/>
  <c r="BL496" i="3"/>
  <c r="AZ496" i="3" s="1"/>
  <c r="BT5" i="3"/>
  <c r="BR5" i="3"/>
  <c r="BL495" i="3"/>
  <c r="BM5" i="3"/>
  <c r="BH5" i="3"/>
  <c r="BD5" i="3"/>
  <c r="BA494" i="3"/>
  <c r="AZ494" i="3" s="1"/>
  <c r="BP5" i="3"/>
  <c r="BL493" i="3"/>
  <c r="BI5" i="3"/>
  <c r="BE5" i="3"/>
  <c r="BA493" i="3"/>
  <c r="AZ361" i="3"/>
  <c r="AZ347" i="3"/>
  <c r="AZ344" i="3"/>
  <c r="AZ313" i="3"/>
  <c r="AZ378" i="3"/>
  <c r="AZ327" i="3"/>
  <c r="BL515" i="3"/>
  <c r="AZ515" i="3" s="1"/>
  <c r="BL559" i="3"/>
  <c r="AZ559" i="3" s="1"/>
  <c r="BL569" i="3"/>
  <c r="AZ569" i="3" s="1"/>
  <c r="BL577" i="3"/>
  <c r="AZ577" i="3" s="1"/>
  <c r="BL557" i="3"/>
  <c r="BL586" i="3"/>
  <c r="BL585" i="3"/>
  <c r="AZ585" i="3" s="1"/>
  <c r="G570" i="3"/>
  <c r="G556" i="3"/>
  <c r="BL550" i="3"/>
  <c r="BA550" i="3"/>
  <c r="G526" i="3"/>
  <c r="AZ438" i="3"/>
  <c r="AZ443" i="3"/>
  <c r="B88" i="43"/>
  <c r="C25" i="40"/>
  <c r="AA21" i="21"/>
  <c r="S21" i="21"/>
  <c r="AA18" i="36"/>
  <c r="S18" i="36"/>
  <c r="D66" i="71"/>
  <c r="O65" i="71"/>
  <c r="O66" i="71"/>
  <c r="C78" i="71"/>
  <c r="D78" i="71" s="1"/>
  <c r="D79" i="71"/>
  <c r="Y32" i="71"/>
  <c r="Z32" i="71" s="1"/>
  <c r="Y29" i="71"/>
  <c r="Z29" i="71" s="1"/>
  <c r="E34" i="71"/>
  <c r="E35" i="71" s="1"/>
  <c r="E36" i="71" s="1"/>
  <c r="U36" i="71" s="1"/>
  <c r="AA33" i="71"/>
  <c r="AA25" i="71"/>
  <c r="AA32" i="71"/>
  <c r="AA27" i="71"/>
  <c r="C63" i="71"/>
  <c r="D62" i="71"/>
  <c r="N67" i="71"/>
  <c r="B66" i="71"/>
  <c r="U72" i="71"/>
  <c r="E71" i="71"/>
  <c r="E70" i="71" s="1"/>
  <c r="U80" i="71"/>
  <c r="E79" i="71"/>
  <c r="E78" i="71" s="1"/>
  <c r="AB27" i="71"/>
  <c r="F27" i="71"/>
  <c r="F26" i="71" s="1"/>
  <c r="Y26" i="71"/>
  <c r="Z26" i="71" s="1"/>
  <c r="AB26" i="71"/>
  <c r="AB25" i="71"/>
  <c r="BL15" i="3"/>
  <c r="BL5" i="3" s="1"/>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T52" i="71"/>
  <c r="D52" i="71"/>
  <c r="D38" i="71"/>
  <c r="C39" i="71"/>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G230" i="3"/>
  <c r="BL230" i="3"/>
  <c r="G232" i="3"/>
  <c r="G233" i="3"/>
  <c r="G234" i="3"/>
  <c r="G235" i="3"/>
  <c r="G236" i="3"/>
  <c r="BL236" i="3"/>
  <c r="BL238" i="3"/>
  <c r="AZ238"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G5" i="3" s="1"/>
  <c r="B3" i="3" s="1"/>
  <c r="BL18" i="3"/>
  <c r="AZ18" i="3" s="1"/>
  <c r="BL20" i="3"/>
  <c r="AZ20" i="3" s="1"/>
  <c r="G23" i="3"/>
  <c r="BL23" i="3"/>
  <c r="AZ23" i="3" s="1"/>
  <c r="G26" i="3"/>
  <c r="G27" i="3"/>
  <c r="BL27" i="3"/>
  <c r="BL29" i="3"/>
  <c r="AZ29" i="3" s="1"/>
  <c r="BA30" i="3"/>
  <c r="AZ30" i="3" s="1"/>
  <c r="BA31" i="3"/>
  <c r="AZ31" i="3" s="1"/>
  <c r="BA32" i="3"/>
  <c r="AZ32" i="3" s="1"/>
  <c r="BA33" i="3"/>
  <c r="AZ33" i="3" s="1"/>
  <c r="B100" i="43"/>
  <c r="B77" i="43"/>
  <c r="B68" i="43"/>
  <c r="C29" i="39"/>
  <c r="T36" i="71"/>
  <c r="D36" i="71"/>
  <c r="T56" i="71"/>
  <c r="D56" i="71"/>
  <c r="D83" i="71"/>
  <c r="C82" i="71"/>
  <c r="D82" i="71" s="1"/>
  <c r="AB36" i="71"/>
  <c r="AB35" i="71"/>
  <c r="AA37" i="71"/>
  <c r="E38" i="71"/>
  <c r="E39" i="71" s="1"/>
  <c r="E40" i="71" s="1"/>
  <c r="U40" i="71"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A3" i="71"/>
  <c r="C28" i="71"/>
  <c r="Y28" i="71"/>
  <c r="Z28" i="71" s="1"/>
  <c r="X26" i="71"/>
  <c r="X29" i="71"/>
  <c r="X30" i="71"/>
  <c r="AA30" i="71"/>
  <c r="Y34" i="71"/>
  <c r="Z34" i="71" s="1"/>
  <c r="Y30" i="71"/>
  <c r="Z30" i="71" s="1"/>
  <c r="X33" i="71"/>
  <c r="X36" i="71"/>
  <c r="Y38" i="71"/>
  <c r="Z38" i="71" s="1"/>
  <c r="Y37" i="71"/>
  <c r="Z37" i="71" s="1"/>
  <c r="B47" i="71"/>
  <c r="B48" i="71" s="1"/>
  <c r="S48" i="71" s="1"/>
  <c r="C47" i="71"/>
  <c r="D47" i="71" s="1"/>
  <c r="D46" i="71"/>
  <c r="C59" i="71"/>
  <c r="P68" i="71"/>
  <c r="E67" i="71"/>
  <c r="T72" i="71"/>
  <c r="D72" i="71"/>
  <c r="U76" i="71"/>
  <c r="E75" i="71"/>
  <c r="E74" i="71" s="1"/>
  <c r="T80" i="71"/>
  <c r="D80" i="71"/>
  <c r="D88" i="71"/>
  <c r="C87" i="71"/>
  <c r="E23" i="71"/>
  <c r="E22" i="71" s="1"/>
  <c r="E21" i="71" s="1"/>
  <c r="E20" i="71" s="1"/>
  <c r="V24" i="71"/>
  <c r="F22" i="71"/>
  <c r="F21" i="71" s="1"/>
  <c r="F20" i="71" s="1"/>
  <c r="F19" i="71" s="1"/>
  <c r="F18" i="71" s="1"/>
  <c r="F17" i="71" s="1"/>
  <c r="AB30" i="71"/>
  <c r="AA31" i="71"/>
  <c r="F35" i="71"/>
  <c r="F36" i="71" s="1"/>
  <c r="V36" i="71" s="1"/>
  <c r="AA34" i="71"/>
  <c r="F39" i="71"/>
  <c r="F40" i="71" s="1"/>
  <c r="V40" i="71" s="1"/>
  <c r="B51" i="71"/>
  <c r="B52" i="71" s="1"/>
  <c r="S52" i="71" s="1"/>
  <c r="U25" i="34"/>
  <c r="AA25" i="34"/>
  <c r="AC45" i="34"/>
  <c r="W40" i="34"/>
  <c r="AB23" i="34"/>
  <c r="AB17" i="34"/>
  <c r="AA45" i="34"/>
  <c r="AC17" i="34"/>
  <c r="W43" i="34"/>
  <c r="W41" i="34"/>
  <c r="W8" i="34"/>
  <c r="AA41" i="34"/>
  <c r="S17" i="34"/>
  <c r="AB41" i="34"/>
  <c r="AB40" i="34"/>
  <c r="S35" i="34"/>
  <c r="W33" i="34"/>
  <c r="AB35" i="34"/>
  <c r="AB36" i="34"/>
  <c r="S43" i="34"/>
  <c r="U44" i="34"/>
  <c r="AA40" i="34"/>
  <c r="AC36" i="34"/>
  <c r="AB33" i="34"/>
  <c r="AC21" i="34"/>
  <c r="S21" i="34"/>
  <c r="U19" i="34"/>
  <c r="W19" i="34"/>
  <c r="U15" i="34"/>
  <c r="W9" i="34"/>
  <c r="C28" i="67"/>
  <c r="F29" i="6"/>
  <c r="E19" i="71"/>
  <c r="E18" i="71" s="1"/>
  <c r="E17" i="71" s="1"/>
  <c r="E16" i="71" s="1"/>
  <c r="V20" i="71"/>
  <c r="AZ557" i="3"/>
  <c r="AZ495" i="3"/>
  <c r="AZ513" i="3"/>
  <c r="AZ517" i="3"/>
  <c r="AZ567" i="3"/>
  <c r="AZ571" i="3"/>
  <c r="AZ575" i="3"/>
  <c r="AZ579" i="3"/>
  <c r="AZ568" i="3"/>
  <c r="AZ576" i="3"/>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U38" i="34" l="1"/>
  <c r="W46" i="34"/>
  <c r="AC46" i="34"/>
  <c r="AB45" i="34"/>
  <c r="E329" i="3"/>
  <c r="E188" i="3"/>
  <c r="E393" i="3"/>
  <c r="E427" i="3"/>
  <c r="E507" i="3"/>
  <c r="E440" i="3"/>
  <c r="E376" i="3"/>
  <c r="J6" i="3"/>
  <c r="E419" i="3"/>
  <c r="E401" i="3"/>
  <c r="E40" i="3"/>
  <c r="E119" i="3"/>
  <c r="E276" i="3"/>
  <c r="E333" i="3"/>
  <c r="L6" i="3"/>
  <c r="E473" i="3"/>
  <c r="E455" i="3"/>
  <c r="E46" i="3"/>
  <c r="E103" i="3"/>
  <c r="E142" i="3"/>
  <c r="E200" i="3"/>
  <c r="E249" i="3"/>
  <c r="E300" i="3"/>
  <c r="E371" i="3"/>
  <c r="E310" i="3"/>
  <c r="E492" i="3"/>
  <c r="E67" i="3"/>
  <c r="E33" i="3"/>
  <c r="E184" i="3"/>
  <c r="E355" i="3"/>
  <c r="E381" i="3"/>
  <c r="E68" i="3"/>
  <c r="E81" i="3"/>
  <c r="E118" i="3"/>
  <c r="E264" i="3"/>
  <c r="E513" i="3"/>
  <c r="E21" i="3"/>
  <c r="E16" i="3"/>
  <c r="E105" i="3"/>
  <c r="E493" i="3"/>
  <c r="E543" i="3"/>
  <c r="E486" i="3"/>
  <c r="E422" i="3"/>
  <c r="E490" i="3"/>
  <c r="AH6" i="3"/>
  <c r="E498" i="3"/>
  <c r="E483" i="3"/>
  <c r="E25" i="3"/>
  <c r="E178" i="3"/>
  <c r="E226" i="3"/>
  <c r="E346" i="3"/>
  <c r="E372" i="3"/>
  <c r="E540" i="3"/>
  <c r="E15" i="3"/>
  <c r="E65" i="3"/>
  <c r="E138" i="3"/>
  <c r="E195" i="3"/>
  <c r="E163" i="3"/>
  <c r="E307" i="3"/>
  <c r="E354" i="3"/>
  <c r="E66" i="3"/>
  <c r="E127" i="3"/>
  <c r="Y6" i="3"/>
  <c r="E19" i="3"/>
  <c r="E179" i="3"/>
  <c r="E323" i="3"/>
  <c r="E248" i="3"/>
  <c r="E386" i="3"/>
  <c r="E584" i="3"/>
  <c r="E24" i="3"/>
  <c r="E250" i="3"/>
  <c r="E341" i="3"/>
  <c r="E51" i="3"/>
  <c r="E373" i="3"/>
  <c r="E30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E494" i="3"/>
  <c r="E497" i="3"/>
  <c r="E360" i="3"/>
  <c r="E408" i="3"/>
  <c r="E469" i="3"/>
  <c r="E405" i="3"/>
  <c r="E534" i="3"/>
  <c r="E369" i="3"/>
  <c r="E197" i="3"/>
  <c r="E29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64"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13"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87" i="71"/>
  <c r="C86" i="71"/>
  <c r="D86" i="71" s="1"/>
  <c r="E66" i="71"/>
  <c r="P67" i="71"/>
  <c r="D59" i="71"/>
  <c r="C60" i="71"/>
  <c r="E108" i="3"/>
  <c r="E98" i="3"/>
  <c r="E87" i="3"/>
  <c r="E64" i="3"/>
  <c r="E47" i="3"/>
  <c r="E23" i="3"/>
  <c r="E160" i="3"/>
  <c r="E144" i="3"/>
  <c r="E116" i="3"/>
  <c r="E283" i="3"/>
  <c r="E266" i="3"/>
  <c r="E222" i="3"/>
  <c r="D39" i="71"/>
  <c r="C40" i="71"/>
  <c r="AZ454" i="3"/>
  <c r="AZ422" i="3"/>
  <c r="N65" i="71"/>
  <c r="N66" i="71"/>
  <c r="AZ550" i="3"/>
  <c r="AZ501" i="3"/>
  <c r="AZ505" i="3"/>
  <c r="AZ526" i="3"/>
  <c r="AZ529" i="3"/>
  <c r="AZ532" i="3"/>
  <c r="AZ534" i="3"/>
  <c r="AZ536" i="3"/>
  <c r="AZ541" i="3"/>
  <c r="AZ545" i="3"/>
  <c r="AZ572" i="3"/>
  <c r="F112" i="34"/>
  <c r="AA12" i="40"/>
  <c r="S12" i="40"/>
  <c r="AA43" i="39"/>
  <c r="S43" i="39"/>
  <c r="AB39" i="37"/>
  <c r="U39" i="37"/>
  <c r="AA27" i="37"/>
  <c r="S27" i="37"/>
  <c r="AA12" i="36"/>
  <c r="S12" i="36"/>
  <c r="W12" i="36"/>
  <c r="AC12" i="36"/>
  <c r="AC9" i="36"/>
  <c r="W9" i="36"/>
  <c r="U23" i="35"/>
  <c r="AB23" i="35"/>
  <c r="W29" i="34"/>
  <c r="AC29" i="34"/>
  <c r="AC46" i="33"/>
  <c r="W46" i="33"/>
  <c r="U14" i="33"/>
  <c r="AB14" i="33"/>
  <c r="F90" i="34"/>
  <c r="G90" i="34" s="1"/>
  <c r="H90" i="34" s="1"/>
  <c r="I90" i="34" s="1"/>
  <c r="J90" i="34" s="1"/>
  <c r="K90" i="34" s="1"/>
  <c r="L90" i="34" s="1"/>
  <c r="M90" i="34" s="1"/>
  <c r="E18" i="31"/>
  <c r="H27" i="34"/>
  <c r="W27" i="34"/>
  <c r="AC27" i="34"/>
  <c r="W26" i="33"/>
  <c r="AC26" i="33"/>
  <c r="AA28" i="33"/>
  <c r="S28" i="33"/>
  <c r="W14" i="21"/>
  <c r="AC14" i="21"/>
  <c r="AZ555" i="3"/>
  <c r="S34" i="36"/>
  <c r="AA34" i="36"/>
  <c r="AB34" i="36"/>
  <c r="U34" i="36"/>
  <c r="AA40" i="40"/>
  <c r="S40" i="40"/>
  <c r="AC34" i="35"/>
  <c r="W34" i="35"/>
  <c r="AC24" i="35"/>
  <c r="W24" i="35"/>
  <c r="W46" i="21"/>
  <c r="AC46" i="21"/>
  <c r="U46" i="21"/>
  <c r="AB46" i="21"/>
  <c r="U44" i="21"/>
  <c r="AB44" i="21"/>
  <c r="U30" i="21"/>
  <c r="AB30" i="21"/>
  <c r="W27" i="21"/>
  <c r="AC27" i="21"/>
  <c r="G29" i="6"/>
  <c r="BA5" i="3"/>
  <c r="AZ552" i="3"/>
  <c r="AZ556" i="3"/>
  <c r="AB35" i="39"/>
  <c r="U35" i="39"/>
  <c r="AC31" i="40"/>
  <c r="W31" i="40"/>
  <c r="S13" i="39"/>
  <c r="AA13" i="39"/>
  <c r="U25" i="37"/>
  <c r="AB25" i="37"/>
  <c r="AZ15" i="3"/>
  <c r="AZ5" i="3" s="1"/>
  <c r="C19" i="71"/>
  <c r="T20" i="71"/>
  <c r="D20" i="71"/>
  <c r="U20" i="71" s="1"/>
  <c r="C27" i="71"/>
  <c r="T28" i="71"/>
  <c r="D28" i="71"/>
  <c r="U28" i="71" s="1"/>
  <c r="E84" i="3"/>
  <c r="E82" i="3"/>
  <c r="E63" i="3"/>
  <c r="E60" i="3"/>
  <c r="E48" i="3"/>
  <c r="E43" i="3"/>
  <c r="E202" i="3"/>
  <c r="E154" i="3"/>
  <c r="E284" i="3"/>
  <c r="E267" i="3"/>
  <c r="E242" i="3"/>
  <c r="E233" i="3"/>
  <c r="E223" i="3"/>
  <c r="E209" i="3"/>
  <c r="E463" i="3"/>
  <c r="C64" i="71"/>
  <c r="D63" i="71"/>
  <c r="AZ493" i="3"/>
  <c r="AB12" i="40"/>
  <c r="U12" i="40"/>
  <c r="AC12" i="40"/>
  <c r="W12" i="40"/>
  <c r="W43" i="39"/>
  <c r="AC43" i="39"/>
  <c r="AC39" i="37"/>
  <c r="W39" i="37"/>
  <c r="U27" i="37"/>
  <c r="AB27" i="37"/>
  <c r="U12" i="36"/>
  <c r="AB12" i="36"/>
  <c r="AA9" i="36"/>
  <c r="S9" i="36"/>
  <c r="AA23" i="35"/>
  <c r="S23" i="35"/>
  <c r="U13" i="35"/>
  <c r="AB13" i="35"/>
  <c r="AB29" i="34"/>
  <c r="U29" i="34"/>
  <c r="W14" i="33"/>
  <c r="AC14" i="33"/>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AC44" i="34"/>
  <c r="W44" i="34"/>
  <c r="AA27" i="34"/>
  <c r="S27" i="34"/>
  <c r="U26" i="33"/>
  <c r="AB26" i="33"/>
  <c r="W28" i="33"/>
  <c r="AC28" i="33"/>
  <c r="AB28" i="33"/>
  <c r="U28" i="33"/>
  <c r="U14" i="21"/>
  <c r="AB14" i="21"/>
  <c r="AZ586" i="3"/>
  <c r="AB33" i="36"/>
  <c r="U33" i="36"/>
  <c r="AA34" i="35"/>
  <c r="S34" i="35"/>
  <c r="AB24" i="35"/>
  <c r="U24" i="35"/>
  <c r="AA46" i="21"/>
  <c r="S46" i="21"/>
  <c r="AC44" i="21"/>
  <c r="W44" i="21"/>
  <c r="AC30" i="21"/>
  <c r="W30" i="21"/>
  <c r="AA27" i="21"/>
  <c r="S27" i="21"/>
  <c r="AC35" i="39"/>
  <c r="W35" i="39"/>
  <c r="AA35" i="39"/>
  <c r="S35" i="39"/>
  <c r="U31" i="40"/>
  <c r="AB31" i="40"/>
  <c r="AB13" i="39"/>
  <c r="U13" i="39"/>
  <c r="AA25" i="37"/>
  <c r="S25" i="37"/>
  <c r="N370" i="46"/>
  <c r="G26" i="43"/>
  <c r="D26" i="43" s="1"/>
  <c r="C25" i="43" s="1"/>
  <c r="B15" i="71"/>
  <c r="B14" i="71" s="1"/>
  <c r="B13" i="71" s="1"/>
  <c r="B12" i="71" s="1"/>
  <c r="S16" i="71"/>
  <c r="F7" i="36"/>
  <c r="J7" i="37"/>
  <c r="AC7" i="37" s="1"/>
  <c r="V42" i="37" s="1"/>
  <c r="I42" i="37" s="1"/>
  <c r="H7" i="36"/>
  <c r="F66" i="71"/>
  <c r="Q67" i="71"/>
  <c r="U39" i="40"/>
  <c r="AB39" i="40"/>
  <c r="AB38" i="40"/>
  <c r="U38" i="40"/>
  <c r="AC38" i="40"/>
  <c r="W38" i="40"/>
  <c r="E15" i="71"/>
  <c r="E14" i="71" s="1"/>
  <c r="E13" i="71" s="1"/>
  <c r="E12" i="71" s="1"/>
  <c r="V16" i="71"/>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E6" i="6" s="1"/>
  <c r="AY6" i="3"/>
  <c r="E29" i="6"/>
  <c r="G30" i="6"/>
  <c r="G31" i="6" s="1"/>
  <c r="AB27" i="34"/>
  <c r="U27" i="34"/>
  <c r="G112" i="34"/>
  <c r="H112" i="34" s="1"/>
  <c r="I112" i="34" s="1"/>
  <c r="J112" i="34" s="1"/>
  <c r="K112" i="34" s="1"/>
  <c r="L112" i="34" s="1"/>
  <c r="M112" i="34" s="1"/>
  <c r="H37" i="34"/>
  <c r="J37" i="34"/>
  <c r="T40" i="71"/>
  <c r="D40" i="71"/>
  <c r="T60" i="71"/>
  <c r="D60" i="71"/>
  <c r="D64" i="71"/>
  <c r="T64" i="71"/>
  <c r="D27" i="71"/>
  <c r="C26" i="71"/>
  <c r="D26" i="71" s="1"/>
  <c r="C18" i="71"/>
  <c r="D19" i="71"/>
  <c r="Q25" i="31"/>
  <c r="Q26" i="31"/>
  <c r="F37" i="34"/>
  <c r="P65" i="71"/>
  <c r="P66" i="71"/>
  <c r="E11" i="71"/>
  <c r="E10" i="71" s="1"/>
  <c r="E9" i="71" s="1"/>
  <c r="E8" i="71" s="1"/>
  <c r="E7" i="71" s="1"/>
  <c r="E6" i="71" s="1"/>
  <c r="E5" i="71" s="1"/>
  <c r="V12" i="71"/>
  <c r="Q66" i="71"/>
  <c r="Q65" i="7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3" i="34"/>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AC37" i="34" l="1"/>
  <c r="V49" i="34" s="1"/>
  <c r="I49" i="34" s="1"/>
  <c r="W37" i="34"/>
  <c r="K15" i="1"/>
  <c r="K16" i="1" s="1"/>
  <c r="E30" i="6"/>
  <c r="E31" i="6" s="1"/>
  <c r="D3" i="33"/>
  <c r="L18" i="9"/>
  <c r="D14" i="12"/>
  <c r="D17" i="12" s="1"/>
  <c r="C17" i="12" s="1"/>
  <c r="AA37" i="34"/>
  <c r="R49" i="34" s="1"/>
  <c r="S37" i="34"/>
  <c r="C17" i="71"/>
  <c r="D18" i="71"/>
  <c r="U37" i="34"/>
  <c r="AB37" i="34"/>
  <c r="T49" i="34" s="1"/>
  <c r="G49" i="34" s="1"/>
  <c r="G53" i="34" s="1"/>
  <c r="H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R50" i="34" l="1"/>
  <c r="E49" i="34"/>
  <c r="I53" i="34"/>
  <c r="J53" i="34" s="1"/>
  <c r="I54" i="34"/>
  <c r="J54" i="34" s="1"/>
  <c r="D17" i="71"/>
  <c r="C16" i="71"/>
  <c r="H25" i="6"/>
  <c r="G54" i="34"/>
  <c r="H54" i="34" s="1"/>
  <c r="R29" i="31"/>
  <c r="S29" i="31" s="1"/>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50" i="34" l="1"/>
  <c r="R24" i="31" s="1"/>
  <c r="P22" i="84" s="1"/>
  <c r="C49" i="34"/>
  <c r="D16" i="71"/>
  <c r="U16" i="71" s="1"/>
  <c r="T16" i="71"/>
  <c r="C15" i="71"/>
  <c r="E54" i="34"/>
  <c r="F54" i="34" s="1"/>
  <c r="E53" i="34"/>
  <c r="F53"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R34" i="31"/>
  <c r="R30" i="31"/>
  <c r="R26" i="31"/>
  <c r="R35" i="31"/>
  <c r="R31" i="31"/>
  <c r="R25" i="31"/>
  <c r="R36" i="31"/>
  <c r="R32" i="31"/>
  <c r="R28" i="31"/>
  <c r="S24" i="31"/>
  <c r="R33" i="31"/>
  <c r="R27" i="3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7" i="31" l="1"/>
  <c r="P25" i="84"/>
  <c r="S32" i="31"/>
  <c r="P29" i="84"/>
  <c r="S25" i="31"/>
  <c r="P23" i="84"/>
  <c r="S35" i="31"/>
  <c r="P32" i="84"/>
  <c r="S30" i="31"/>
  <c r="P27" i="84"/>
  <c r="S33" i="31"/>
  <c r="P30" i="84"/>
  <c r="S28" i="31"/>
  <c r="P26" i="84"/>
  <c r="S36" i="31"/>
  <c r="P33" i="84"/>
  <c r="S31" i="31"/>
  <c r="P28" i="84"/>
  <c r="S26" i="31"/>
  <c r="P24" i="84"/>
  <c r="S34" i="31"/>
  <c r="P31" i="84"/>
  <c r="C13" i="71"/>
  <c r="D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S22" i="31" l="1"/>
  <c r="B20" i="31" s="1"/>
  <c r="B21" i="31"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R22" i="31" l="1"/>
  <c r="P34" i="84" s="1"/>
  <c r="T12" i="71"/>
  <c r="C11"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U22" i="31" l="1"/>
  <c r="U23" i="31"/>
  <c r="E10" i="74"/>
  <c r="B10" i="74" s="1"/>
  <c r="D14" i="74"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9" i="71" l="1"/>
  <c r="D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D9" i="71" l="1"/>
  <c r="C8"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10" i="1"/>
  <c r="D19" i="9"/>
  <c r="C19" i="9"/>
  <c r="AO8" i="1"/>
  <c r="AO9" i="1"/>
  <c r="AO7" i="1"/>
  <c r="AO12" i="1"/>
  <c r="C102" i="9" l="1"/>
  <c r="D22" i="9"/>
  <c r="G19" i="9"/>
  <c r="G21" i="9" s="1"/>
  <c r="C21" i="9"/>
  <c r="D102" i="9"/>
  <c r="D21" i="9"/>
  <c r="B3" i="3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G20" i="9"/>
  <c r="C32" i="9" s="1"/>
  <c r="C103"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5" i="71"/>
  <c r="D5" i="71" s="1"/>
  <c r="M24" i="43" s="1"/>
  <c r="D6" i="7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8" i="52" l="1"/>
  <c r="C104" i="9"/>
  <c r="H4" i="52"/>
  <c r="C105" i="9"/>
  <c r="I4" i="52"/>
  <c r="P57" i="9"/>
  <c r="N58" i="9"/>
  <c r="D52" i="9"/>
  <c r="D53" i="9"/>
  <c r="N60" i="9"/>
  <c r="N61" i="9"/>
  <c r="M65" i="9"/>
  <c r="M67" i="9"/>
  <c r="L67" i="9"/>
  <c r="N59" i="9"/>
  <c r="L65" i="9"/>
  <c r="B53" i="72"/>
  <c r="D54" i="9"/>
  <c r="B21" i="72"/>
  <c r="E97" i="9"/>
  <c r="L64" i="9"/>
  <c r="M64" i="9"/>
  <c r="F5" i="52"/>
  <c r="B20" i="72"/>
  <c r="C5" i="74"/>
  <c r="H102" i="9"/>
  <c r="D7" i="53"/>
  <c r="B32" i="72"/>
  <c r="E81" i="9"/>
  <c r="B49" i="72"/>
  <c r="M55" i="9"/>
  <c r="L66" i="9"/>
  <c r="M66" i="9"/>
  <c r="H119" i="9"/>
  <c r="H5" i="52"/>
  <c r="B51" i="72"/>
  <c r="D122" i="9"/>
  <c r="D123" i="9"/>
  <c r="D9" i="52"/>
  <c r="B30" i="72"/>
  <c r="D13" i="53"/>
  <c r="D14" i="53"/>
  <c r="C6" i="74"/>
  <c r="M48" i="9"/>
  <c r="E80" i="9"/>
  <c r="B47" i="72"/>
  <c r="H108" i="9"/>
  <c r="D15" i="53"/>
  <c r="B31" i="72"/>
  <c r="N69" i="9"/>
  <c r="F119" i="9"/>
  <c r="F4" i="52"/>
  <c r="D5" i="53"/>
  <c r="D6" i="53"/>
  <c r="B22" i="72"/>
  <c r="C78" i="9"/>
  <c r="C73" i="9"/>
  <c r="C81" i="9"/>
  <c r="C72" i="9"/>
  <c r="C79" i="9"/>
  <c r="C80" i="9"/>
  <c r="L68" i="9"/>
  <c r="M68" i="9"/>
  <c r="C93" i="9"/>
  <c r="C86" i="9"/>
  <c r="D55" i="9"/>
  <c r="M53" i="9"/>
  <c r="N57" i="9"/>
  <c r="D5" i="52"/>
  <c r="D4" i="52"/>
  <c r="D118" i="9"/>
  <c r="D119" i="9"/>
  <c r="E118" i="9"/>
  <c r="E4" i="52"/>
  <c r="B48" i="72"/>
  <c r="H107" i="9"/>
  <c r="M49" i="9"/>
  <c r="L63" i="9"/>
  <c r="M63" i="9"/>
  <c r="M69" i="9"/>
  <c r="C96" i="9"/>
  <c r="E96" i="9"/>
  <c r="C68" i="9"/>
  <c r="C67" i="9"/>
  <c r="D59" i="9"/>
  <c r="C64" i="9"/>
  <c r="C63" i="9"/>
  <c r="F118" i="9"/>
  <c r="G118" i="9"/>
  <c r="G4" i="52"/>
  <c r="B52"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<sst xmlns="http://schemas.openxmlformats.org/spreadsheetml/2006/main" count="8093" uniqueCount="3581">
  <si>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</si>
  <si>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</si>
  <si>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</si>
  <si>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</si>
  <si>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</si>
  <si>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</si>
  <si>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</si>
  <si>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</si>
  <si>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</si>
  <si>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</si>
  <si>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</si>
  <si>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</si>
  <si>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</si>
  <si>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</si>
  <si>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</si>
  <si>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</si>
  <si>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</si>
  <si>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</si>
  <si>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</si>
  <si>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</si>
  <si>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</si>
  <si>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</si>
  <si>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</si>
  <si>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</si>
  <si>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</si>
  <si>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</si>
  <si>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</si>
  <si>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</si>
  <si>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</si>
  <si>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</si>
  <si>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</si>
  <si>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</si>
  <si>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</si>
  <si>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</si>
  <si>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</si>
  <si>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</si>
  <si>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</si>
  <si>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</si>
  <si>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</si>
  <si>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</si>
  <si>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</si>
  <si>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</si>
  <si>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</si>
  <si>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</si>
  <si>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</si>
  <si>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</si>
  <si>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</si>
  <si>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</si>
  <si>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</si>
  <si>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</si>
  <si>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</si>
  <si>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</si>
  <si>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</si>
  <si>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</si>
  <si>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</si>
  <si>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</si>
  <si>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</si>
  <si>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</si>
  <si>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</si>
  <si>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</si>
  <si>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</si>
  <si>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</si>
  <si>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</si>
  <si>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</si>
  <si>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</si>
  <si>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</si>
  <si>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</si>
  <si>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</si>
  <si>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</si>
  <si>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</si>
  <si>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</si>
  <si>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</si>
  <si>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</si>
  <si>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</si>
  <si>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</si>
  <si>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</si>
  <si>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</si>
  <si>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</si>
  <si>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</si>
  <si>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</si>
  <si>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</si>
  <si>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</si>
  <si>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</si>
  <si>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</si>
  <si>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</si>
  <si>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</si>
  <si>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</si>
  <si>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</si>
  <si>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</si>
  <si>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</si>
  <si>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</si>
  <si>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</si>
  <si>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</si>
  <si>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</si>
  <si>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</si>
  <si>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</si>
  <si>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</si>
  <si>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</si>
  <si>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</si>
  <si>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</si>
  <si>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</si>
  <si>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</si>
  <si>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</si>
  <si>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</si>
  <si>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</si>
  <si>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</si>
  <si>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</si>
  <si>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</si>
  <si>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</si>
  <si>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</si>
  <si>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</si>
  <si>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</si>
  <si>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</si>
  <si>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</si>
  <si>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</si>
  <si>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</si>
  <si>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</si>
  <si>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</si>
  <si>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</si>
  <si>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</si>
  <si>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</si>
  <si>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</si>
  <si>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</si>
  <si>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</si>
  <si>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</si>
  <si>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</si>
  <si>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</si>
  <si>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</si>
  <si>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</si>
  <si>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</si>
  <si>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</si>
  <si>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</si>
  <si>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</si>
  <si>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</si>
  <si>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</si>
  <si>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</si>
  <si>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</si>
  <si>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</si>
  <si>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</si>
  <si>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</si>
  <si>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</si>
  <si>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</si>
  <si>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</si>
  <si>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</si>
  <si>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</si>
  <si>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</si>
  <si>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</si>
  <si>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</si>
  <si>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</si>
  <si>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</si>
  <si>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</si>
  <si>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</si>
  <si>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</si>
  <si>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</si>
  <si>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</si>
  <si>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</si>
  <si>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</si>
  <si>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</si>
  <si>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</si>
  <si>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</si>
  <si>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</si>
  <si>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</si>
  <si>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</si>
  <si>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</si>
  <si>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</si>
  <si>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</si>
  <si>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</si>
  <si>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</si>
  <si>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</si>
  <si>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</si>
  <si>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</si>
  <si>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</si>
  <si>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</si>
  <si>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</si>
  <si>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</si>
  <si>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</si>
  <si>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</si>
  <si>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</si>
  <si>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</si>
  <si>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</si>
  <si>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</si>
  <si>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</si>
  <si>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</si>
  <si>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</si>
  <si>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</si>
  <si>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</si>
  <si>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</si>
  <si>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</si>
  <si>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</si>
  <si>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</si>
  <si>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</si>
  <si>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</si>
  <si>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</si>
  <si>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</si>
  <si>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</si>
  <si>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</si>
  <si>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</si>
  <si>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</si>
  <si>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</si>
  <si>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</si>
  <si>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</si>
  <si>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</si>
  <si>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</si>
  <si>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</si>
  <si>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</si>
  <si>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</si>
  <si>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</si>
  <si>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</si>
  <si>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</si>
  <si>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</si>
  <si>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</si>
  <si>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</si>
  <si>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</si>
  <si>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</si>
  <si>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</si>
  <si>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</si>
  <si>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</si>
  <si>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</si>
  <si>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</si>
  <si>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</si>
  <si>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</si>
  <si>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</si>
  <si>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</si>
  <si>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</si>
  <si>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</si>
  <si>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</si>
  <si>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</si>
  <si>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</si>
  <si>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</si>
  <si>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</si>
  <si>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</si>
  <si>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</si>
  <si>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</si>
  <si>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</si>
  <si>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</si>
  <si>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</si>
  <si>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</si>
  <si>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</si>
  <si>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</si>
  <si>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</si>
  <si>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</si>
  <si>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</si>
  <si>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</si>
  <si>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</si>
  <si>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</si>
  <si>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</si>
  <si>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</si>
  <si>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</si>
  <si>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</si>
  <si>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</si>
  <si>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</si>
  <si>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</si>
  <si>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</si>
  <si>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</si>
  <si>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</si>
  <si>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</si>
  <si>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</si>
  <si>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</si>
  <si>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</si>
  <si>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</si>
  <si>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</si>
  <si>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</si>
  <si>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</si>
  <si>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</si>
  <si>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</si>
  <si>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</si>
  <si>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</si>
  <si>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</si>
  <si>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</si>
  <si>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</si>
  <si>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</si>
  <si>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</si>
  <si>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</si>
  <si>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</si>
  <si>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</si>
  <si>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</si>
  <si>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</si>
  <si>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</si>
  <si>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</si>
  <si>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</si>
  <si>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</si>
  <si>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</si>
  <si>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</si>
  <si>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</si>
  <si>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</si>
  <si>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</si>
  <si>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</si>
  <si>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</si>
  <si>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</si>
  <si>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</si>
  <si>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</si>
  <si>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</si>
  <si>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</si>
  <si>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</si>
  <si>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</si>
  <si>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</si>
  <si>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</si>
  <si>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</si>
  <si>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</si>
  <si>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</si>
  <si>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</si>
  <si>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</si>
  <si>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</si>
  <si>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</si>
  <si>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</si>
  <si>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</si>
  <si>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</si>
  <si>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</si>
  <si>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</si>
  <si>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</si>
  <si>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</si>
  <si>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</si>
  <si>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</si>
  <si>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</si>
  <si>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</si>
  <si>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</si>
  <si>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</si>
  <si>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</si>
  <si>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</si>
  <si>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</si>
  <si>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</si>
  <si>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</si>
  <si>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</si>
  <si>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</si>
  <si>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</si>
  <si>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</si>
  <si>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</si>
  <si>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</si>
  <si>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</si>
  <si>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</si>
  <si>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</si>
  <si>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</si>
  <si>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</si>
  <si>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</si>
  <si>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</si>
  <si>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</si>
  <si>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</si>
  <si>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</si>
  <si>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</si>
  <si>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</si>
  <si>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</si>
  <si>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</si>
  <si>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</si>
  <si>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</si>
  <si>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</si>
  <si>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</si>
  <si>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</si>
  <si>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</si>
  <si>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</si>
  <si>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</si>
  <si>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</si>
  <si>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</si>
  <si>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</si>
  <si>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</si>
  <si>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</si>
  <si>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</si>
  <si>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</si>
  <si>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</si>
  <si>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</si>
  <si>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</si>
  <si>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</si>
  <si>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</si>
  <si>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</si>
  <si>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</si>
  <si>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</si>
  <si>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</si>
  <si>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</si>
  <si>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</si>
  <si>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</si>
  <si>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</si>
  <si>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</si>
  <si>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</si>
  <si>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</si>
  <si>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</si>
  <si>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</si>
  <si>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</si>
  <si>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</si>
  <si>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</si>
  <si>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</si>
  <si>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</si>
  <si>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</si>
  <si>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</si>
  <si>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</si>
  <si>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</si>
  <si>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</si>
  <si>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</si>
  <si>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</si>
  <si>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</si>
  <si>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</si>
  <si>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</si>
  <si>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</si>
  <si>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</si>
  <si>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</si>
  <si>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</si>
  <si>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</si>
  <si>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</si>
  <si>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</si>
  <si>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</si>
  <si>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</si>
  <si>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</si>
  <si>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</si>
  <si>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</si>
  <si>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</si>
  <si>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</si>
  <si>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</si>
  <si>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</si>
  <si>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</si>
  <si>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</si>
  <si>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</si>
  <si>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</si>
  <si>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</si>
  <si>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</si>
  <si>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</si>
  <si>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</si>
  <si>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</si>
  <si>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</si>
  <si>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</si>
  <si>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</si>
  <si>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</si>
  <si>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</si>
  <si>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</si>
  <si>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</si>
  <si>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</si>
  <si>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</si>
  <si>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</si>
  <si>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</si>
  <si>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</si>
  <si>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</si>
  <si>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</si>
  <si>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</si>
  <si>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</si>
  <si>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</si>
  <si>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</si>
  <si>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</si>
  <si>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</si>
  <si>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</si>
  <si>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</si>
  <si>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</si>
  <si>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</si>
  <si>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</si>
  <si>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</si>
  <si>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</si>
  <si>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</si>
  <si>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</si>
  <si>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</si>
  <si>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</si>
  <si>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</si>
  <si>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</si>
  <si>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</si>
  <si>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</si>
  <si>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</si>
  <si>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</si>
  <si>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</si>
  <si>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</si>
  <si>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</si>
  <si>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</si>
  <si>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</si>
  <si>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</si>
  <si>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</si>
  <si>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</si>
  <si>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</si>
  <si>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</si>
  <si>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</si>
  <si>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</si>
  <si>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</si>
  <si>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</si>
  <si>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</si>
  <si>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</si>
  <si>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</si>
  <si>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</si>
  <si>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</si>
  <si>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</si>
  <si>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</si>
  <si>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</si>
  <si>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</si>
  <si>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</si>
  <si>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</si>
  <si>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</si>
  <si>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</si>
  <si>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</si>
  <si>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</si>
  <si>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</si>
  <si>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</si>
  <si>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</si>
  <si>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</si>
  <si>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</si>
  <si>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</si>
  <si>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</si>
  <si>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</si>
  <si>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</si>
  <si>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</si>
  <si>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</si>
  <si>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</si>
  <si>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</si>
  <si>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</si>
  <si>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</si>
  <si>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</si>
  <si>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</si>
  <si>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</si>
  <si>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</si>
  <si>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</si>
  <si>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</si>
  <si>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</si>
  <si>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</si>
  <si>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</si>
  <si>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</si>
  <si>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</si>
  <si>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</si>
  <si>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</si>
  <si>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</si>
  <si>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</si>
  <si>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</si>
  <si>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</si>
  <si>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</si>
  <si>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</si>
  <si>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</si>
  <si>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</si>
  <si>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</si>
  <si>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</si>
  <si>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</si>
  <si>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</si>
  <si>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</si>
  <si>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</si>
  <si>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</si>
  <si>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</si>
  <si>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</si>
  <si>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</si>
  <si>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</si>
  <si>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</si>
  <si>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</si>
  <si>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</si>
  <si>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</si>
  <si>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</si>
  <si>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</si>
  <si>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</si>
  <si>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</si>
  <si>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</si>
  <si>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</si>
  <si>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</si>
  <si>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</si>
  <si>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</si>
  <si>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</si>
  <si>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</si>
  <si>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</si>
  <si>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</si>
  <si>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</si>
  <si>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</si>
  <si>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</si>
  <si>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</si>
  <si>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</si>
  <si>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</si>
  <si>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</si>
  <si>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</si>
  <si>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</si>
  <si>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</si>
  <si>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</si>
  <si>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</si>
  <si>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</si>
  <si>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</si>
  <si>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</si>
  <si>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</si>
  <si>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</si>
  <si>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</si>
  <si>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</si>
  <si>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</si>
  <si>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</si>
  <si>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</si>
  <si>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</si>
  <si>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</si>
  <si>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</si>
  <si>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</si>
  <si>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</si>
  <si>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</si>
  <si>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</si>
  <si>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</si>
  <si>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</si>
  <si>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</si>
  <si>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</si>
  <si>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</si>
  <si>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</si>
  <si>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</si>
  <si>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</si>
  <si>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</si>
  <si>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</si>
  <si>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</si>
  <si>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</si>
  <si>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</si>
  <si>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</si>
  <si>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</si>
  <si>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</si>
  <si>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</si>
  <si>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</si>
  <si>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</si>
  <si>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</si>
  <si>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</si>
  <si>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</si>
  <si>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</si>
  <si>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</si>
  <si>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</si>
  <si>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</si>
  <si>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</si>
  <si>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</si>
  <si>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</si>
  <si>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</si>
  <si>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</si>
  <si>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</si>
  <si>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</si>
  <si>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</si>
  <si>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</si>
  <si>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</si>
  <si>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</si>
  <si>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</si>
  <si>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</si>
  <si>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</si>
  <si>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</si>
  <si>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</si>
  <si>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</si>
  <si>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</si>
  <si>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</si>
  <si>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</si>
  <si>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</si>
  <si>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</si>
  <si>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</si>
  <si>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</si>
  <si>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</si>
  <si>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</si>
  <si>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</si>
  <si>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</si>
  <si>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</si>
  <si>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</si>
  <si>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</si>
  <si>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</si>
  <si>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</si>
  <si>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</si>
  <si>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</si>
  <si>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</si>
  <si>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</si>
  <si>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</si>
  <si>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</si>
  <si>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</si>
  <si>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</si>
  <si>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</si>
  <si>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</si>
  <si>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</si>
  <si>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</si>
  <si>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</si>
  <si>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</si>
  <si>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</si>
  <si>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</si>
  <si>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</si>
  <si>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</si>
  <si>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</si>
  <si>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</si>
  <si>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</si>
  <si>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</si>
  <si>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</si>
  <si>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</si>
  <si>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</si>
  <si>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</si>
  <si>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</si>
  <si>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</si>
  <si>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</si>
  <si>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</si>
  <si>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</si>
  <si>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</si>
  <si>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</si>
  <si>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</si>
  <si>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</si>
  <si>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</si>
  <si>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</si>
  <si>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</si>
  <si>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</si>
  <si>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</si>
  <si>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</si>
  <si>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</si>
  <si>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</si>
  <si>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</si>
  <si>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</si>
  <si>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</si>
  <si>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</si>
  <si>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</si>
  <si>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</si>
  <si>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</si>
  <si>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</si>
  <si>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</si>
  <si>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</si>
  <si>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</si>
  <si>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</si>
  <si>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</si>
  <si>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</si>
  <si>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</si>
  <si>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</si>
  <si>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</si>
  <si>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</si>
  <si>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</si>
  <si>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</si>
  <si>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</si>
  <si>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</si>
  <si>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</si>
  <si>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</si>
  <si>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</si>
  <si>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</si>
  <si>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</si>
  <si>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</si>
  <si>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</si>
  <si>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</si>
  <si>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</si>
  <si>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</si>
  <si>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</si>
  <si>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</si>
  <si>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</si>
  <si>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</si>
  <si>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</si>
  <si>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</si>
  <si>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</si>
  <si>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</si>
  <si>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</si>
  <si>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</si>
  <si>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</si>
  <si>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</si>
  <si>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</si>
  <si>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</si>
  <si>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</si>
  <si>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</si>
  <si>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</si>
  <si>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</si>
  <si>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</si>
  <si>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</si>
  <si>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</si>
  <si>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</si>
  <si>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</si>
  <si>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</si>
  <si>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</si>
  <si>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</si>
  <si>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</si>
  <si>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</si>
  <si>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</si>
  <si>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</si>
  <si>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</si>
  <si>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</si>
  <si>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</si>
  <si>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</si>
  <si>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</si>
  <si>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</si>
  <si>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</si>
  <si>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</si>
  <si>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</si>
  <si>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</si>
  <si>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</si>
  <si>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</si>
  <si>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</si>
  <si>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</si>
  <si>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</si>
  <si>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</si>
  <si>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</si>
  <si>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</si>
  <si>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</si>
  <si>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</si>
  <si>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</si>
  <si>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</si>
  <si>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</si>
  <si>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</si>
  <si>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</si>
  <si>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</si>
  <si>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</si>
  <si>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</si>
  <si>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</si>
  <si>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</si>
  <si>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</si>
  <si>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</si>
  <si>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</si>
  <si>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</si>
  <si>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</si>
  <si>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</si>
  <si>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</si>
  <si>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</si>
  <si>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</si>
  <si>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</si>
  <si>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</si>
  <si>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</si>
  <si>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</si>
  <si>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</si>
  <si>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</si>
  <si>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</si>
  <si>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</si>
  <si>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</si>
  <si>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</si>
  <si>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</si>
  <si>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</si>
  <si>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</si>
  <si>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</si>
  <si>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</si>
  <si>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</si>
  <si>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</si>
  <si>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</si>
  <si>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</si>
  <si>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</si>
  <si>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</si>
  <si>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</si>
  <si>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</si>
  <si>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</si>
  <si>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</si>
  <si>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</si>
  <si>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</si>
  <si>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</si>
  <si>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</si>
  <si>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</si>
  <si>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</si>
  <si>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</si>
  <si>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</si>
  <si>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</si>
  <si>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</si>
  <si>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</si>
  <si>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</si>
  <si>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</si>
  <si>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</si>
  <si>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</si>
  <si>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</si>
  <si>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</si>
  <si>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</si>
  <si>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</si>
  <si>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</si>
  <si>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</si>
  <si>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</si>
  <si>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</si>
  <si>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</si>
  <si>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</si>
  <si>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</si>
  <si>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</si>
  <si>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</si>
  <si>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</si>
  <si>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</si>
  <si>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</si>
  <si>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</si>
  <si>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</si>
  <si>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</si>
  <si>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</si>
  <si>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</si>
  <si>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</si>
  <si>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</si>
  <si>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</si>
  <si>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</si>
  <si>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</si>
  <si>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</si>
  <si>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</si>
  <si>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</si>
  <si>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</si>
  <si>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</si>
  <si>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</si>
  <si>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</si>
  <si>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</si>
  <si>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</si>
  <si>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</si>
  <si>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</si>
  <si>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</si>
  <si>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</si>
  <si>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</si>
  <si>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</si>
  <si>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</si>
  <si>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</si>
  <si>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</si>
  <si>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</si>
  <si>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</si>
  <si>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</si>
  <si>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</si>
  <si>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</si>
  <si>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</si>
  <si>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</si>
  <si>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</si>
  <si>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</si>
  <si>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</si>
  <si>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</si>
  <si>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</si>
  <si>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</si>
  <si>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</si>
  <si>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</si>
  <si>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</si>
  <si>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</si>
  <si>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</si>
  <si>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</si>
  <si>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</si>
  <si>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</si>
  <si>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</si>
  <si>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</si>
  <si>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</si>
  <si>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</si>
  <si>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</si>
  <si>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</si>
  <si>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</si>
  <si>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</si>
  <si>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</si>
  <si>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</si>
  <si>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</si>
  <si>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</si>
  <si>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</si>
  <si>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</si>
  <si>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</si>
  <si>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</si>
  <si>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</si>
  <si>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</si>
  <si>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</si>
  <si>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</si>
  <si>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</si>
  <si>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</si>
  <si>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</si>
  <si>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</si>
  <si>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</si>
  <si>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</si>
  <si>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</si>
  <si>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</si>
  <si>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</si>
  <si>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</si>
  <si>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</si>
  <si>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</si>
  <si>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</si>
  <si>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</si>
  <si>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</si>
  <si>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</si>
  <si>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</si>
  <si>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</si>
  <si>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</si>
  <si>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</si>
  <si>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</si>
  <si>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</si>
  <si>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</si>
  <si>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</si>
  <si>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</si>
  <si>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</si>
  <si>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</si>
  <si>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</si>
  <si>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</si>
  <si>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</si>
  <si>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</si>
  <si>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</si>
  <si>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</si>
  <si>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</si>
  <si>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</si>
  <si>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</si>
  <si>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</si>
  <si>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</si>
  <si>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</si>
  <si>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</si>
  <si>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</si>
  <si>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</si>
  <si>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</si>
  <si>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</si>
  <si>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</si>
  <si>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</si>
  <si>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</si>
  <si>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</si>
  <si>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</si>
  <si>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</si>
  <si>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</si>
  <si>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</si>
  <si>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</si>
  <si>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</si>
  <si>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</si>
  <si>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</si>
  <si>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</si>
  <si>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</si>
  <si>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</si>
  <si>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</si>
  <si>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</si>
  <si>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</si>
  <si>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</si>
  <si>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</si>
  <si>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</si>
  <si>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</si>
  <si>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</si>
  <si>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</si>
  <si>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</si>
  <si>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</si>
  <si>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</si>
  <si>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</si>
  <si>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</si>
  <si>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</si>
  <si>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</si>
  <si>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</si>
  <si>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</si>
  <si>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</si>
  <si>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</si>
  <si>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</si>
  <si>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</si>
  <si>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</si>
  <si>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</si>
  <si>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</si>
  <si>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</si>
  <si>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</si>
  <si>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</si>
  <si>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</si>
  <si>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</si>
  <si>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</si>
  <si>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</si>
  <si>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</si>
  <si>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</si>
  <si>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</si>
  <si>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</si>
  <si>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</si>
  <si>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</si>
  <si>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</si>
  <si>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</si>
  <si>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</si>
  <si>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</si>
  <si>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</si>
  <si>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</si>
  <si>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</si>
  <si>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</si>
  <si>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</si>
  <si>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</si>
  <si>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</si>
  <si>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</si>
  <si>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</si>
  <si>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</si>
  <si>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</si>
  <si>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</si>
  <si>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</si>
  <si>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</si>
  <si>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</si>
  <si>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</si>
  <si>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</si>
  <si>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</si>
  <si>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</si>
  <si>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</si>
  <si>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</si>
  <si>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</si>
  <si>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</si>
  <si>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</si>
  <si>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</si>
  <si>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</si>
  <si>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</si>
  <si>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</si>
  <si>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</si>
  <si>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</si>
  <si>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</si>
  <si>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</si>
  <si>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</si>
  <si>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</si>
  <si>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</si>
  <si>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</si>
  <si>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</si>
  <si>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</si>
  <si>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</si>
  <si>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</si>
  <si>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</si>
  <si>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</si>
  <si>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</si>
  <si>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</si>
  <si>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</si>
  <si>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</si>
  <si>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</si>
  <si>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</si>
  <si>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</si>
  <si>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</si>
  <si>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</si>
  <si>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</si>
  <si>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</si>
  <si>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</si>
  <si>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</si>
  <si>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</si>
  <si>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</si>
  <si>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</si>
  <si>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</si>
  <si>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</si>
  <si>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</si>
  <si>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</si>
  <si>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</si>
  <si>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</si>
  <si>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</si>
  <si>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</si>
  <si>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</si>
  <si>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</si>
  <si>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</si>
  <si>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</si>
  <si>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</si>
  <si>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</si>
  <si>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</si>
  <si>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</si>
  <si>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</si>
  <si>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</si>
  <si>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</si>
  <si>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</si>
  <si>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</si>
  <si>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</si>
  <si>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</si>
  <si>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</si>
  <si>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</si>
  <si>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</si>
  <si>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</si>
  <si>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</si>
  <si>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</si>
  <si>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</si>
  <si>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</si>
  <si>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</si>
  <si>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</si>
  <si>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</si>
  <si>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</si>
  <si>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</si>
  <si>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</si>
  <si>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</si>
  <si>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</si>
  <si>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</si>
  <si>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</si>
  <si>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</si>
  <si>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</si>
  <si>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</si>
  <si>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</si>
  <si>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</si>
  <si>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</si>
  <si>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</si>
  <si>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</si>
  <si>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</si>
  <si>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</si>
  <si>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</si>
  <si>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</si>
  <si>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</si>
  <si>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</si>
  <si>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</si>
  <si>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</si>
  <si>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</si>
  <si>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</si>
  <si>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</si>
  <si>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</si>
  <si>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</si>
  <si>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</si>
  <si>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</si>
  <si>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</si>
  <si>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</si>
  <si>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</si>
  <si>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</si>
  <si>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</si>
  <si>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</si>
  <si>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</si>
  <si>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</si>
  <si>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</si>
  <si>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</si>
  <si>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</si>
  <si>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</si>
  <si>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</si>
  <si>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</si>
  <si>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</si>
  <si>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</si>
  <si>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</si>
  <si>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</si>
  <si>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</si>
  <si>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</si>
  <si>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</si>
  <si>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</si>
  <si>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</si>
  <si>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</si>
  <si>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</si>
  <si>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</si>
  <si>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</si>
  <si>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</si>
  <si>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</si>
  <si>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</si>
  <si>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</si>
  <si>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</si>
  <si>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</si>
  <si>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</si>
  <si>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</si>
  <si>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</si>
  <si>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</si>
  <si>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</si>
  <si>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</si>
  <si>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</si>
  <si>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</si>
  <si>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</si>
  <si>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</si>
  <si>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</si>
  <si>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</si>
  <si>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</si>
  <si>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</si>
  <si>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</si>
  <si>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</si>
  <si>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</si>
  <si>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</si>
  <si>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</si>
  <si>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</si>
  <si>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</si>
  <si>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</si>
  <si>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</si>
  <si>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</si>
  <si>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</si>
  <si>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</si>
  <si>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</si>
  <si>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</si>
  <si>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</si>
  <si>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</si>
  <si>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</si>
  <si>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</si>
  <si>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</si>
  <si>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</si>
  <si>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</si>
  <si>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</si>
  <si>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</si>
  <si>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</si>
  <si>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</si>
  <si>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</si>
  <si>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</si>
  <si>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</si>
  <si>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</si>
  <si>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</si>
  <si>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</si>
  <si>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</si>
  <si>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</si>
  <si>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</si>
  <si>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</si>
  <si>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</si>
  <si>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</si>
  <si>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</si>
  <si>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</si>
  <si>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</si>
  <si>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</si>
  <si>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</si>
  <si>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</si>
  <si>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</si>
  <si>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</si>
  <si>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</si>
  <si>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</si>
  <si>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</si>
  <si>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</si>
  <si>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</si>
  <si>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</si>
  <si>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</si>
  <si>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</si>
  <si>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</si>
  <si>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</si>
  <si>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</si>
  <si>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</si>
  <si>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</si>
  <si>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</si>
  <si>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</si>
  <si>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</si>
  <si>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</si>
  <si>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</si>
  <si>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</si>
  <si>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</si>
  <si>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</si>
  <si>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</si>
  <si>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</si>
  <si>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</si>
  <si>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</si>
  <si>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</si>
  <si>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</si>
  <si>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</si>
  <si>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</si>
  <si>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</si>
  <si>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</si>
  <si>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</si>
  <si>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</si>
  <si>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</si>
  <si>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</si>
  <si>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</si>
  <si>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</si>
  <si>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</si>
  <si>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</si>
  <si>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</si>
  <si>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</si>
  <si>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</si>
  <si>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</si>
  <si>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</si>
  <si>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</si>
  <si>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</si>
  <si>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</si>
  <si>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</si>
  <si>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</si>
  <si>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</si>
  <si>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</si>
  <si>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</si>
  <si>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</si>
  <si>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</si>
  <si>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</si>
  <si>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</si>
  <si>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</si>
  <si>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</si>
  <si>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</si>
  <si>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</si>
  <si>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</si>
  <si>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</si>
  <si>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</si>
  <si>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</si>
  <si>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</si>
  <si>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</si>
  <si>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</si>
  <si>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</si>
  <si>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</si>
  <si>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</si>
  <si>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</si>
  <si>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</si>
  <si>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</si>
  <si>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</si>
  <si>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</si>
  <si>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</si>
  <si>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</si>
  <si>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</si>
  <si>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</si>
  <si>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</si>
  <si>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</si>
  <si>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</si>
  <si>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</si>
  <si>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</si>
  <si>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</si>
  <si>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</si>
  <si>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</si>
  <si>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</si>
  <si>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</si>
  <si>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</si>
  <si>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</si>
  <si>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</si>
  <si>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</si>
  <si>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</si>
  <si>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</si>
  <si>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</si>
  <si>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</si>
  <si>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</si>
  <si>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</si>
  <si>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</si>
  <si>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</si>
  <si>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</si>
  <si>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</si>
  <si>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</si>
  <si>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</si>
  <si>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</si>
  <si>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</si>
  <si>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</si>
  <si>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</si>
  <si>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</si>
  <si>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</si>
  <si>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</si>
  <si>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</si>
  <si>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</si>
  <si>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</si>
  <si>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</si>
  <si>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</si>
  <si>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</si>
  <si>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</si>
  <si>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</si>
  <si>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</si>
  <si>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</si>
  <si>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</si>
  <si>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</si>
  <si>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</si>
  <si>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</si>
  <si>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</si>
  <si>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</si>
  <si>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</si>
  <si>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</si>
  <si>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</si>
  <si>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</si>
  <si>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</si>
  <si>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</si>
  <si>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</si>
  <si>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</si>
  <si>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</si>
  <si>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</si>
  <si>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</si>
  <si>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</si>
  <si>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</si>
  <si>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</si>
  <si>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</si>
  <si>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</si>
  <si>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</si>
  <si>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</si>
  <si>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</si>
  <si>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</si>
  <si>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</si>
  <si>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</si>
  <si>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</si>
  <si>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</si>
  <si>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</si>
  <si>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</si>
  <si>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</si>
  <si>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</si>
  <si>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</si>
  <si>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</si>
  <si>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</si>
  <si>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</si>
  <si>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</si>
  <si>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</si>
  <si>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</si>
  <si>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</si>
  <si>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</si>
  <si>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</si>
  <si>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</si>
  <si>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</si>
  <si>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</si>
  <si>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</si>
  <si>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</si>
  <si>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</si>
  <si>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</si>
  <si>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</si>
  <si>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</si>
  <si>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</si>
  <si>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</si>
  <si>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</si>
  <si>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</si>
  <si>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</si>
  <si>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</si>
  <si>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</si>
  <si>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</si>
  <si>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</si>
  <si>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</si>
  <si>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</si>
  <si>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</si>
  <si>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</si>
  <si>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</si>
  <si>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</si>
  <si>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</si>
  <si>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</si>
  <si>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</si>
  <si>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</si>
  <si>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</si>
  <si>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</si>
  <si>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</si>
  <si>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</si>
  <si>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</si>
  <si>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</si>
  <si>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</si>
  <si>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</si>
  <si>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</si>
  <si>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</si>
  <si>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</si>
  <si>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</si>
  <si>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</si>
  <si>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</si>
  <si>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</si>
  <si>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</si>
  <si>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</si>
  <si>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</si>
  <si>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</si>
  <si>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</si>
  <si>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</si>
  <si>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</si>
  <si>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</si>
  <si>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</si>
  <si>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</si>
  <si>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</si>
  <si>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</si>
  <si>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</si>
  <si>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</si>
  <si>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</si>
  <si>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</si>
  <si>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</si>
  <si>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</si>
  <si>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</si>
  <si>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</si>
  <si>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</si>
  <si>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</si>
  <si>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</si>
  <si>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</si>
  <si>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</si>
  <si>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</si>
  <si>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</si>
  <si>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</si>
  <si>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</si>
  <si>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</si>
  <si>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</si>
  <si>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</si>
  <si>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</si>
  <si>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</si>
  <si>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</si>
  <si>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</si>
  <si>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</si>
  <si>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</si>
  <si>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</si>
  <si>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</si>
  <si>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</si>
  <si>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</si>
  <si>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</si>
  <si>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</si>
  <si>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</si>
  <si>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</si>
  <si>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</si>
  <si>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</si>
  <si>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</si>
  <si>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</si>
  <si>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</si>
  <si>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</si>
  <si>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</si>
  <si>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</si>
  <si>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</si>
  <si>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</si>
  <si>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</si>
  <si>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</si>
  <si>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</si>
  <si>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</si>
  <si>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</si>
  <si>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</si>
  <si>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</si>
  <si>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</si>
  <si>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</si>
  <si>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</si>
  <si>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</si>
  <si>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</si>
  <si>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</si>
  <si>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</si>
  <si>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</si>
  <si>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</si>
  <si>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</si>
  <si>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</si>
  <si>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</si>
  <si>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</si>
  <si>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</si>
  <si>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</si>
  <si>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</si>
  <si>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</si>
  <si>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</si>
  <si>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</si>
  <si>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</si>
  <si>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</si>
  <si>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</si>
  <si>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</si>
  <si>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</si>
  <si>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</si>
  <si>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</si>
  <si>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</si>
  <si>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</si>
  <si>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</si>
  <si>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</si>
  <si>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</si>
  <si>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</si>
  <si>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</si>
  <si>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</si>
  <si>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</si>
  <si>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</si>
  <si>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</si>
  <si>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</si>
  <si>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</si>
  <si>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</si>
  <si>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</si>
  <si>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</si>
  <si>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</si>
  <si>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</si>
  <si>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</si>
  <si>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</si>
  <si>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</si>
  <si>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</si>
  <si>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</si>
  <si>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</si>
  <si>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</si>
  <si>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</si>
  <si>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</si>
  <si>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</si>
  <si>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</si>
  <si>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</si>
  <si>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</si>
  <si>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</si>
  <si>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</si>
  <si>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</si>
  <si>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</si>
  <si>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</si>
  <si>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</si>
  <si>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</si>
  <si>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</si>
  <si>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</si>
  <si>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</si>
  <si>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</si>
  <si>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</si>
  <si>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</si>
  <si>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</si>
  <si>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</si>
  <si>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</si>
  <si>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</si>
  <si>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</si>
  <si>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</si>
  <si>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</si>
  <si>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</si>
  <si>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</si>
  <si>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</si>
  <si>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</si>
  <si>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</si>
  <si>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</si>
  <si>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</si>
  <si>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</si>
  <si>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</si>
  <si>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</si>
  <si>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</si>
  <si>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</si>
  <si>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</si>
  <si>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</si>
  <si>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</si>
  <si>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</si>
  <si>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</si>
  <si>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</si>
  <si>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</si>
  <si>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</si>
  <si>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</si>
  <si>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</si>
  <si>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</si>
  <si>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</si>
  <si>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</si>
  <si>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</si>
  <si>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</si>
  <si>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</si>
  <si>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</si>
  <si>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</si>
  <si>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</si>
  <si>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</si>
  <si>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</si>
  <si>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</si>
  <si>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</si>
  <si>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</si>
  <si>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</si>
  <si>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</si>
  <si>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</si>
  <si>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</si>
  <si>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</si>
  <si>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</si>
  <si>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</si>
  <si>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</si>
  <si>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</si>
  <si>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</si>
  <si>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</si>
  <si>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</si>
  <si>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</si>
  <si>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</si>
  <si>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</si>
  <si>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</si>
  <si>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</si>
  <si>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</si>
  <si>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</si>
  <si>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</si>
  <si>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</si>
  <si>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</si>
  <si>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</si>
  <si>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</si>
  <si>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</si>
  <si>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</si>
  <si>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</si>
  <si>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</si>
  <si>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</si>
  <si>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</si>
  <si>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</si>
  <si>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</si>
  <si>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</si>
  <si>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</si>
  <si>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</si>
  <si>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</si>
  <si>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</si>
  <si>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</si>
  <si>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</si>
  <si>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</si>
  <si>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</si>
  <si>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</si>
  <si>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</si>
  <si>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</si>
  <si>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</si>
  <si>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</si>
  <si>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</si>
  <si>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</si>
  <si>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</si>
  <si>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</si>
  <si>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</si>
  <si>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</si>
  <si>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</si>
  <si>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</si>
  <si>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</si>
  <si>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</si>
  <si>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</si>
  <si>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</si>
  <si>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</si>
  <si>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</si>
  <si>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</si>
  <si>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</si>
  <si>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</si>
  <si>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</si>
  <si>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</si>
  <si>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</si>
  <si>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</si>
  <si>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</si>
  <si>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</si>
  <si>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</si>
  <si>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</si>
  <si>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</si>
  <si>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</si>
  <si>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</si>
  <si>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</si>
  <si>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</si>
  <si>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</si>
  <si>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</si>
  <si>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</si>
  <si>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</si>
  <si>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</si>
  <si>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</si>
  <si>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</si>
  <si>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</si>
  <si>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</si>
  <si>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</si>
  <si>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</si>
  <si>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</si>
  <si>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</si>
  <si>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</si>
  <si>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</si>
  <si>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</si>
  <si>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</si>
  <si>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</si>
  <si>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</si>
  <si>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</si>
  <si>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</si>
  <si>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</si>
  <si>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</si>
  <si>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</si>
  <si>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</si>
  <si>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</si>
  <si>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</si>
  <si>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</si>
  <si>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</si>
  <si>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</si>
  <si>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</si>
  <si>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</si>
  <si>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</si>
  <si>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</si>
  <si>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</si>
  <si>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</si>
  <si>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</si>
  <si>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</si>
  <si>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</si>
  <si>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</si>
  <si>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</si>
  <si>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</si>
  <si>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</si>
  <si>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</si>
  <si>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</si>
  <si>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</si>
  <si>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</si>
  <si>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</si>
  <si>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</si>
  <si>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</si>
  <si>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</si>
  <si>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</si>
  <si>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</si>
  <si>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</si>
  <si>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</si>
  <si>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</si>
  <si>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</si>
  <si>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</si>
  <si>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</si>
  <si>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</si>
  <si>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</si>
  <si>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</si>
  <si>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</si>
  <si>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</si>
  <si>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</si>
  <si>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</si>
  <si>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</si>
  <si>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</si>
  <si>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</si>
  <si>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</si>
  <si>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</si>
  <si>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</si>
  <si>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</si>
  <si>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</si>
  <si>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</si>
  <si>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</si>
  <si>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</si>
  <si>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</si>
  <si>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</si>
  <si>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</si>
  <si>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</si>
  <si>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</si>
  <si>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</si>
  <si>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</si>
  <si>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</si>
  <si>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</si>
  <si>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</si>
  <si>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</si>
  <si>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</si>
  <si>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</si>
  <si>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</si>
  <si>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</si>
  <si>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</si>
  <si>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</si>
  <si>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</si>
  <si>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</si>
  <si>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</si>
  <si>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</si>
  <si>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</si>
  <si>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</si>
  <si>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</si>
  <si>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</si>
  <si>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</si>
  <si>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</si>
  <si>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</si>
  <si>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</si>
  <si>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</si>
  <si>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</si>
  <si>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</si>
  <si>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</si>
  <si>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</si>
  <si>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</si>
  <si>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</si>
  <si>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</si>
  <si>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</si>
  <si>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</si>
  <si>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</si>
  <si>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</si>
  <si>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</si>
  <si>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</si>
  <si>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</si>
  <si>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</si>
  <si>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</si>
  <si>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</si>
  <si>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</si>
  <si>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</si>
  <si>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</si>
  <si>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</si>
  <si>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</si>
  <si>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</si>
  <si>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</si>
  <si>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</si>
  <si>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</si>
  <si>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</si>
  <si>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</si>
  <si>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</si>
  <si>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</si>
  <si>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</si>
  <si>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</si>
  <si>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</si>
  <si>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</si>
  <si>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</si>
  <si>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</si>
  <si>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</si>
  <si>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</si>
  <si>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</si>
  <si>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</si>
  <si>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</si>
  <si>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</si>
  <si>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</si>
  <si>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</si>
  <si>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</si>
  <si>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</si>
  <si>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</si>
  <si>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</si>
  <si>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</si>
  <si>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</si>
  <si>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</si>
  <si>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</si>
  <si>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</si>
  <si>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</si>
  <si>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</si>
  <si>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</si>
  <si>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</si>
  <si>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</si>
  <si>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</si>
  <si>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</si>
  <si>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</si>
  <si>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</si>
  <si>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</si>
  <si>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</si>
  <si>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</si>
  <si>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</si>
  <si>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</si>
  <si>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</si>
  <si>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</si>
  <si>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</si>
  <si>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</si>
  <si>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</si>
  <si>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</si>
  <si>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</si>
  <si>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</si>
  <si>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</si>
  <si>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</si>
  <si>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</si>
  <si>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</si>
  <si>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</si>
  <si>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</si>
  <si>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</si>
  <si>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</si>
  <si>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</si>
  <si>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</si>
  <si>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</si>
  <si>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</si>
  <si>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</si>
  <si>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</si>
  <si>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</si>
  <si>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</si>
  <si>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</si>
  <si>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</si>
  <si>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</si>
  <si>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</si>
  <si>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</si>
  <si>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</si>
  <si>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</si>
  <si>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</si>
  <si>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</si>
  <si>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</si>
  <si>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</si>
  <si>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</si>
  <si>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</si>
  <si>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</si>
  <si>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</si>
  <si>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</si>
  <si>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</si>
  <si>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</si>
  <si>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</si>
  <si>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</si>
  <si>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</si>
  <si>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</si>
  <si>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</si>
  <si>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</si>
  <si>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</si>
  <si>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</si>
  <si>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</si>
  <si>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</si>
  <si>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</si>
  <si>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</si>
  <si>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</si>
  <si>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</si>
  <si>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</si>
  <si>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</si>
  <si>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</si>
  <si>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</si>
  <si>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</si>
  <si>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</si>
  <si>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</si>
  <si>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</si>
  <si>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</si>
  <si>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</si>
  <si>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</si>
  <si>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</si>
  <si>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</si>
  <si>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</si>
  <si>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</si>
  <si>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</si>
  <si>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</si>
  <si>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</si>
  <si>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</si>
  <si>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</si>
  <si>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</si>
  <si>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</si>
  <si>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</si>
  <si>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</si>
  <si>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</si>
  <si>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</si>
  <si>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</si>
  <si>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</si>
  <si>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</si>
  <si>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</si>
  <si>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</si>
  <si>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</si>
  <si>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</si>
  <si>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</si>
  <si>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</si>
  <si>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</si>
  <si>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</si>
  <si>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</si>
  <si>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</si>
  <si>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</si>
  <si>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</si>
  <si>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</si>
  <si>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</si>
  <si>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</si>
  <si>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</si>
  <si>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</si>
  <si>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</si>
  <si>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</si>
  <si>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</si>
  <si>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</si>
  <si>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</si>
  <si>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</si>
  <si>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</si>
  <si>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</si>
  <si>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</si>
  <si>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</si>
  <si>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</si>
  <si>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</si>
  <si>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</si>
  <si>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</si>
  <si>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</si>
  <si>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</si>
  <si>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</si>
  <si>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</si>
  <si>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</si>
  <si>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</si>
  <si>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</si>
  <si>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</si>
  <si>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</si>
  <si>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</si>
  <si>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</si>
  <si>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</si>
  <si>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</si>
  <si>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</si>
  <si>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</si>
  <si>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</si>
  <si>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</si>
  <si>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</si>
  <si>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</si>
  <si>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</si>
  <si>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</si>
  <si>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</si>
  <si>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</si>
  <si>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</si>
  <si>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</si>
  <si>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</si>
  <si>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</si>
  <si>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</si>
  <si>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</si>
  <si>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</si>
  <si>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</si>
  <si>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</si>
  <si>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</si>
  <si>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</si>
  <si>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</si>
  <si>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</si>
  <si>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</si>
  <si>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</si>
  <si>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</si>
  <si>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</si>
  <si>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</si>
  <si>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</si>
  <si>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</si>
  <si>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</si>
  <si>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</si>
  <si>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</si>
  <si>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</si>
  <si>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</si>
  <si>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</si>
  <si>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</si>
  <si>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</si>
  <si>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</si>
  <si>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</si>
  <si>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</si>
  <si>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</si>
  <si>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</si>
  <si>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</si>
  <si>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</si>
  <si>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</si>
  <si>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</si>
  <si>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</si>
  <si>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</si>
  <si>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</si>
  <si>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</si>
  <si>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</si>
  <si>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</si>
  <si>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</si>
  <si>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</si>
  <si>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</si>
  <si>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</si>
  <si>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</si>
  <si>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</si>
  <si>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</si>
  <si>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</si>
  <si>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</si>
  <si>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</si>
  <si>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</si>
  <si>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</si>
  <si>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</si>
  <si>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</si>
  <si>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</si>
  <si>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</si>
  <si>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</si>
  <si>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</si>
  <si>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</si>
  <si>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</si>
  <si>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</si>
  <si>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</si>
  <si>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</si>
  <si>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</si>
  <si>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</si>
  <si>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</si>
  <si>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</si>
  <si>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</si>
  <si>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</si>
  <si>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</si>
  <si>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</si>
  <si>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</si>
  <si>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</si>
  <si>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</si>
  <si>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</si>
  <si>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</si>
  <si>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</si>
  <si>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</si>
  <si>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</si>
  <si>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</si>
  <si>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</si>
  <si>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</si>
  <si>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</si>
  <si>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</si>
  <si>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</si>
  <si>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</si>
  <si>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</si>
  <si>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</si>
  <si>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</si>
  <si>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</si>
  <si>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</si>
  <si>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</si>
  <si>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</si>
  <si>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</si>
  <si>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</si>
  <si>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</si>
  <si>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</si>
  <si>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</si>
  <si>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</si>
  <si>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</si>
  <si>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</si>
  <si>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</si>
  <si>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</si>
  <si>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</si>
  <si>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</si>
  <si>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</si>
  <si>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</si>
  <si>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</si>
  <si>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</si>
  <si>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</si>
  <si>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</si>
  <si>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</si>
  <si>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</si>
  <si>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</si>
  <si>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</si>
  <si>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</si>
  <si>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</si>
  <si>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</si>
  <si>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</si>
  <si>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</si>
  <si>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</si>
  <si>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</si>
  <si>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</si>
  <si>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</si>
  <si>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</si>
  <si>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</si>
  <si>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</si>
  <si>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</si>
  <si>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</si>
  <si>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</si>
  <si>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</si>
  <si>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</si>
  <si>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</si>
  <si>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</si>
  <si>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</si>
  <si>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</si>
  <si>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</si>
  <si>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</si>
  <si>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</si>
  <si>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</si>
  <si>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</si>
  <si>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</si>
  <si>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</si>
  <si>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</si>
  <si>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</si>
  <si>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</si>
  <si>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</si>
  <si>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</si>
  <si>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</si>
  <si>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</si>
  <si>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</si>
  <si>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</si>
  <si>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</si>
  <si>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</si>
  <si>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</si>
  <si>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</si>
  <si>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</si>
  <si>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</si>
  <si>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</si>
  <si>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</si>
  <si>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</si>
  <si>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</si>
  <si>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</si>
  <si>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</si>
  <si>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</si>
  <si>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</si>
  <si>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</si>
  <si>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</si>
  <si>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</si>
  <si>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</si>
  <si>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</si>
  <si>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</si>
  <si>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</si>
  <si>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</si>
  <si>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</si>
  <si>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</si>
  <si>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</si>
  <si>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</si>
  <si>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</si>
  <si>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</si>
  <si>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</si>
  <si>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</si>
  <si>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</si>
  <si>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</si>
  <si>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</si>
  <si>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</si>
  <si>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</si>
  <si>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</si>
  <si>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</si>
  <si>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</si>
  <si>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</si>
  <si>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</si>
  <si>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</si>
  <si>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</si>
  <si>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</si>
  <si>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</si>
  <si>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</si>
  <si>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</si>
  <si>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</si>
  <si>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</si>
  <si>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</si>
  <si>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</si>
  <si>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</si>
  <si>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</si>
  <si>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</si>
  <si>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</si>
  <si>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</si>
  <si>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</si>
  <si>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</si>
  <si>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</si>
  <si>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</si>
  <si>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</si>
  <si>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</si>
  <si>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</si>
  <si>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</si>
  <si>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</si>
  <si>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</si>
  <si>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</si>
  <si>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</si>
  <si>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</si>
  <si>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</si>
  <si>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</si>
  <si>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</si>
  <si>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</si>
  <si>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</si>
  <si>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</si>
  <si>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</si>
  <si>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</si>
  <si>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</si>
  <si>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</si>
  <si>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</si>
  <si>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</si>
  <si>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</si>
  <si>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</si>
  <si>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</si>
  <si>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</si>
  <si>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</si>
  <si>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</si>
  <si>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</si>
  <si>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</si>
  <si>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</si>
  <si>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</si>
  <si>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</si>
  <si>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</si>
  <si>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</si>
  <si>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</si>
  <si>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</si>
  <si>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</si>
  <si>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</si>
  <si>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</si>
  <si>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</si>
  <si>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</si>
  <si>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</si>
  <si>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</si>
  <si>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</si>
  <si>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</si>
  <si>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</si>
  <si>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</si>
  <si>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</si>
  <si>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</si>
  <si>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</si>
  <si>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</si>
  <si>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</si>
  <si>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</si>
  <si>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</si>
  <si>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</si>
  <si>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</si>
  <si>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</si>
  <si>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</si>
  <si>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</si>
  <si>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</si>
  <si>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</si>
  <si>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</si>
  <si>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</si>
  <si>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</si>
  <si>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</si>
  <si>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</si>
  <si>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</si>
  <si>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</si>
  <si>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</si>
  <si>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</si>
  <si>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</si>
  <si>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</si>
  <si>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</si>
  <si>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</si>
  <si>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</si>
  <si>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</si>
  <si>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</si>
  <si>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</si>
  <si>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</si>
  <si>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</si>
  <si>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</si>
  <si>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</si>
  <si>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</si>
  <si>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</si>
  <si>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</si>
  <si>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</si>
  <si>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</si>
  <si>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</si>
  <si>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</si>
  <si>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</si>
  <si>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</si>
  <si>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</si>
  <si>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</si>
  <si>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</si>
  <si>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</si>
  <si>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</si>
  <si>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</si>
  <si>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</si>
  <si>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</si>
  <si>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</si>
  <si>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</si>
  <si>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</si>
  <si>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</si>
  <si>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</si>
  <si>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</si>
  <si>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</si>
  <si>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</si>
  <si>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</si>
  <si>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</si>
  <si>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</si>
  <si>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</si>
  <si>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</si>
  <si>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</si>
  <si>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</si>
  <si>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</si>
  <si>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</si>
  <si>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</si>
  <si>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</si>
  <si>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</si>
  <si>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</si>
  <si>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</si>
  <si>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</si>
  <si>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</si>
  <si>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</si>
  <si>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</si>
  <si>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</si>
  <si>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</si>
  <si>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</si>
  <si>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</si>
  <si>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</si>
  <si>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</si>
  <si>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</si>
  <si>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</si>
  <si>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</si>
  <si>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</si>
  <si>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</si>
  <si>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</si>
  <si>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</si>
  <si>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</si>
  <si>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</si>
  <si>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</si>
  <si>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</si>
  <si>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</si>
  <si>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</si>
  <si>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</si>
  <si>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</si>
  <si>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</si>
  <si>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</si>
  <si>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</si>
  <si>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</si>
  <si>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</si>
  <si>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</si>
  <si>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</si>
  <si>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</si>
  <si>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</si>
  <si>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</si>
  <si>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</si>
  <si>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</si>
  <si>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</si>
  <si>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</si>
  <si>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</si>
  <si>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</si>
  <si>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</si>
  <si>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</si>
  <si>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</si>
  <si>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</si>
  <si>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</si>
  <si>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</si>
  <si>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</si>
  <si>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</si>
  <si>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</si>
  <si>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</si>
  <si>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</si>
  <si>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</si>
  <si>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</si>
  <si>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</si>
  <si>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</si>
  <si>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</si>
  <si>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</si>
  <si>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</si>
  <si>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</si>
  <si>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</si>
  <si>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</si>
  <si>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</si>
  <si>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</si>
  <si>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</si>
  <si>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</si>
  <si>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</si>
  <si>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</si>
  <si>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</si>
  <si>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</si>
  <si>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</si>
  <si>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</si>
  <si>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</si>
  <si>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</si>
  <si>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</si>
  <si>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</si>
  <si>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</si>
  <si>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</si>
  <si>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</si>
  <si>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</si>
  <si>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</si>
  <si>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</si>
  <si>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</si>
  <si>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</si>
  <si>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</si>
  <si>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</si>
  <si>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</si>
  <si>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</si>
  <si>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</si>
  <si>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</si>
  <si>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</si>
  <si>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</si>
  <si>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</si>
  <si>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</si>
  <si>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</si>
  <si>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</si>
  <si>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</si>
  <si>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</si>
  <si>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</si>
  <si>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</si>
  <si>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</si>
  <si>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</si>
  <si>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</si>
  <si>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</si>
  <si>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</si>
  <si>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</si>
  <si>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</si>
  <si>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</si>
  <si>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</si>
  <si>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</si>
  <si>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</si>
  <si>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</si>
  <si>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</si>
  <si>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</si>
  <si>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</si>
  <si>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</si>
  <si>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</si>
  <si>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</si>
  <si>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</si>
  <si>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</si>
  <si>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</si>
  <si>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</si>
  <si>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</si>
  <si>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</si>
  <si>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</si>
  <si>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</si>
  <si>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</si>
  <si>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</si>
  <si>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</si>
  <si>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</si>
  <si>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</si>
  <si>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</si>
  <si>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</si>
  <si>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</si>
  <si>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</si>
  <si>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</si>
  <si>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</si>
  <si>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</si>
  <si>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</si>
  <si>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</si>
  <si>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</si>
  <si>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</si>
  <si>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</si>
  <si>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</si>
  <si>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</si>
  <si>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</si>
  <si>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</si>
  <si>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</si>
  <si>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</si>
  <si>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</si>
  <si>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</si>
  <si>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</si>
  <si>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</si>
  <si>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</si>
  <si>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</si>
  <si>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</si>
  <si>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</si>
  <si>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</si>
  <si>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</si>
  <si>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</si>
  <si>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</si>
  <si>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</si>
  <si>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</si>
  <si>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</si>
  <si>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</si>
  <si>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</si>
  <si>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</si>
  <si>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</si>
  <si>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</si>
  <si>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</si>
  <si>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</si>
  <si>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</si>
  <si>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</si>
  <si>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</si>
  <si>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</si>
  <si>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</si>
  <si>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</si>
  <si>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</si>
  <si>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</si>
  <si>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</si>
  <si>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</si>
  <si>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</si>
  <si>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</si>
  <si>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</si>
  <si>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</si>
  <si>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</si>
  <si>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</si>
  <si>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</si>
  <si>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</si>
  <si>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</si>
  <si>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</si>
  <si>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</si>
  <si>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</si>
  <si>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</si>
  <si>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</si>
  <si>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</si>
  <si>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</si>
  <si>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</si>
  <si>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</si>
  <si>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</si>
  <si>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</si>
  <si>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</si>
  <si>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</si>
  <si>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</si>
  <si>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</si>
  <si>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</si>
  <si>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</si>
  <si>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</si>
  <si>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</si>
  <si>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</si>
  <si>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</si>
  <si>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</si>
  <si>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</si>
  <si>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</si>
  <si>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</si>
  <si>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</si>
  <si>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</si>
  <si>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</si>
  <si>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</si>
  <si>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</si>
  <si>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</si>
  <si>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</si>
  <si>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</si>
  <si>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</si>
  <si>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</si>
  <si>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</si>
  <si>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</si>
  <si>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</si>
  <si>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</si>
  <si>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</si>
  <si>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</si>
  <si>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</si>
  <si>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</si>
  <si>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</si>
  <si>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</si>
  <si>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</si>
  <si>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</si>
  <si>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</si>
  <si>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</si>
  <si>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</si>
  <si>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</si>
  <si>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</si>
  <si>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</si>
  <si>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</si>
  <si>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</si>
  <si>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</si>
  <si>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</si>
  <si>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</si>
  <si>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</si>
  <si>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</si>
  <si>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</si>
  <si>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</si>
  <si>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</si>
  <si>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</si>
  <si>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</si>
  <si>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</si>
  <si>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</si>
  <si>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</si>
  <si>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</si>
  <si>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</si>
  <si>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</si>
  <si>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</si>
  <si>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</si>
  <si>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</si>
  <si>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</si>
  <si>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</si>
  <si>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</si>
  <si>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</si>
  <si>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</si>
  <si>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</si>
  <si>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</si>
  <si>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</si>
  <si>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</si>
  <si>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</si>
  <si>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</si>
  <si>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</si>
  <si>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</si>
  <si>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</si>
  <si>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</si>
  <si>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</si>
  <si>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</si>
  <si>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</si>
  <si>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</si>
  <si>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</si>
  <si>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</si>
  <si>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</si>
  <si>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</si>
  <si>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</si>
  <si>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</si>
  <si>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</si>
  <si>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</si>
  <si>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</si>
  <si>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</si>
  <si>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</si>
  <si>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</si>
  <si>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</si>
  <si>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</si>
  <si>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</si>
  <si>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</si>
  <si>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</si>
  <si>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</si>
  <si>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</si>
  <si>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</si>
  <si>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</si>
  <si>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</si>
  <si>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</si>
  <si>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</si>
  <si>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</si>
  <si>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</si>
  <si>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</si>
  <si>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</si>
  <si>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</si>
  <si>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</si>
  <si>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</si>
  <si>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</si>
  <si>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</si>
  <si>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</si>
  <si>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</si>
  <si>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</si>
  <si>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</si>
  <si>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</si>
  <si>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</si>
  <si>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</si>
  <si>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</si>
  <si>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</si>
  <si>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</si>
  <si>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</si>
  <si>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</si>
  <si>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</si>
  <si>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</si>
  <si>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</si>
  <si>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</si>
  <si>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</si>
  <si>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</si>
  <si>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</si>
  <si>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</si>
  <si>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</si>
  <si>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</si>
  <si>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</si>
  <si>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</si>
  <si>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</si>
  <si>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</si>
  <si>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</si>
  <si>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</si>
  <si>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</si>
  <si>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</si>
  <si>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</si>
  <si>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</si>
  <si>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</si>
  <si>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</si>
  <si>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</si>
  <si>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</si>
  <si>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</si>
  <si>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</si>
  <si>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</si>
  <si>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</si>
  <si>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</si>
  <si>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</si>
  <si>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</si>
  <si>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</si>
  <si>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</si>
  <si>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</si>
  <si>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</si>
  <si>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</si>
  <si>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</si>
  <si>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</si>
  <si>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</si>
  <si>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</si>
  <si>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</si>
  <si>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</si>
  <si>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</si>
  <si>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</si>
  <si>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</si>
  <si>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</si>
  <si>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</si>
  <si>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</si>
  <si>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</si>
  <si>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</si>
  <si>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</si>
  <si>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</si>
  <si>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</si>
  <si>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</si>
  <si>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</si>
  <si>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</si>
  <si>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</si>
  <si>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</si>
  <si>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</si>
  <si>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</si>
  <si>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</si>
  <si>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</si>
  <si>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</si>
  <si>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</si>
  <si>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</si>
  <si>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</si>
  <si>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</si>
  <si>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</si>
  <si>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</si>
  <si>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</si>
  <si>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</si>
  <si>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</si>
  <si>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</si>
  <si>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</si>
  <si>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</si>
  <si>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</si>
  <si>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</si>
  <si>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</si>
  <si>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</si>
  <si>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</si>
  <si>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</si>
  <si>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</si>
  <si>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</si>
  <si>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</si>
  <si>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</si>
  <si>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</si>
  <si>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</si>
  <si>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</si>
  <si>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</si>
  <si>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</si>
  <si>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</si>
  <si>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</si>
  <si>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</si>
  <si>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</si>
  <si>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</si>
  <si>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</si>
  <si>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</si>
  <si>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</si>
  <si>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</si>
  <si>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</si>
  <si>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</si>
  <si>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</si>
  <si>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</si>
  <si>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</si>
  <si>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</si>
  <si>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</si>
  <si>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</si>
  <si>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</si>
  <si>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</si>
  <si>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</si>
  <si>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</si>
  <si>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</si>
  <si>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</si>
  <si>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</si>
  <si>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</si>
  <si>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</si>
  <si>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</si>
  <si>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</si>
  <si>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</si>
  <si>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</si>
  <si>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</si>
  <si>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</si>
  <si>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</si>
  <si>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</si>
  <si>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</si>
  <si>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</si>
  <si>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</si>
  <si>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</si>
  <si>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</si>
  <si>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</si>
  <si>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</si>
  <si>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</si>
  <si>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</si>
  <si>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</si>
  <si>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</si>
  <si>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</si>
  <si>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</si>
  <si>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</si>
  <si>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</si>
  <si>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</si>
  <si>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</si>
  <si>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</si>
  <si>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</si>
  <si>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</si>
  <si>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</si>
  <si>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</si>
  <si>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</si>
  <si>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</si>
  <si>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</si>
  <si>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</si>
  <si>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</si>
  <si>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</si>
  <si>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</si>
  <si>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</si>
  <si>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</si>
  <si>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</si>
  <si>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</si>
  <si>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</si>
  <si>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</si>
  <si>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</si>
  <si>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</si>
  <si>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</si>
  <si>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</si>
  <si>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</si>
  <si>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</si>
  <si>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</si>
  <si>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</si>
  <si>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</si>
  <si>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</si>
  <si>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</si>
  <si>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</si>
  <si>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</si>
  <si>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</si>
  <si>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</si>
  <si>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</si>
  <si>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</si>
  <si>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</si>
  <si>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</si>
  <si>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</si>
  <si>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</si>
  <si>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</si>
  <si>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</si>
  <si>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</si>
  <si>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</si>
  <si>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</si>
  <si>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</si>
  <si>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</si>
  <si>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</si>
  <si>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</si>
  <si>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</si>
  <si>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</si>
  <si>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</si>
  <si>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</si>
  <si>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</si>
  <si>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</si>
  <si>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</si>
  <si>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</si>
  <si>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</si>
  <si>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</si>
  <si>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</si>
  <si>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</si>
  <si>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</si>
  <si>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</si>
  <si>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</si>
  <si>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</si>
  <si>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</si>
  <si>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</si>
  <si>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</si>
  <si>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</si>
  <si>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</si>
  <si>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</si>
  <si>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</si>
  <si>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</si>
  <si>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</si>
  <si>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</si>
  <si>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</si>
  <si>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</si>
  <si>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</si>
  <si>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</si>
  <si>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</si>
  <si>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</si>
  <si>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</si>
  <si>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</si>
  <si>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</si>
  <si>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</si>
  <si>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</si>
  <si>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</si>
  <si>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</si>
  <si>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</si>
  <si>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</si>
  <si>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</si>
  <si>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</si>
  <si>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</si>
  <si>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</si>
  <si>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</si>
  <si>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</si>
  <si>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</si>
  <si>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</si>
  <si>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</si>
  <si>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</si>
  <si>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</si>
  <si>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</si>
  <si>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</si>
  <si>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</si>
  <si>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</si>
  <si>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</si>
  <si>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</si>
  <si>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</si>
  <si>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</si>
  <si>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</si>
  <si>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</si>
  <si>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</si>
  <si>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</si>
  <si>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</si>
  <si>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</si>
  <si>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</si>
  <si>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</si>
  <si>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</si>
  <si>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</si>
  <si>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</si>
  <si>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</si>
  <si>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</si>
  <si>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</si>
  <si>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</si>
  <si>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</si>
  <si>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</si>
  <si>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</si>
  <si>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</si>
  <si>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</si>
  <si>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</si>
  <si>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</si>
  <si>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</si>
  <si>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</si>
  <si>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</si>
  <si>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</si>
  <si>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</si>
  <si>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</si>
  <si>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</si>
  <si>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</si>
  <si>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</si>
  <si>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</si>
  <si>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</si>
  <si>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</si>
  <si>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</si>
  <si>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</si>
  <si>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</si>
  <si>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</si>
  <si>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</si>
  <si>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</si>
  <si>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</si>
  <si>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</si>
  <si>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</si>
  <si>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</si>
  <si>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</si>
  <si>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</si>
  <si>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</si>
  <si>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</si>
  <si>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</si>
  <si>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</si>
  <si>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</si>
  <si>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</si>
  <si>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</si>
  <si>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</si>
  <si>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</si>
  <si>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</si>
  <si>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</si>
  <si>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</si>
  <si>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</si>
  <si>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</si>
  <si>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</si>
  <si>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</si>
  <si>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</si>
  <si>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</si>
  <si>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</si>
  <si>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</si>
  <si>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</si>
  <si>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</si>
  <si>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</si>
  <si>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</si>
  <si>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</si>
  <si>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</si>
  <si>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</si>
  <si>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</si>
  <si>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</si>
  <si>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</si>
  <si>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</si>
  <si>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</si>
  <si>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</si>
  <si>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</si>
  <si>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</si>
  <si>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</si>
  <si>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</si>
  <si>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</si>
  <si>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</si>
  <si>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</si>
  <si>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</si>
  <si>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</si>
  <si>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</si>
  <si>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</si>
  <si>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</si>
  <si>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</si>
  <si>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</si>
  <si>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</si>
  <si>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</si>
  <si>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</si>
  <si>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</si>
  <si>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</si>
  <si>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</si>
  <si>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</si>
  <si>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</si>
  <si>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</si>
  <si>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</si>
  <si>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</si>
  <si>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</si>
  <si>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</si>
  <si>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</si>
  <si>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</si>
  <si>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</si>
  <si>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</si>
  <si>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</si>
  <si>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</si>
  <si>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</si>
  <si>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</si>
  <si>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</si>
  <si>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</si>
  <si>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</si>
  <si>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</si>
  <si>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</si>
  <si>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</si>
  <si>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</si>
  <si>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</si>
  <si>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</si>
  <si>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</si>
  <si>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</si>
  <si>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</si>
  <si>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</si>
  <si>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</si>
  <si>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</si>
  <si>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</si>
  <si>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</si>
  <si>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</si>
  <si>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</si>
  <si>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</si>
  <si>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</si>
  <si>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</si>
  <si>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</si>
  <si>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</si>
  <si>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</si>
  <si>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</si>
  <si>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</si>
  <si>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</si>
  <si>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</si>
  <si>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</si>
  <si>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</si>
  <si>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</si>
  <si>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</si>
  <si>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</si>
  <si>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</si>
  <si>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</si>
  <si>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</si>
  <si>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</si>
  <si>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</si>
  <si>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</si>
  <si>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</si>
  <si>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</si>
  <si>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</si>
  <si>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</si>
  <si>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</si>
  <si>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</si>
  <si>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</si>
  <si>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</si>
  <si>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</si>
  <si>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</si>
  <si>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</si>
  <si>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</si>
  <si>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</si>
  <si>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</si>
  <si>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</si>
  <si>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</si>
  <si>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</si>
  <si>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</si>
  <si>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</si>
  <si>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</si>
  <si>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</si>
  <si>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</si>
  <si>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</si>
  <si>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</si>
  <si>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</si>
  <si>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</si>
  <si>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</si>
  <si>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</si>
  <si>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</si>
  <si>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</si>
  <si>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</si>
  <si>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</si>
  <si>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</si>
  <si>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</si>
  <si>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</si>
  <si>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</si>
  <si>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</si>
  <si>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</si>
  <si>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</si>
  <si>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</si>
  <si>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</si>
  <si>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</si>
  <si>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</si>
  <si>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</si>
  <si>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</si>
  <si>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</si>
  <si>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</si>
  <si>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</si>
  <si>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</si>
  <si>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</si>
  <si>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</si>
  <si>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</si>
  <si>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</si>
  <si>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</si>
  <si>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</si>
  <si>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</si>
  <si>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</si>
  <si>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</si>
  <si>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</si>
  <si>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</si>
  <si>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</si>
  <si>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</si>
  <si>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</si>
  <si>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</si>
  <si>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</si>
  <si>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</si>
  <si>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</si>
  <si>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</si>
  <si>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</si>
  <si>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</si>
  <si>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</si>
  <si>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</si>
  <si>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</si>
  <si>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</si>
  <si>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</si>
  <si>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</si>
  <si>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</si>
  <si>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</si>
  <si>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</si>
  <si>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</si>
  <si>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</si>
  <si>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</si>
  <si>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</si>
  <si>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</si>
  <si>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</si>
  <si>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</si>
  <si>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</si>
  <si>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</si>
  <si>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</si>
  <si>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</si>
  <si>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</si>
  <si>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</si>
  <si>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</si>
  <si>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</si>
  <si>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</si>
  <si>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</si>
  <si>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</si>
  <si>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</si>
  <si>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</si>
  <si>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</si>
  <si>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</si>
  <si>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</si>
  <si>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</si>
  <si>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</si>
  <si>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</si>
  <si>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</si>
  <si>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</si>
  <si>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</si>
  <si>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</si>
  <si>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</si>
  <si>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</si>
  <si>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</si>
  <si>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</si>
  <si>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</si>
  <si>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</si>
  <si>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</si>
  <si>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</si>
  <si>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</si>
  <si>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</si>
  <si>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</si>
  <si>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</si>
  <si>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</si>
  <si>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</si>
  <si>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</si>
  <si>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</si>
  <si>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</si>
  <si>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</si>
  <si>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</si>
  <si>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</si>
  <si>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</si>
  <si>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</si>
  <si>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</si>
  <si>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</si>
  <si>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</si>
  <si>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</si>
  <si>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</si>
  <si>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</si>
  <si>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</si>
  <si>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</si>
  <si>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</si>
  <si>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</si>
  <si>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</si>
  <si>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</si>
  <si>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</si>
  <si>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</si>
  <si>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</si>
  <si>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</si>
  <si>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</si>
  <si>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</si>
  <si>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</si>
  <si>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</si>
  <si>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</si>
  <si>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</si>
  <si>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</si>
  <si>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</si>
  <si>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</si>
  <si>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</si>
  <si>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</si>
  <si>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</si>
  <si>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</si>
  <si>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</si>
  <si>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</si>
  <si>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</si>
  <si>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</si>
  <si>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</si>
  <si>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</si>
  <si>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</si>
  <si>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</si>
  <si>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</si>
  <si>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</si>
  <si>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</si>
  <si>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</si>
  <si>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</si>
  <si>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</si>
  <si>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</si>
  <si>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</si>
  <si>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</si>
  <si>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</si>
  <si>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</si>
  <si>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</si>
  <si>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</si>
  <si>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</si>
  <si>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</si>
  <si>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</si>
  <si>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</si>
  <si>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</si>
  <si>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</si>
  <si>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</si>
  <si>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</si>
  <si>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</si>
  <si>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</si>
  <si>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</si>
  <si>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</si>
  <si>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</si>
  <si>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</si>
  <si>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</si>
  <si>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</si>
  <si>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</si>
  <si>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</si>
  <si>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</si>
  <si>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</si>
  <si>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</si>
  <si>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</si>
  <si>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</si>
  <si>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</si>
  <si>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</si>
  <si>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</si>
  <si>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</si>
  <si>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</si>
  <si>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</si>
  <si>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</si>
  <si>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</si>
  <si>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</si>
  <si>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</si>
  <si>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</si>
  <si>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</si>
  <si>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</si>
  <si>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</si>
  <si>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</si>
  <si>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</si>
  <si>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</si>
  <si>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</si>
  <si>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</si>
  <si>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</si>
  <si>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</si>
  <si>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</si>
  <si>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</si>
  <si>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</si>
  <si>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</si>
  <si>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</si>
  <si>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</si>
  <si>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</si>
  <si>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</si>
  <si>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</si>
  <si>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</si>
  <si>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</si>
  <si>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</si>
  <si>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</si>
  <si>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</si>
  <si>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</si>
  <si>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</si>
  <si>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</si>
  <si>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</si>
  <si>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</si>
  <si>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</si>
  <si>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</si>
  <si>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</si>
  <si>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</si>
  <si>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</si>
  <si>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</si>
  <si>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</si>
  <si>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</si>
  <si>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</si>
  <si>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</si>
  <si>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</si>
  <si>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</si>
  <si>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</si>
  <si>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</si>
  <si>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</si>
  <si>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</si>
  <si>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</si>
  <si>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</si>
  <si>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</si>
  <si>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</si>
  <si>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</si>
  <si>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</si>
  <si>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</si>
  <si>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</si>
  <si>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</si>
  <si>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</si>
  <si>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</si>
  <si>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</si>
  <si>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</si>
  <si>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</si>
  <si>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</si>
  <si>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</si>
  <si>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</si>
  <si>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</si>
  <si>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</si>
  <si>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</si>
  <si>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</si>
  <si>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</si>
  <si>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</si>
  <si>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</si>
  <si>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</si>
  <si>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</si>
  <si>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</si>
  <si>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</si>
  <si>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</si>
  <si>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</si>
  <si>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</si>
  <si>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</si>
  <si>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</si>
  <si>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</si>
  <si>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</si>
  <si>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</si>
  <si>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</si>
  <si>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</si>
  <si>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</si>
  <si>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</si>
  <si>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</si>
  <si>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</si>
  <si>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</si>
  <si>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</si>
  <si>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</si>
  <si>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</si>
  <si>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</si>
  <si>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</si>
  <si>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</si>
  <si>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</si>
  <si>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</si>
  <si>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</si>
  <si>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</si>
  <si>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</si>
  <si>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</si>
  <si>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</si>
  <si>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</si>
  <si>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</si>
  <si>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</si>
  <si>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</si>
  <si>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</si>
  <si>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</si>
  <si>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</si>
  <si>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</si>
  <si>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</si>
  <si>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</si>
  <si>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</si>
  <si>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</si>
  <si>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</si>
  <si>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</si>
  <si>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</si>
  <si>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</si>
  <si>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</si>
  <si>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</si>
  <si>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</si>
  <si>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</si>
  <si>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</si>
  <si>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</si>
  <si>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</si>
  <si>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</si>
  <si>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</si>
  <si>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</si>
  <si>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</si>
  <si>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</si>
  <si>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</si>
  <si>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</si>
  <si>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</si>
  <si>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</si>
  <si>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</si>
  <si>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</si>
  <si>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</si>
  <si>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</si>
  <si>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</si>
  <si>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</si>
  <si>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</si>
  <si>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</si>
  <si>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</si>
  <si>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</si>
  <si>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</si>
  <si>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</si>
  <si>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</si>
  <si>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</si>
  <si>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</si>
  <si>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</si>
  <si>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</si>
  <si>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</si>
  <si>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</si>
  <si>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</si>
  <si>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</si>
  <si>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</si>
  <si>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</si>
  <si>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</si>
  <si>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</si>
  <si>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</si>
  <si>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</si>
  <si>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</si>
  <si>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</si>
  <si>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</si>
  <si>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</si>
  <si>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</si>
  <si>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</si>
  <si>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</si>
  <si>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</si>
  <si>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</si>
  <si>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</si>
  <si>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</si>
  <si>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</si>
  <si>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</si>
  <si>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</si>
  <si>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</si>
  <si>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</si>
  <si>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</si>
  <si>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</si>
  <si>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</si>
  <si>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</si>
  <si>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</si>
  <si>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</si>
  <si>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</si>
  <si>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</si>
  <si>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</si>
  <si>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</si>
  <si>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</si>
  <si>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</si>
  <si>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</si>
  <si>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</si>
  <si>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</si>
  <si>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</si>
  <si>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</si>
  <si>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</si>
  <si>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</si>
  <si>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</si>
  <si>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</si>
  <si>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</si>
  <si>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</si>
  <si>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</si>
  <si>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</si>
  <si>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</si>
  <si>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</si>
  <si>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</si>
  <si>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</si>
  <si>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</si>
  <si>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</si>
  <si>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</si>
  <si>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</si>
  <si>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</si>
  <si>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</si>
  <si>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</si>
  <si>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</si>
  <si>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</si>
  <si>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</si>
  <si>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</si>
  <si>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</si>
  <si>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</si>
  <si>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</si>
  <si>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</si>
  <si>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</si>
  <si>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t>报价4.5-5块，小业主没有税，实际能成交便宜的4.2，贵的4.8</t>
    <phoneticPr fontId="134"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</si>
  <si>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</si>
  <si>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</si>
  <si>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</si>
  <si>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</si>
  <si>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</si>
  <si>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</si>
  <si>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</si>
  <si>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</si>
  <si>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</si>
  <si>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</si>
  <si>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</si>
  <si>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</si>
  <si>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</si>
  <si>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</si>
  <si>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</si>
  <si>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</si>
  <si>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</si>
  <si>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</si>
  <si>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</si>
  <si>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</si>
  <si>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</si>
  <si>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</si>
  <si>
    <t>比较法-办公</t>
  </si>
  <si>
    <t>甲级</t>
    <phoneticPr fontId="31" type="noConversion"/>
  </si>
  <si>
    <t>乙级</t>
    <phoneticPr fontId="31" type="noConversion"/>
  </si>
  <si>
    <t>建成年代</t>
    <phoneticPr fontId="31" type="noConversion"/>
  </si>
  <si>
    <r>
      <t>2010</t>
    </r>
    <r>
      <rPr>
        <sz val="11"/>
        <color indexed="8"/>
        <rFont val="宋体"/>
        <family val="3"/>
        <charset val="134"/>
      </rPr>
      <t>（含）</t>
    </r>
    <r>
      <rPr>
        <sz val="11"/>
        <color indexed="8"/>
        <rFont val="Arial"/>
        <family val="2"/>
      </rPr>
      <t>-2015</t>
    </r>
    <phoneticPr fontId="31" type="noConversion"/>
  </si>
  <si>
    <r>
      <t>2005</t>
    </r>
    <r>
      <rPr>
        <sz val="11"/>
        <color indexed="8"/>
        <rFont val="宋体"/>
        <family val="3"/>
        <charset val="134"/>
      </rPr>
      <t>（含）</t>
    </r>
    <r>
      <rPr>
        <sz val="11"/>
        <color indexed="8"/>
        <rFont val="Arial"/>
        <family val="2"/>
      </rPr>
      <t>-2010</t>
    </r>
    <phoneticPr fontId="31" type="noConversion"/>
  </si>
  <si>
    <r>
      <t>2000</t>
    </r>
    <r>
      <rPr>
        <sz val="11"/>
        <color indexed="8"/>
        <rFont val="宋体"/>
        <family val="3"/>
        <charset val="134"/>
      </rPr>
      <t>（含）</t>
    </r>
    <r>
      <rPr>
        <sz val="11"/>
        <color indexed="8"/>
        <rFont val="Arial"/>
        <family val="2"/>
      </rPr>
      <t>-2005</t>
    </r>
    <phoneticPr fontId="31" type="noConversion"/>
  </si>
  <si>
    <r>
      <t>2010</t>
    </r>
    <r>
      <rPr>
        <sz val="11"/>
        <rFont val="宋体"/>
        <family val="3"/>
        <charset val="134"/>
      </rPr>
      <t>（含）</t>
    </r>
    <r>
      <rPr>
        <sz val="11"/>
        <rFont val="Arial"/>
        <family val="2"/>
      </rPr>
      <t>-2015</t>
    </r>
    <phoneticPr fontId="31" type="noConversion"/>
  </si>
  <si>
    <r>
      <t>2000</t>
    </r>
    <r>
      <rPr>
        <sz val="11"/>
        <color indexed="8"/>
        <rFont val="宋体"/>
        <family val="3"/>
        <charset val="134"/>
      </rPr>
      <t>（含）</t>
    </r>
    <r>
      <rPr>
        <sz val="11"/>
        <color indexed="8"/>
        <rFont val="Arial"/>
        <family val="2"/>
      </rPr>
      <t>-2005</t>
    </r>
    <phoneticPr fontId="31" type="noConversion"/>
  </si>
  <si>
    <t>简装</t>
  </si>
  <si>
    <t>序号</t>
    <phoneticPr fontId="134" type="noConversion"/>
  </si>
  <si>
    <t>不动产权证号</t>
    <phoneticPr fontId="134" type="noConversion"/>
  </si>
  <si>
    <t>物业地址</t>
    <phoneticPr fontId="134" type="noConversion"/>
  </si>
  <si>
    <t>建筑面积</t>
    <phoneticPr fontId="134" type="noConversion"/>
  </si>
  <si>
    <t>总楼层</t>
    <phoneticPr fontId="134" type="noConversion"/>
  </si>
  <si>
    <t>所在楼层</t>
    <phoneticPr fontId="134" type="noConversion"/>
  </si>
  <si>
    <t>京（2016）石景山区不动产权第0031347号</t>
    <phoneticPr fontId="134" type="noConversion"/>
  </si>
  <si>
    <t>石景山区玉泉路59号院2号楼4层401</t>
    <phoneticPr fontId="134" type="noConversion"/>
  </si>
  <si>
    <t>规划用途</t>
    <phoneticPr fontId="134" type="noConversion"/>
  </si>
  <si>
    <t>办公</t>
    <phoneticPr fontId="134" type="noConversion"/>
  </si>
  <si>
    <t>京（2016）石景山区不动产权第0031346号</t>
    <phoneticPr fontId="134" type="noConversion"/>
  </si>
  <si>
    <t>石景山区玉泉路59号院2号楼5层501</t>
    <phoneticPr fontId="134" type="noConversion"/>
  </si>
  <si>
    <t>京（2016）石景山区不动产权第0031348号</t>
    <phoneticPr fontId="134" type="noConversion"/>
  </si>
  <si>
    <t>石景山区玉泉路59号院2号楼6层601</t>
    <phoneticPr fontId="134" type="noConversion"/>
  </si>
  <si>
    <t>京（2016）石景山区不动产权第0031349号</t>
  </si>
  <si>
    <t>石景山区玉泉路59号院2号楼7层701</t>
    <phoneticPr fontId="134" type="noConversion"/>
  </si>
  <si>
    <t>京（2016）石景山区不动产权第0031350号</t>
  </si>
  <si>
    <t>石景山区玉泉路59号院2号楼8层801</t>
    <phoneticPr fontId="134" type="noConversion"/>
  </si>
  <si>
    <t>京（2016）石景山区不动产权第0031351号</t>
  </si>
  <si>
    <t>石景山区玉泉路59号院2号楼9层901</t>
    <phoneticPr fontId="134" type="noConversion"/>
  </si>
  <si>
    <t>京（2016）石景山区不动产权第0031352号</t>
  </si>
  <si>
    <t>京（2016）石景山区不动产权第0031353号</t>
  </si>
  <si>
    <t>京（2016）石景山区不动产权第0031354号</t>
  </si>
  <si>
    <t>京（2016）石景山区不动产权第0031355号</t>
  </si>
  <si>
    <t>京（2016）石景山区不动产权第0031356号</t>
  </si>
  <si>
    <t>石景山区玉泉路59号院2号楼10层1001</t>
    <phoneticPr fontId="134" type="noConversion"/>
  </si>
  <si>
    <t>石景山区玉泉路59号院2号楼11层1101</t>
    <phoneticPr fontId="134" type="noConversion"/>
  </si>
  <si>
    <t>石景山区玉泉路59号院2号楼12层1201</t>
    <phoneticPr fontId="134" type="noConversion"/>
  </si>
  <si>
    <t>石景山区玉泉路59号院2号楼13层1301</t>
    <phoneticPr fontId="134" type="noConversion"/>
  </si>
  <si>
    <t>石景山区玉泉路59号院2号楼14层1401</t>
    <phoneticPr fontId="134" type="noConversion"/>
  </si>
  <si>
    <t>石景山区玉泉路59号院2号楼15层1501</t>
    <phoneticPr fontId="134" type="noConversion"/>
  </si>
  <si>
    <t>合计</t>
    <phoneticPr fontId="134" type="noConversion"/>
  </si>
  <si>
    <t>电梯层</t>
    <phoneticPr fontId="134" type="noConversion"/>
  </si>
  <si>
    <t xml:space="preserve"> </t>
    <phoneticPr fontId="31"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</si>
  <si>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r>
      <rPr>
        <sz val="11"/>
        <rFont val="宋体"/>
        <family val="3"/>
        <charset val="134"/>
      </rPr>
      <t>之间</t>
    </r>
    <phoneticPr fontId="31" type="noConversion"/>
  </si>
  <si>
    <r>
      <rPr>
        <sz val="11"/>
        <rFont val="宋体"/>
        <family val="3"/>
        <charset val="134"/>
      </rPr>
      <t>物业费</t>
    </r>
    <r>
      <rPr>
        <sz val="11"/>
        <rFont val="Arial"/>
        <family val="2"/>
      </rPr>
      <t>0.5</t>
    </r>
    <r>
      <rPr>
        <sz val="11"/>
        <rFont val="宋体"/>
        <family val="3"/>
        <charset val="134"/>
      </rPr>
      <t>，报</t>
    </r>
    <r>
      <rPr>
        <sz val="11"/>
        <rFont val="Arial"/>
        <family val="2"/>
      </rPr>
      <t>4</t>
    </r>
    <r>
      <rPr>
        <sz val="11"/>
        <rFont val="宋体"/>
        <family val="3"/>
        <charset val="134"/>
      </rPr>
      <t>块，可谈</t>
    </r>
    <phoneticPr fontId="31" type="noConversion"/>
  </si>
  <si>
    <t>一般</t>
  </si>
  <si>
    <r>
      <rPr>
        <sz val="11"/>
        <rFont val="宋体"/>
        <family val="3"/>
        <charset val="134"/>
      </rPr>
      <t>报价</t>
    </r>
    <r>
      <rPr>
        <sz val="11"/>
        <rFont val="Arial"/>
        <family val="2"/>
      </rPr>
      <t>4.5</t>
    </r>
    <r>
      <rPr>
        <sz val="11"/>
        <rFont val="宋体"/>
        <family val="3"/>
        <charset val="134"/>
      </rPr>
      <t>，物业</t>
    </r>
    <r>
      <rPr>
        <sz val="11"/>
        <rFont val="Arial"/>
        <family val="2"/>
      </rPr>
      <t>0.7</t>
    </r>
    <phoneticPr fontId="31" type="noConversion"/>
  </si>
  <si>
    <r>
      <t>2000</t>
    </r>
    <r>
      <rPr>
        <sz val="11"/>
        <color indexed="8"/>
        <rFont val="宋体"/>
        <family val="3"/>
        <charset val="134"/>
      </rPr>
      <t>年之前</t>
    </r>
    <phoneticPr fontId="31" type="noConversion"/>
  </si>
  <si>
    <r>
      <t>2000</t>
    </r>
    <r>
      <rPr>
        <sz val="11"/>
        <color indexed="8"/>
        <rFont val="宋体"/>
        <family val="3"/>
        <charset val="134"/>
      </rPr>
      <t>年之前</t>
    </r>
    <phoneticPr fontId="31" type="noConversion"/>
  </si>
  <si>
    <t>京（2016）石景山区不动产权第0031357号</t>
    <phoneticPr fontId="134" type="noConversion"/>
  </si>
  <si>
    <t>合计</t>
  </si>
  <si>
    <t>楼层</t>
  </si>
  <si>
    <t>4层</t>
  </si>
  <si>
    <t>13层</t>
  </si>
  <si>
    <t>14层</t>
  </si>
  <si>
    <t>租金水平（元/天·㎡）</t>
    <phoneticPr fontId="134" type="noConversion"/>
  </si>
  <si>
    <t>——</t>
    <phoneticPr fontId="134" type="noConversion"/>
  </si>
  <si>
    <t>所在楼层</t>
    <phoneticPr fontId="134" type="noConversion"/>
  </si>
  <si>
    <t>序号</t>
    <phoneticPr fontId="134" type="noConversion"/>
  </si>
  <si>
    <t>商务金融用地</t>
  </si>
  <si>
    <t>项目产权单一性</t>
    <phoneticPr fontId="31" type="noConversion"/>
  </si>
  <si>
    <t>单一</t>
    <phoneticPr fontId="31" type="noConversion"/>
  </si>
  <si>
    <t>不单一</t>
    <phoneticPr fontId="31" type="noConversion"/>
  </si>
  <si>
    <t>调整系数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</si>
</sst>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
      <sz val="10"/>
      <color theme="1"/>
      <name val="华文细黑"/>
      <family val="3"/>
      <charset val="134"/>
    </font>
    <font>
      <b/>
      <sz val="10"/>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xf numFmtId="0" fontId="273" fillId="0" borderId="0" xfId="0" applyFont="1" applyAlignment="1">
      <alignment horizontal="left" vertical="center"/>
    </xf>
    <xf numFmtId="0" fontId="273" fillId="0" borderId="1" xfId="0" applyFont="1" applyBorder="1" applyAlignment="1">
      <alignment horizontal="left" vertical="center"/>
    </xf>
    <xf numFmtId="0" fontId="47" fillId="7" borderId="0" xfId="0" applyFont="1" applyFill="1" applyAlignment="1" applyProtection="1">
      <alignment horizontal="left" vertical="center" wrapText="1"/>
      <protection locked="0"/>
    </xf>
    <xf numFmtId="0" fontId="274" fillId="0" borderId="1" xfId="0" applyFont="1" applyBorder="1" applyAlignment="1">
      <alignment horizontal="left" vertical="center"/>
    </xf>
    <xf numFmtId="0" fontId="273" fillId="0" borderId="0"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3" fillId="0" borderId="5" xfId="0" applyFont="1" applyBorder="1" applyAlignment="1">
      <alignment horizontal="left" vertical="center"/>
    </xf>
    <xf numFmtId="0" fontId="273" fillId="0" borderId="3" xfId="0" applyFont="1" applyBorder="1" applyAlignment="1">
      <alignment horizontal="left" vertical="center"/>
    </xf>
    <xf numFmtId="0" fontId="128" fillId="0" borderId="46" xfId="0"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twoCellAnchor editAs="oneCell">
    <xdr:from>
      <xdr:col>8</xdr:col>
      <xdr:colOff>447675</xdr:colOff>
      <xdr:row>1</xdr:row>
      <xdr:rowOff>76200</xdr:rowOff>
    </xdr:from>
    <xdr:to>
      <xdr:col>24</xdr:col>
      <xdr:colOff>8209</xdr:colOff>
      <xdr:row>32</xdr:row>
      <xdr:rowOff>46965</xdr:rowOff>
    </xdr:to>
    <xdr:pic>
      <xdr:nvPicPr>
        <xdr:cNvPr id="4" name="图片 3"/>
        <xdr:cNvPicPr>
          <a:picLocks noChangeAspect="1"/>
        </xdr:cNvPicPr>
      </xdr:nvPicPr>
      <xdr:blipFill>
        <a:blip xmlns:r="http://schemas.openxmlformats.org/officeDocument/2006/relationships" r:embed="rId3"/>
        <a:stretch>
          <a:fillRect/>
        </a:stretch>
      </xdr:blipFill>
      <xdr:spPr>
        <a:xfrm>
          <a:off x="6000750" y="247650"/>
          <a:ext cx="10533334" cy="5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485774</xdr:colOff>
      <xdr:row>27</xdr:row>
      <xdr:rowOff>104775</xdr:rowOff>
    </xdr:from>
    <xdr:to>
      <xdr:col>5</xdr:col>
      <xdr:colOff>285749</xdr:colOff>
      <xdr:row>42</xdr:row>
      <xdr:rowOff>178448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3149" y="4991100"/>
          <a:ext cx="4467225" cy="2788298"/>
        </a:xfrm>
        <a:prstGeom prst="rect">
          <a:avLst/>
        </a:prstGeom>
      </xdr:spPr>
    </xdr:pic>
    <xdr:clientData/>
  </xdr:twoCellAnchor>
  <xdr:twoCellAnchor editAs="oneCell">
    <xdr:from>
      <xdr:col>3</xdr:col>
      <xdr:colOff>466725</xdr:colOff>
      <xdr:row>43</xdr:row>
      <xdr:rowOff>123826</xdr:rowOff>
    </xdr:from>
    <xdr:to>
      <xdr:col>5</xdr:col>
      <xdr:colOff>333375</xdr:colOff>
      <xdr:row>62</xdr:row>
      <xdr:rowOff>112209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4100" y="7905751"/>
          <a:ext cx="4533900" cy="3426908"/>
        </a:xfrm>
        <a:prstGeom prst="rect">
          <a:avLst/>
        </a:prstGeom>
      </xdr:spPr>
    </xdr:pic>
    <xdr:clientData/>
  </xdr:twoCellAnchor>
  <xdr:twoCellAnchor>
    <xdr:from>
      <xdr:col>3</xdr:col>
      <xdr:colOff>2333626</xdr:colOff>
      <xdr:row>52</xdr:row>
      <xdr:rowOff>38100</xdr:rowOff>
    </xdr:from>
    <xdr:to>
      <xdr:col>4</xdr:col>
      <xdr:colOff>971551</xdr:colOff>
      <xdr:row>54</xdr:row>
      <xdr:rowOff>28575</xdr:rowOff>
    </xdr:to>
    <xdr:sp macro="" textlink="">
      <xdr:nvSpPr>
        <xdr:cNvPr id="4" name="椭圆形标注 3"/>
        <xdr:cNvSpPr/>
      </xdr:nvSpPr>
      <xdr:spPr>
        <a:xfrm>
          <a:off x="4191001" y="9448800"/>
          <a:ext cx="1085850" cy="352425"/>
        </a:xfrm>
        <a:prstGeom prst="wedgeEllipseCallout">
          <a:avLst>
            <a:gd name="adj1" fmla="val -45833"/>
            <a:gd name="adj2" fmla="val 109722"/>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zh-CN" altLang="en-US" sz="1100" b="1"/>
            <a:t>估价对象</a:t>
          </a:r>
        </a:p>
      </xdr:txBody>
    </xdr:sp>
    <xdr:clientData/>
  </xdr:twoCellAnchor>
  <xdr:twoCellAnchor>
    <xdr:from>
      <xdr:col>4</xdr:col>
      <xdr:colOff>43296</xdr:colOff>
      <xdr:row>33</xdr:row>
      <xdr:rowOff>147205</xdr:rowOff>
    </xdr:from>
    <xdr:to>
      <xdr:col>4</xdr:col>
      <xdr:colOff>329046</xdr:colOff>
      <xdr:row>34</xdr:row>
      <xdr:rowOff>138546</xdr:rowOff>
    </xdr:to>
    <xdr:sp macro="" textlink="">
      <xdr:nvSpPr>
        <xdr:cNvPr id="5" name="矩形 4"/>
        <xdr:cNvSpPr/>
      </xdr:nvSpPr>
      <xdr:spPr>
        <a:xfrm>
          <a:off x="4346864" y="6147955"/>
          <a:ext cx="285750" cy="173182"/>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476250</xdr:colOff>
      <xdr:row>34</xdr:row>
      <xdr:rowOff>51955</xdr:rowOff>
    </xdr:from>
    <xdr:to>
      <xdr:col>4</xdr:col>
      <xdr:colOff>43296</xdr:colOff>
      <xdr:row>43</xdr:row>
      <xdr:rowOff>103909</xdr:rowOff>
    </xdr:to>
    <xdr:cxnSp macro="">
      <xdr:nvCxnSpPr>
        <xdr:cNvPr id="7" name="直接连接符 6"/>
        <xdr:cNvCxnSpPr>
          <a:stCxn id="5" idx="1"/>
        </xdr:cNvCxnSpPr>
      </xdr:nvCxnSpPr>
      <xdr:spPr>
        <a:xfrm flipH="1">
          <a:off x="2329295" y="6234546"/>
          <a:ext cx="2017569" cy="1688522"/>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329046</xdr:colOff>
      <xdr:row>34</xdr:row>
      <xdr:rowOff>51955</xdr:rowOff>
    </xdr:from>
    <xdr:to>
      <xdr:col>5</xdr:col>
      <xdr:colOff>311728</xdr:colOff>
      <xdr:row>43</xdr:row>
      <xdr:rowOff>129886</xdr:rowOff>
    </xdr:to>
    <xdr:cxnSp macro="">
      <xdr:nvCxnSpPr>
        <xdr:cNvPr id="10" name="直接连接符 9"/>
        <xdr:cNvCxnSpPr>
          <a:stCxn id="5" idx="3"/>
        </xdr:cNvCxnSpPr>
      </xdr:nvCxnSpPr>
      <xdr:spPr>
        <a:xfrm>
          <a:off x="4632614" y="6234546"/>
          <a:ext cx="2199409" cy="1714499"/>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2" t="s">
        <v>385</v>
      </c>
      <c r="C54" s="1549" t="s">
        <v>583</v>
      </c>
    </row>
    <row r="55" spans="1:4">
      <c r="A55" s="3523"/>
      <c r="B55" s="1552" t="s">
        <v>386</v>
      </c>
      <c r="C55" s="1549" t="s">
        <v>584</v>
      </c>
    </row>
    <row r="56" spans="1:4">
      <c r="A56" s="3523"/>
      <c r="B56" s="1552" t="s">
        <v>387</v>
      </c>
      <c r="C56" s="1549" t="s">
        <v>588</v>
      </c>
    </row>
    <row r="57" spans="1:4">
      <c r="A57" s="352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24" t="s">
        <v>2583</v>
      </c>
      <c r="J2" s="3524"/>
      <c r="K2" s="3524"/>
      <c r="L2" s="3524"/>
      <c r="M2" s="3524"/>
      <c r="N2" s="3524"/>
      <c r="O2" s="3524"/>
      <c r="P2" s="3524"/>
      <c r="Q2" s="3524"/>
      <c r="R2" s="3524"/>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C38" sqref="C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5"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26"/>
      <c r="D1" s="3526"/>
      <c r="E1" s="3526"/>
      <c r="F1" s="3526"/>
      <c r="G1" s="3526"/>
      <c r="H1" s="3526"/>
      <c r="I1" s="352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28"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29"/>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5"/>
      <c r="C16" s="3536"/>
      <c r="D16" s="3537"/>
      <c r="E16" s="2411" t="s">
        <v>2193</v>
      </c>
      <c r="F16" s="3538"/>
      <c r="G16" s="3539"/>
      <c r="H16" s="3539"/>
      <c r="I16" s="3540"/>
      <c r="J16" s="2437"/>
      <c r="K16" s="2615"/>
      <c r="L16" s="2449"/>
      <c r="M16" s="2449"/>
      <c r="N16" s="2507"/>
      <c r="O16" s="2449"/>
      <c r="P16" s="2507"/>
      <c r="Q16" s="2437"/>
      <c r="R16" s="2437"/>
    </row>
    <row r="17" spans="1:28">
      <c r="A17" s="313" t="s">
        <v>2194</v>
      </c>
      <c r="B17" s="302" t="s">
        <v>2195</v>
      </c>
      <c r="C17" s="8">
        <f>'数据-汇总表'!E3</f>
        <v>15080.55</v>
      </c>
      <c r="D17" s="2320" t="s">
        <v>2196</v>
      </c>
      <c r="E17" s="3541" t="s">
        <v>2197</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44" t="s">
        <v>2201</v>
      </c>
      <c r="F18" s="3545"/>
      <c r="G18" s="3545"/>
      <c r="H18" s="3545"/>
      <c r="I18" s="354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1" t="s">
        <v>2205</v>
      </c>
      <c r="C20" s="3532"/>
      <c r="D20" s="3533" t="s">
        <v>2206</v>
      </c>
      <c r="E20" s="3534"/>
      <c r="F20" s="2645" t="s">
        <v>1056</v>
      </c>
      <c r="G20" s="2662"/>
      <c r="H20" s="2662"/>
      <c r="I20" s="2662"/>
      <c r="J20" s="2437"/>
      <c r="K20" s="353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8"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8"/>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8"/>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9"/>
      <c r="B30" s="302" t="s">
        <v>2217</v>
      </c>
      <c r="C30" s="3550"/>
      <c r="D30" s="3551"/>
      <c r="E30" s="2662"/>
      <c r="F30" s="2662"/>
      <c r="G30" s="2662"/>
      <c r="H30" s="2662"/>
      <c r="I30" s="2662"/>
      <c r="J30" s="2437"/>
      <c r="K30" s="2614"/>
      <c r="L30" s="2611"/>
      <c r="M30" s="2611"/>
      <c r="N30" s="2437"/>
      <c r="O30" s="2448"/>
      <c r="P30" s="2437"/>
      <c r="Q30" s="2437"/>
      <c r="R30" s="2437"/>
      <c r="S30" s="2437"/>
      <c r="T30" s="2437"/>
      <c r="U30" s="2437"/>
      <c r="V30" s="2437"/>
    </row>
    <row r="31" spans="1:28">
      <c r="A31" s="3552"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47" t="s">
        <v>2227</v>
      </c>
      <c r="T34" s="2426" t="str">
        <f>NUMBERSTRING(7-K34,1)&amp;"通"</f>
        <v>七通</v>
      </c>
      <c r="U34" s="2437"/>
      <c r="V34" s="2437"/>
    </row>
    <row r="35" spans="1:30">
      <c r="A35" s="2427"/>
      <c r="B35" s="3554" t="s">
        <v>2228</v>
      </c>
      <c r="C35" s="3554"/>
      <c r="D35" s="3554"/>
      <c r="E35" s="355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303</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225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4" t="s">
        <v>1131</v>
      </c>
      <c r="B2" s="3564"/>
      <c r="C2" s="3564"/>
      <c r="D2" s="795" t="s">
        <v>1107</v>
      </c>
      <c r="E2" s="1637" t="s">
        <v>1108</v>
      </c>
      <c r="F2" s="2657"/>
      <c r="G2" s="2648"/>
      <c r="H2" s="2649"/>
      <c r="I2" s="2323" t="s">
        <v>1132</v>
      </c>
      <c r="J2" s="2657"/>
      <c r="K2" s="2657"/>
      <c r="L2" s="2657"/>
      <c r="M2" s="2657"/>
      <c r="N2" s="2659"/>
      <c r="O2" s="2657"/>
      <c r="P2" s="2657"/>
    </row>
    <row r="3" spans="1:16" ht="15.75" thickBot="1">
      <c r="A3" s="3565" t="s">
        <v>1105</v>
      </c>
      <c r="B3" s="3565"/>
      <c r="C3" s="3565"/>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66"/>
      <c r="B4" s="3567"/>
      <c r="C4" s="3568"/>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9" t="s">
        <v>1111</v>
      </c>
      <c r="C6" s="3569"/>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61"/>
      <c r="B7" s="3562"/>
      <c r="C7" s="356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8" t="s">
        <v>1135</v>
      </c>
      <c r="L16" s="3559"/>
      <c r="M16" s="3559"/>
      <c r="N16" s="3559"/>
      <c r="O16" s="3559"/>
      <c r="P16" s="3560"/>
    </row>
    <row r="17" spans="1:19" ht="15">
      <c r="A17" s="1648" t="s">
        <v>1136</v>
      </c>
      <c r="B17" s="1649" t="s">
        <v>1137</v>
      </c>
      <c r="C17" s="1650" t="s">
        <v>1138</v>
      </c>
      <c r="D17" s="1651" t="s">
        <v>1126</v>
      </c>
      <c r="E17" s="1652" t="s">
        <v>1127</v>
      </c>
      <c r="F17" s="1653"/>
      <c r="G17" s="1654"/>
      <c r="H17" s="1655" t="s">
        <v>1139</v>
      </c>
      <c r="I17" s="1656" t="s">
        <v>1124</v>
      </c>
      <c r="J17" s="1137"/>
      <c r="K17" s="3555" t="s">
        <v>1140</v>
      </c>
      <c r="L17" s="3556"/>
      <c r="M17" s="3557"/>
      <c r="N17" s="3555" t="s">
        <v>1141</v>
      </c>
      <c r="O17" s="3556"/>
      <c r="P17" s="355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70" t="s">
        <v>3389</v>
      </c>
      <c r="B1" s="3570"/>
      <c r="C1" s="3570"/>
      <c r="D1" s="3570"/>
      <c r="E1" s="3570"/>
      <c r="F1" s="3570"/>
      <c r="G1" s="3570"/>
      <c r="H1" s="3570"/>
      <c r="I1" s="3570"/>
      <c r="J1" s="3570"/>
      <c r="K1" s="3570"/>
      <c r="L1" s="3570"/>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71" t="s">
        <v>2285</v>
      </c>
      <c r="B1" s="3572"/>
      <c r="C1" s="3572"/>
      <c r="D1" s="3572"/>
      <c r="E1" s="3572"/>
      <c r="F1" s="3572"/>
      <c r="G1" s="357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37230</v>
      </c>
      <c r="C5" s="2510" t="e">
        <f ca="1">IF(B5=D14,结果表!H102,ROUND(B5*10000/$B$1,0))</f>
        <v>#DIV/0!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37230</v>
      </c>
      <c r="C10" s="2510" t="s">
        <v>3361</v>
      </c>
      <c r="D10" s="2510" t="s">
        <v>3362</v>
      </c>
      <c r="E10" s="3439">
        <f>典型户型修正!R22</f>
        <v>3.72</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37230</v>
      </c>
      <c r="E14" s="2516">
        <f>ROUND(D14*10000/B14,0)</f>
        <v>24687</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40" t="str">
        <f>项目基本情况!S2</f>
        <v>北京市石景山玉泉路59号院2号楼4层401-1501房地产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2" t="s">
        <v>1265</v>
      </c>
      <c r="B4" s="1753" t="s">
        <v>1266</v>
      </c>
      <c r="C4" s="1754" t="s">
        <v>3516</v>
      </c>
      <c r="D4" s="1754" t="s">
        <v>3516</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8" t="s">
        <v>1268</v>
      </c>
      <c r="B5" s="3643">
        <v>25</v>
      </c>
      <c r="C5" s="3646"/>
      <c r="D5" s="3634"/>
      <c r="E5" s="131" t="s">
        <v>1269</v>
      </c>
      <c r="F5" s="1755"/>
      <c r="G5" s="1755"/>
      <c r="H5" s="1755"/>
      <c r="I5" s="1371"/>
    </row>
    <row r="6" spans="1:12" ht="12.75">
      <c r="A6" s="3588"/>
      <c r="B6" s="3643"/>
      <c r="C6" s="3648"/>
      <c r="D6" s="3634"/>
      <c r="E6" s="131" t="s">
        <v>1270</v>
      </c>
      <c r="F6" s="1755"/>
      <c r="G6" s="1755"/>
      <c r="H6" s="1755"/>
      <c r="I6" s="1371"/>
    </row>
    <row r="7" spans="1:12" ht="12.75">
      <c r="A7" s="3588"/>
      <c r="B7" s="3643"/>
      <c r="C7" s="3647"/>
      <c r="D7" s="3634"/>
      <c r="E7" s="131" t="s">
        <v>1271</v>
      </c>
      <c r="F7" s="1755"/>
      <c r="G7" s="1755"/>
      <c r="H7" s="1755"/>
      <c r="I7" s="1371"/>
    </row>
    <row r="8" spans="1:12" ht="12.75">
      <c r="A8" s="3588" t="s">
        <v>1272</v>
      </c>
      <c r="B8" s="3643">
        <v>15</v>
      </c>
      <c r="C8" s="3646"/>
      <c r="D8" s="3634"/>
      <c r="E8" s="131" t="s">
        <v>1273</v>
      </c>
      <c r="F8" s="1755"/>
      <c r="G8" s="1755"/>
      <c r="H8" s="1755"/>
      <c r="I8" s="1371"/>
    </row>
    <row r="9" spans="1:12" ht="12.75">
      <c r="A9" s="3588"/>
      <c r="B9" s="3643"/>
      <c r="C9" s="3647"/>
      <c r="D9" s="3634"/>
      <c r="E9" s="131" t="s">
        <v>1274</v>
      </c>
      <c r="F9" s="1755"/>
      <c r="G9" s="1755"/>
      <c r="H9" s="1755"/>
      <c r="I9" s="1371"/>
    </row>
    <row r="10" spans="1:12" ht="12.75">
      <c r="A10" s="3588" t="s">
        <v>1275</v>
      </c>
      <c r="B10" s="3643">
        <v>15</v>
      </c>
      <c r="C10" s="3646"/>
      <c r="D10" s="3634"/>
      <c r="E10" s="131" t="s">
        <v>1276</v>
      </c>
      <c r="F10" s="1755"/>
      <c r="G10" s="1755"/>
      <c r="H10" s="1755"/>
      <c r="I10" s="1371"/>
    </row>
    <row r="11" spans="1:12" ht="12.75">
      <c r="A11" s="3588"/>
      <c r="B11" s="3643"/>
      <c r="C11" s="3647"/>
      <c r="D11" s="3634"/>
      <c r="E11" s="131" t="s">
        <v>1277</v>
      </c>
      <c r="F11" s="1755"/>
      <c r="G11" s="1755"/>
      <c r="H11" s="1755"/>
      <c r="I11" s="1371"/>
    </row>
    <row r="12" spans="1:12" ht="12.75">
      <c r="A12" s="3588" t="s">
        <v>1278</v>
      </c>
      <c r="B12" s="3643">
        <v>15</v>
      </c>
      <c r="C12" s="3646"/>
      <c r="D12" s="3634"/>
      <c r="E12" s="131" t="s">
        <v>1279</v>
      </c>
      <c r="F12" s="1755"/>
      <c r="G12" s="1755"/>
      <c r="H12" s="1755"/>
      <c r="I12" s="1371"/>
    </row>
    <row r="13" spans="1:12" ht="12.75">
      <c r="A13" s="3588"/>
      <c r="B13" s="3643"/>
      <c r="C13" s="3647"/>
      <c r="D13" s="3634"/>
      <c r="E13" s="131" t="s">
        <v>1280</v>
      </c>
      <c r="F13" s="1755"/>
      <c r="G13" s="1755"/>
      <c r="H13" s="1755"/>
      <c r="I13" s="1371"/>
    </row>
    <row r="14" spans="1:12" ht="12.75">
      <c r="A14" s="3588" t="s">
        <v>1281</v>
      </c>
      <c r="B14" s="3643">
        <v>30</v>
      </c>
      <c r="C14" s="3646">
        <v>1</v>
      </c>
      <c r="D14" s="3634">
        <v>0</v>
      </c>
      <c r="E14" s="131" t="s">
        <v>1282</v>
      </c>
      <c r="F14" s="1755"/>
      <c r="G14" s="1755"/>
      <c r="H14" s="1755"/>
      <c r="I14" s="1371"/>
    </row>
    <row r="15" spans="1:12" ht="12.75">
      <c r="A15" s="3588"/>
      <c r="B15" s="3643"/>
      <c r="C15" s="3648"/>
      <c r="D15" s="3634"/>
      <c r="E15" s="131" t="s">
        <v>1283</v>
      </c>
      <c r="F15" s="1755"/>
      <c r="G15" s="1755"/>
      <c r="H15" s="1755"/>
      <c r="I15" s="1371"/>
    </row>
    <row r="16" spans="1:12" ht="12.75">
      <c r="A16" s="3588"/>
      <c r="B16" s="3643"/>
      <c r="C16" s="3647"/>
      <c r="D16" s="3634"/>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65" t="s">
        <v>2130</v>
      </c>
      <c r="F18" s="3666"/>
      <c r="G18" s="3666"/>
      <c r="H18" s="3666"/>
      <c r="I18" s="3666"/>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f ca="1">SUMIF(INDIRECT("'"&amp;C4&amp;"'"&amp;"!A:A"),结果表!B19,INDIRECT("'"&amp;C4&amp;"'"&amp;"!B:B"))</f>
        <v>6</v>
      </c>
      <c r="D19" s="135">
        <f ca="1">SUMIF(INDIRECT("'"&amp;D4&amp;"'"&amp;"!A:A"),结果表!B19,INDIRECT("'"&amp;D4&amp;"'"&amp;"!B:B"))</f>
        <v>6</v>
      </c>
      <c r="E19" s="1759" t="s">
        <v>1292</v>
      </c>
      <c r="F19" s="1760" t="s">
        <v>1291</v>
      </c>
      <c r="G19" s="136">
        <f ca="1">ROUND(C19*$C$18+D19*$D$18,0)</f>
        <v>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3.7</v>
      </c>
      <c r="D20" s="138">
        <f ca="1">SUMIF(INDIRECT("'"&amp;D4&amp;"'"&amp;"!A:A"),结果表!B20,INDIRECT("'"&amp;D4&amp;"'"&amp;"!B:B"))</f>
        <v>3.7</v>
      </c>
      <c r="E20" s="1762"/>
      <c r="F20" s="1024" t="s">
        <v>1295</v>
      </c>
      <c r="G20" s="139">
        <f ca="1">ROUND(C20*$C$18+D20*$D$18,0)</f>
        <v>4</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v>
      </c>
      <c r="E22" s="129"/>
      <c r="F22" s="129"/>
      <c r="G22" s="129"/>
      <c r="H22" s="129"/>
      <c r="I22" s="129"/>
    </row>
    <row r="23" spans="1:36" ht="13.5" thickBot="1">
      <c r="A23" s="1745"/>
      <c r="B23" s="1745"/>
      <c r="C23" s="1745"/>
      <c r="D23" s="1745"/>
      <c r="E23" s="129"/>
      <c r="F23" s="129"/>
      <c r="G23" s="129"/>
      <c r="H23" s="129"/>
      <c r="I23" s="129"/>
    </row>
    <row r="24" spans="1:36" ht="14.25">
      <c r="A24" s="3658" t="s">
        <v>1299</v>
      </c>
      <c r="B24" s="1760" t="s">
        <v>1291</v>
      </c>
      <c r="C24" s="136">
        <f>IF(B30=0,0,D30)</f>
        <v>0</v>
      </c>
      <c r="D24" s="1767"/>
      <c r="E24" s="129"/>
      <c r="F24" s="129"/>
      <c r="G24" s="129"/>
      <c r="H24" s="129"/>
      <c r="I24" s="129"/>
    </row>
    <row r="25" spans="1:36" ht="14.25">
      <c r="A25" s="365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35" t="s">
        <v>1312</v>
      </c>
      <c r="B36" s="1785" t="s">
        <v>1313</v>
      </c>
      <c r="C36" s="145"/>
      <c r="D36" s="1786"/>
      <c r="E36" s="1787"/>
      <c r="F36" s="1788"/>
      <c r="G36" s="129"/>
      <c r="H36" s="129"/>
      <c r="I36" s="129"/>
    </row>
    <row r="37" spans="1:15" ht="15.75" thickBot="1">
      <c r="A37" s="3636"/>
      <c r="B37" s="1672" t="s">
        <v>1314</v>
      </c>
      <c r="C37" s="147"/>
      <c r="D37" s="1137"/>
      <c r="E37" s="1137"/>
      <c r="F37" s="1788"/>
      <c r="G37" s="129"/>
      <c r="H37" s="129"/>
      <c r="I37" s="129"/>
    </row>
    <row r="38" spans="1:15" ht="15.75" thickBot="1">
      <c r="A38" s="3637"/>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5" t="s">
        <v>1326</v>
      </c>
      <c r="B45" s="3656"/>
      <c r="C45" s="3657"/>
      <c r="D45" s="155" t="e">
        <f ca="1">ROUND(H101*F45,0)</f>
        <v>#REF!</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4"/>
      <c r="I46" s="159"/>
      <c r="J46" s="2521">
        <v>1</v>
      </c>
      <c r="K46" s="3576" t="s">
        <v>1331</v>
      </c>
      <c r="L46" s="3576"/>
      <c r="M46" s="3577"/>
      <c r="N46" s="3577"/>
      <c r="O46" s="3577"/>
    </row>
    <row r="47" spans="1:15" ht="12" customHeight="1">
      <c r="A47" s="160" t="s">
        <v>1332</v>
      </c>
      <c r="B47" s="161"/>
      <c r="C47" s="162"/>
      <c r="D47" s="1085" t="s">
        <v>1333</v>
      </c>
      <c r="E47" s="302" t="s">
        <v>1334</v>
      </c>
      <c r="F47" s="163" t="s">
        <v>1335</v>
      </c>
      <c r="G47" s="2544" t="s">
        <v>1336</v>
      </c>
      <c r="H47" s="2545"/>
      <c r="I47" s="159"/>
      <c r="J47" s="2521">
        <v>2</v>
      </c>
      <c r="K47" s="3576" t="s">
        <v>1337</v>
      </c>
      <c r="L47" s="3576"/>
      <c r="M47" s="3578">
        <f>'数据-取费表'!B2</f>
        <v>45212</v>
      </c>
      <c r="N47" s="3578"/>
      <c r="O47" s="3578"/>
    </row>
    <row r="48" spans="1:15" ht="25.5">
      <c r="A48" s="3638" t="s">
        <v>1338</v>
      </c>
      <c r="B48" s="3639"/>
      <c r="C48" s="363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76" t="s">
        <v>1340</v>
      </c>
      <c r="L48" s="3576"/>
      <c r="M48" s="3579" t="e">
        <f ca="1">H101</f>
        <v>#REF!</v>
      </c>
      <c r="N48" s="3579"/>
      <c r="O48" s="3579"/>
    </row>
    <row r="49" spans="1:35" ht="25.5" customHeight="1">
      <c r="A49" s="2331" t="s">
        <v>1341</v>
      </c>
      <c r="B49" s="3624" t="s">
        <v>1342</v>
      </c>
      <c r="C49" s="3624"/>
      <c r="D49" s="1588">
        <v>0</v>
      </c>
      <c r="E49" s="324" t="s">
        <v>1343</v>
      </c>
      <c r="F49" s="2422" t="s">
        <v>28</v>
      </c>
      <c r="G49" s="3607"/>
      <c r="H49" s="2308" t="s">
        <v>2133</v>
      </c>
      <c r="I49" s="2309"/>
      <c r="J49" s="2521">
        <v>4</v>
      </c>
      <c r="K49" s="3576" t="str">
        <f>IF(项目基本情况!E8="房地产抵押价值","房地产抵押价值","抵押担保权已注销时的房地产抵押价值")</f>
        <v>房地产抵押价值</v>
      </c>
      <c r="L49" s="3576"/>
      <c r="M49" s="3579" t="str">
        <f ca="1">IF(项目基本情况!E8="房地产抵押价值",H107,H109)</f>
        <v>——</v>
      </c>
      <c r="N49" s="3579"/>
      <c r="O49" s="3579"/>
    </row>
    <row r="50" spans="1:35" ht="25.5" customHeight="1">
      <c r="A50" s="2549"/>
      <c r="B50" s="3624" t="s">
        <v>1344</v>
      </c>
      <c r="C50" s="3624"/>
      <c r="D50" s="2550"/>
      <c r="E50" s="332"/>
      <c r="F50" s="2422"/>
      <c r="G50" s="3608"/>
      <c r="H50" s="2310" t="s">
        <v>2134</v>
      </c>
      <c r="I50" s="2309"/>
      <c r="J50" s="3575" t="s">
        <v>1345</v>
      </c>
      <c r="K50" s="3575"/>
      <c r="L50" s="3575"/>
      <c r="M50" s="3575"/>
      <c r="N50" s="3575"/>
      <c r="O50" s="3575"/>
    </row>
    <row r="51" spans="1:35" ht="20.45" customHeight="1">
      <c r="A51" s="2551"/>
      <c r="B51" s="3624" t="s">
        <v>1346</v>
      </c>
      <c r="C51" s="3624"/>
      <c r="D51" s="1085"/>
      <c r="E51" s="327"/>
      <c r="F51" s="2422"/>
      <c r="G51" s="3609"/>
      <c r="H51" s="2310" t="s">
        <v>2135</v>
      </c>
      <c r="I51" s="2309"/>
      <c r="J51" s="2522" t="s">
        <v>1347</v>
      </c>
      <c r="K51" s="3576" t="s">
        <v>1348</v>
      </c>
      <c r="L51" s="3576"/>
      <c r="M51" s="2522" t="s">
        <v>1349</v>
      </c>
      <c r="N51" s="2522" t="s">
        <v>1350</v>
      </c>
      <c r="O51" s="2522" t="s">
        <v>1351</v>
      </c>
    </row>
    <row r="52" spans="1:35" ht="24" customHeight="1">
      <c r="A52" s="2333" t="s">
        <v>1352</v>
      </c>
      <c r="B52" s="3624" t="s">
        <v>1353</v>
      </c>
      <c r="C52" s="3624"/>
      <c r="D52" s="1085" t="e">
        <f ca="1">ROUND(D45*'数据-取费表'!B41/(1+'数据-取费表'!C42),0)</f>
        <v>#REF!</v>
      </c>
      <c r="E52" s="2332" t="s">
        <v>1354</v>
      </c>
      <c r="F52" s="2552">
        <f>'数据-取费表'!B41</f>
        <v>5.6000000000000001E-2</v>
      </c>
      <c r="G52" s="2553"/>
      <c r="H52" s="2542"/>
      <c r="I52" s="1805"/>
      <c r="J52" s="2521">
        <v>1</v>
      </c>
      <c r="K52" s="3601" t="s">
        <v>1355</v>
      </c>
      <c r="L52" s="3601"/>
      <c r="M52" s="2523" t="b">
        <f>D48</f>
        <v>0</v>
      </c>
      <c r="N52" s="2521" t="str">
        <f>E48</f>
        <v>销售额×税（费）率</v>
      </c>
      <c r="O52" s="2524">
        <f>F48</f>
        <v>5.6000000000000001E-2</v>
      </c>
    </row>
    <row r="53" spans="1:35" ht="12" customHeight="1">
      <c r="A53" s="2333" t="s">
        <v>1356</v>
      </c>
      <c r="B53" s="3625" t="s">
        <v>2290</v>
      </c>
      <c r="C53" s="3626"/>
      <c r="D53" s="1085" t="e">
        <f ca="1">ROUND(D45*'数据-取费表'!B41/(1+'数据-取费表'!C42),0)</f>
        <v>#REF!</v>
      </c>
      <c r="E53" s="2332" t="s">
        <v>1354</v>
      </c>
      <c r="F53" s="2552">
        <f>'数据-取费表'!B41</f>
        <v>5.6000000000000001E-2</v>
      </c>
      <c r="G53" s="2553"/>
      <c r="H53" s="2542"/>
      <c r="I53" s="1805"/>
      <c r="J53" s="2521">
        <v>2</v>
      </c>
      <c r="K53" s="3601" t="s">
        <v>1357</v>
      </c>
      <c r="L53" s="3601"/>
      <c r="M53" s="2523" t="e">
        <f t="shared" ref="M53:O54" ca="1" si="0">D55</f>
        <v>#REF!</v>
      </c>
      <c r="N53" s="2521" t="str">
        <f t="shared" si="0"/>
        <v>销售额×税（费）率</v>
      </c>
      <c r="O53" s="2524" t="str">
        <f t="shared" si="0"/>
        <v>免征</v>
      </c>
    </row>
    <row r="54" spans="1:35" ht="12" customHeight="1">
      <c r="A54" s="2333" t="s">
        <v>1358</v>
      </c>
      <c r="B54" s="3625" t="s">
        <v>2291</v>
      </c>
      <c r="C54" s="3626"/>
      <c r="D54" s="1085" t="e">
        <f ca="1">C68</f>
        <v>#REF!</v>
      </c>
      <c r="E54" s="327" t="s">
        <v>1359</v>
      </c>
      <c r="F54" s="2552">
        <f>'数据-取费表'!B41</f>
        <v>5.6000000000000001E-2</v>
      </c>
      <c r="G54" s="2553"/>
      <c r="H54" s="2554"/>
      <c r="I54" s="1805"/>
      <c r="J54" s="2521">
        <v>3</v>
      </c>
      <c r="K54" s="3601" t="s">
        <v>1360</v>
      </c>
      <c r="L54" s="3601"/>
      <c r="M54" s="2523" t="e">
        <f t="shared" ca="1" si="0"/>
        <v>#REF!</v>
      </c>
      <c r="N54" s="2521" t="str">
        <f t="shared" si="0"/>
        <v>增值额×税（费）率</v>
      </c>
      <c r="O54" s="2525" t="str">
        <f t="shared" si="0"/>
        <v>免征</v>
      </c>
    </row>
    <row r="55" spans="1:35" ht="24" customHeight="1">
      <c r="A55" s="3661" t="s">
        <v>1361</v>
      </c>
      <c r="B55" s="3639"/>
      <c r="C55" s="3639"/>
      <c r="D55" s="2322" t="e">
        <f ca="1">IF(H55="个人住宅",0,ROUND(D45*I55,0))</f>
        <v>#REF!</v>
      </c>
      <c r="E55" s="2332" t="s">
        <v>1362</v>
      </c>
      <c r="F55" s="2552" t="str">
        <f>IF(H55="正常",I55,"免征")</f>
        <v>免征</v>
      </c>
      <c r="G55" s="2553"/>
      <c r="H55" s="2548"/>
      <c r="I55" s="165">
        <f>'数据-取费表'!B49</f>
        <v>5.0000000000000001E-4</v>
      </c>
      <c r="J55" s="2521">
        <f>IF(H59="非个人房产","",4)</f>
        <v>4</v>
      </c>
      <c r="K55" s="3601" t="str">
        <f>IF(H59="非个人房产","——","个人所得税")</f>
        <v>个人所得税</v>
      </c>
      <c r="L55" s="3601"/>
      <c r="M55" s="2526" t="e">
        <f ca="1">D59</f>
        <v>#REF!</v>
      </c>
      <c r="N55" s="2038" t="str">
        <f>E59</f>
        <v>差额计税</v>
      </c>
      <c r="O55" s="2527">
        <f>F59</f>
        <v>0.01</v>
      </c>
    </row>
    <row r="56" spans="1:35" ht="24.75">
      <c r="A56" s="3661" t="s">
        <v>1363</v>
      </c>
      <c r="B56" s="3639"/>
      <c r="C56" s="3639"/>
      <c r="D56" s="2322" t="e">
        <f ca="1">IF(H56="个人住宅",D57,D58)</f>
        <v>#REF!</v>
      </c>
      <c r="E56" s="2332" t="s">
        <v>1364</v>
      </c>
      <c r="F56" s="2552" t="str">
        <f>IF(H56="正常",F58,"免征")</f>
        <v>免征</v>
      </c>
      <c r="G56" s="2555" t="s">
        <v>1365</v>
      </c>
      <c r="H56" s="2556"/>
      <c r="I56" s="1806"/>
      <c r="J56" s="2521" t="str">
        <f>IF(项目基本情况!K6="上海银行",IF(J55="",4,J55+1),"")</f>
        <v/>
      </c>
      <c r="K56" s="3582" t="str">
        <f>IF(项目基本情况!K6="上海银行","其他处置费用","")</f>
        <v/>
      </c>
      <c r="L56" s="3583"/>
      <c r="M56" s="2523" t="str">
        <f>IF(项目基本情况!K6="上海银行",M69,"")</f>
        <v/>
      </c>
      <c r="N56" s="3582" t="str">
        <f>IF(项目基本情况!K6="上海银行","包含处置中涉及的律师、诉讼、拍卖、评估等费用","")</f>
        <v/>
      </c>
      <c r="O56" s="3585"/>
    </row>
    <row r="57" spans="1:35" ht="12.75">
      <c r="A57" s="2333" t="s">
        <v>1341</v>
      </c>
      <c r="B57" s="3625" t="s">
        <v>1366</v>
      </c>
      <c r="C57" s="3626"/>
      <c r="D57" s="1588">
        <v>0</v>
      </c>
      <c r="E57" s="324" t="s">
        <v>1343</v>
      </c>
      <c r="F57" s="302"/>
      <c r="G57" s="2553"/>
      <c r="H57" s="2557"/>
      <c r="I57" s="1806"/>
      <c r="J57" s="3601">
        <f>IF(AND(J55="",J56=""),4,IF(项目基本情况!K6="上海银行",结果表!J56+1,结果表!J55+1))</f>
        <v>5</v>
      </c>
      <c r="K57" s="3601" t="s">
        <v>1367</v>
      </c>
      <c r="L57" s="2528" t="s">
        <v>1368</v>
      </c>
      <c r="M57" s="2529"/>
      <c r="N57" s="2530">
        <f ca="1">SUMIF(M52:M56,"&lt;9e307")</f>
        <v>0</v>
      </c>
      <c r="O57" s="2531"/>
      <c r="P57" s="2688" t="e">
        <f ca="1">N57/M49</f>
        <v>#VALUE!</v>
      </c>
    </row>
    <row r="58" spans="1:35" ht="24.75">
      <c r="A58" s="2333" t="s">
        <v>1352</v>
      </c>
      <c r="B58" s="3625" t="s">
        <v>1369</v>
      </c>
      <c r="C58" s="3624"/>
      <c r="D58" s="2322" t="e">
        <f ca="1">IF(H58="转让取得",C81,C97)</f>
        <v>#REF!</v>
      </c>
      <c r="E58" s="2332" t="s">
        <v>1364</v>
      </c>
      <c r="F58" s="302" t="s">
        <v>28</v>
      </c>
      <c r="G58" s="2553"/>
      <c r="H58" s="2556"/>
      <c r="I58" s="1806"/>
      <c r="J58" s="3601"/>
      <c r="K58" s="3601"/>
      <c r="L58" s="2528" t="s">
        <v>1370</v>
      </c>
      <c r="M58" s="2532"/>
      <c r="N58" s="2533" t="str">
        <f ca="1">NUMBERSTRING(INT(N57*10000),2)&amp;"元整"</f>
        <v>零元整</v>
      </c>
      <c r="O58" s="2534"/>
    </row>
    <row r="59" spans="1:35" ht="24.75" thickBot="1">
      <c r="A59" s="3605" t="s">
        <v>1371</v>
      </c>
      <c r="B59" s="3606"/>
      <c r="C59" s="360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3">
        <f>J57+1</f>
        <v>6</v>
      </c>
      <c r="K59" s="3601" t="s">
        <v>1372</v>
      </c>
      <c r="L59" s="2521" t="s">
        <v>1368</v>
      </c>
      <c r="M59" s="2535"/>
      <c r="N59" s="2536" t="e">
        <f ca="1">M49-N57</f>
        <v>#VALUE!</v>
      </c>
      <c r="O59" s="2537"/>
    </row>
    <row r="60" spans="1:35" ht="12" customHeight="1">
      <c r="A60" s="1807"/>
      <c r="B60" s="1745"/>
      <c r="C60" s="1745"/>
      <c r="D60" s="1745"/>
      <c r="E60" s="1576"/>
      <c r="F60" s="1806"/>
      <c r="G60" s="1806"/>
      <c r="H60" s="1808"/>
      <c r="I60" s="129"/>
      <c r="J60" s="3604"/>
      <c r="K60" s="3601"/>
      <c r="L60" s="2528" t="s">
        <v>1370</v>
      </c>
      <c r="M60" s="2532"/>
      <c r="N60" s="2533" t="e">
        <f ca="1">NUMBERSTRING(INT(N59*10000),2)&amp;"元整"</f>
        <v>#VALUE!</v>
      </c>
      <c r="O60" s="2534"/>
    </row>
    <row r="61" spans="1:35" ht="13.5" thickBot="1">
      <c r="A61" s="3660" t="s">
        <v>1373</v>
      </c>
      <c r="B61" s="3660"/>
      <c r="C61" s="3660"/>
      <c r="D61" s="3660"/>
      <c r="E61" s="3660"/>
      <c r="F61" s="1806"/>
      <c r="G61" s="1806"/>
      <c r="H61" s="1808"/>
      <c r="I61" s="129"/>
      <c r="J61" s="2521">
        <f>J59+1</f>
        <v>7</v>
      </c>
      <c r="K61" s="3601" t="s">
        <v>1374</v>
      </c>
      <c r="L61" s="3601"/>
      <c r="M61" s="2538"/>
      <c r="N61" s="2539" t="e">
        <f ca="1">ROUND(N59*10000/'数据-汇总表'!E3,0)</f>
        <v>#VALUE!</v>
      </c>
      <c r="O61" s="2540"/>
    </row>
    <row r="62" spans="1:35" ht="12.75">
      <c r="A62" s="3620" t="s">
        <v>1375</v>
      </c>
      <c r="B62" s="3621"/>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84"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84"/>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84"/>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84"/>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84"/>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84"/>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84"/>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8" t="s">
        <v>1394</v>
      </c>
      <c r="B70" s="3629"/>
      <c r="C70" s="3629"/>
      <c r="D70" s="3629"/>
      <c r="E70" s="3629"/>
      <c r="F70" s="3629"/>
      <c r="G70" s="3629"/>
      <c r="H70" s="3629"/>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0" t="s">
        <v>1375</v>
      </c>
      <c r="B71" s="362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5" t="s">
        <v>1402</v>
      </c>
      <c r="F76" s="3624"/>
      <c r="G76" s="3624"/>
      <c r="H76" s="362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617" t="s">
        <v>1406</v>
      </c>
      <c r="F78" s="3618"/>
      <c r="G78" s="3618"/>
      <c r="H78" s="361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8" t="s">
        <v>1410</v>
      </c>
      <c r="B83" s="3629"/>
      <c r="C83" s="3629"/>
      <c r="D83" s="3629"/>
      <c r="E83" s="3629"/>
      <c r="F83" s="3629"/>
      <c r="G83" s="3629"/>
      <c r="H83" s="362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0" t="s">
        <v>1375</v>
      </c>
      <c r="B84" s="362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86" t="s">
        <v>2128</v>
      </c>
      <c r="H90" s="3587"/>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7" t="s">
        <v>1419</v>
      </c>
      <c r="F91" s="3618"/>
      <c r="G91" s="361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7" t="s">
        <v>1422</v>
      </c>
      <c r="F92" s="3618"/>
      <c r="G92" s="3618"/>
      <c r="H92" s="361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617" t="s">
        <v>1406</v>
      </c>
      <c r="F93" s="3618"/>
      <c r="G93" s="3618"/>
      <c r="H93" s="361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62" t="s">
        <v>1426</v>
      </c>
      <c r="F94" s="3663"/>
      <c r="G94" s="3663"/>
      <c r="H94" s="366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6" t="s">
        <v>1428</v>
      </c>
      <c r="B100" s="3567"/>
      <c r="C100" s="3567"/>
      <c r="D100" s="3602"/>
      <c r="E100" s="3567" t="s">
        <v>1429</v>
      </c>
      <c r="F100" s="3567"/>
      <c r="G100" s="3567"/>
      <c r="H100" s="3602"/>
      <c r="I100" s="129"/>
    </row>
    <row r="101" spans="1:35" ht="18.75" customHeight="1">
      <c r="A101" s="3610" t="s">
        <v>1430</v>
      </c>
      <c r="B101" s="3611"/>
      <c r="C101" s="2583" t="str">
        <f>C4</f>
        <v>比较法-办公</v>
      </c>
      <c r="D101" s="2584" t="str">
        <f>D4</f>
        <v>比较法-办公</v>
      </c>
      <c r="E101" s="3580" t="s">
        <v>1431</v>
      </c>
      <c r="F101" s="3581"/>
      <c r="G101" s="1825" t="s">
        <v>1432</v>
      </c>
      <c r="H101" s="2593" t="e">
        <f ca="1">H118</f>
        <v>#REF!</v>
      </c>
      <c r="I101" s="129"/>
    </row>
    <row r="102" spans="1:35" ht="18.75" customHeight="1">
      <c r="A102" s="3612" t="s">
        <v>1433</v>
      </c>
      <c r="B102" s="2582" t="s">
        <v>1432</v>
      </c>
      <c r="C102" s="2583">
        <f ca="1">IF(D32="楼面单价",ROUND(C19,0),C19)</f>
        <v>6</v>
      </c>
      <c r="D102" s="2584">
        <f ca="1">IF(D32="楼面单价",ROUND(D19,0),D19)</f>
        <v>6</v>
      </c>
      <c r="E102" s="3580"/>
      <c r="F102" s="3581"/>
      <c r="G102" s="1825" t="s">
        <v>1434</v>
      </c>
      <c r="H102" s="2553" t="e">
        <f ca="1">I118</f>
        <v>#REF!</v>
      </c>
      <c r="I102" s="129"/>
    </row>
    <row r="103" spans="1:35" ht="42.75" customHeight="1">
      <c r="A103" s="3612"/>
      <c r="B103" s="2582" t="s">
        <v>1434</v>
      </c>
      <c r="C103" s="2585">
        <f ca="1">C20</f>
        <v>3.7</v>
      </c>
      <c r="D103" s="2586">
        <f ca="1">D20</f>
        <v>3.7</v>
      </c>
      <c r="E103" s="3573" t="s">
        <v>1435</v>
      </c>
      <c r="F103" s="3574"/>
      <c r="G103" s="1826" t="s">
        <v>1436</v>
      </c>
      <c r="H103" s="2593">
        <f>IF(D36="正常操作",H104+H105+H106,H105+H106)</f>
        <v>0</v>
      </c>
      <c r="I103" s="129"/>
    </row>
    <row r="104" spans="1:35" ht="18.75" customHeight="1">
      <c r="A104" s="3612"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22"/>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13" t="str">
        <f>IF(项目基本情况!E8="已注销","——","3.房地产抵押价值")</f>
        <v>3.房地产抵押价值</v>
      </c>
      <c r="F107" s="3581"/>
      <c r="G107" s="1825" t="s">
        <v>1432</v>
      </c>
      <c r="H107" s="2593" t="e">
        <f ca="1">IF(E107="——","——",H101-H103)</f>
        <v>#REF!</v>
      </c>
      <c r="I107" s="129"/>
    </row>
    <row r="108" spans="1:35" ht="18.75" customHeight="1">
      <c r="A108" s="129"/>
      <c r="B108" s="129"/>
      <c r="C108" s="129"/>
      <c r="D108" s="129"/>
      <c r="E108" s="3613"/>
      <c r="F108" s="3581"/>
      <c r="G108" s="1825" t="s">
        <v>1434</v>
      </c>
      <c r="H108" s="2553">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5" t="s">
        <v>1432</v>
      </c>
      <c r="H109" s="2596" t="str">
        <f>IF(E109="——","——",H101-H105-H106)</f>
        <v>——</v>
      </c>
      <c r="I109" s="129"/>
    </row>
    <row r="110" spans="1:35" ht="18.75" customHeight="1">
      <c r="A110" s="129"/>
      <c r="B110" s="129"/>
      <c r="C110" s="129"/>
      <c r="D110" s="129"/>
      <c r="E110" s="3613"/>
      <c r="F110" s="3581"/>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623" t="s">
        <v>1440</v>
      </c>
      <c r="F113" s="3623"/>
      <c r="G113" s="3623"/>
      <c r="H113" s="3623"/>
      <c r="I113" s="129"/>
    </row>
    <row r="114" spans="1:27" ht="3.75" customHeight="1">
      <c r="A114" s="1745"/>
      <c r="B114" s="1745"/>
      <c r="C114" s="1745"/>
      <c r="D114" s="1745"/>
      <c r="E114" s="1807"/>
      <c r="F114" s="1807"/>
      <c r="G114" s="1807"/>
      <c r="H114" s="1807"/>
      <c r="I114" s="1745"/>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88" t="s">
        <v>1452</v>
      </c>
      <c r="B119" s="3588"/>
      <c r="C119" s="3588"/>
      <c r="D119" s="3594" t="e">
        <f ca="1">NUMBERSTRING(INT(D118*10000),2)&amp;"元整"</f>
        <v>#REF!</v>
      </c>
      <c r="E119" s="3595"/>
      <c r="F119" s="3594" t="e">
        <f ca="1">NUMBERSTRING(INT(F118*10000),2)&amp;"元整"</f>
        <v>#REF!</v>
      </c>
      <c r="G119" s="3595"/>
      <c r="H119" s="3594" t="e">
        <f ca="1">NUMBERSTRING(INT(H118*10000),2)&amp;"元整"</f>
        <v>#REF!</v>
      </c>
      <c r="I119" s="3595"/>
    </row>
    <row r="120" spans="1:27" ht="18.75" customHeight="1">
      <c r="A120" s="3589" t="str">
        <f>IF(项目基本情况!B9="房地产市场价值","",MID(E103,3,LEN(E103)-2))</f>
        <v/>
      </c>
      <c r="B120" s="3590"/>
      <c r="C120" s="3591"/>
      <c r="D120" s="3589">
        <f>H103</f>
        <v>0</v>
      </c>
      <c r="E120" s="3590"/>
      <c r="F120" s="3590"/>
      <c r="G120" s="3590"/>
      <c r="H120" s="3590"/>
      <c r="I120" s="359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94" t="s">
        <v>1452</v>
      </c>
      <c r="B121" s="3596"/>
      <c r="C121" s="3595"/>
      <c r="D121" s="3594" t="str">
        <f>IF(D120=0,"零元整",NUMBERSTRING(INT(D120*10000),2)&amp;"元整")</f>
        <v>零元整</v>
      </c>
      <c r="E121" s="3596"/>
      <c r="F121" s="3596"/>
      <c r="G121" s="3596"/>
      <c r="H121" s="3596"/>
      <c r="I121" s="3595"/>
      <c r="AA121" s="724"/>
    </row>
    <row r="122" spans="1:27" ht="18.75" customHeight="1">
      <c r="A122" s="3600" t="str">
        <f>IF(项目基本情况!B9="房地产市场价值","",MID(E107,3,LEN(E107)-2))</f>
        <v/>
      </c>
      <c r="B122" s="3600"/>
      <c r="C122" s="3600"/>
      <c r="D122" s="3589" t="e">
        <f ca="1">H107</f>
        <v>#REF!</v>
      </c>
      <c r="E122" s="3590"/>
      <c r="F122" s="3590"/>
      <c r="G122" s="3590"/>
      <c r="H122" s="3590"/>
      <c r="I122" s="3591"/>
      <c r="AA122" s="724"/>
    </row>
    <row r="123" spans="1:27" ht="18.75" customHeight="1">
      <c r="A123" s="3588" t="s">
        <v>1452</v>
      </c>
      <c r="B123" s="3588"/>
      <c r="C123" s="3588"/>
      <c r="D123" s="3594" t="e">
        <f ca="1">NUMBERSTRING(INT(D122*10000),2)&amp;"元整"</f>
        <v>#REF!</v>
      </c>
      <c r="E123" s="3596"/>
      <c r="F123" s="3596"/>
      <c r="G123" s="3596"/>
      <c r="H123" s="3596"/>
      <c r="I123" s="3595"/>
      <c r="AA123" s="724"/>
    </row>
    <row r="124" spans="1:27" ht="18.75" customHeight="1">
      <c r="A124" s="3600" t="str">
        <f>IF(项目基本情况!B9="房地产市场价值","",MID(E109,3,LEN(E109)-2))</f>
        <v/>
      </c>
      <c r="B124" s="3600"/>
      <c r="C124" s="3600"/>
      <c r="D124" s="3589" t="str">
        <f>H109</f>
        <v>——</v>
      </c>
      <c r="E124" s="3590"/>
      <c r="F124" s="3590"/>
      <c r="G124" s="3590"/>
      <c r="H124" s="3590"/>
      <c r="I124" s="3591"/>
      <c r="AA124" s="724"/>
    </row>
    <row r="125" spans="1:27" ht="18.75" customHeight="1">
      <c r="A125" s="3588" t="s">
        <v>1452</v>
      </c>
      <c r="B125" s="3588"/>
      <c r="C125" s="3588"/>
      <c r="D125" s="3594" t="e">
        <f>NUMBERSTRING(INT(D124*10000),2)&amp;"元整"</f>
        <v>#VALUE!</v>
      </c>
      <c r="E125" s="3596"/>
      <c r="F125" s="3596"/>
      <c r="G125" s="3596"/>
      <c r="H125" s="3596"/>
      <c r="I125" s="3595"/>
      <c r="AA125" s="724"/>
    </row>
    <row r="126" spans="1:27" ht="18.75" customHeight="1">
      <c r="A126" s="3600" t="str">
        <f>IF(项目基本情况!B9="房地产市场价值","",MID(E111,3,LEN(E111)-2))</f>
        <v/>
      </c>
      <c r="B126" s="3600"/>
      <c r="C126" s="3600"/>
      <c r="D126" s="3589" t="str">
        <f>H111</f>
        <v>——</v>
      </c>
      <c r="E126" s="3590"/>
      <c r="F126" s="3590"/>
      <c r="G126" s="3590"/>
      <c r="H126" s="3590"/>
      <c r="I126" s="3591"/>
      <c r="AA126" s="724"/>
    </row>
    <row r="127" spans="1:27" ht="18.75" customHeight="1">
      <c r="A127" s="3588" t="s">
        <v>1452</v>
      </c>
      <c r="B127" s="3588"/>
      <c r="C127" s="3588"/>
      <c r="D127" s="3594" t="e">
        <f>NUMBERSTRING(INT(D126*10000),2)&amp;"元整"</f>
        <v>#VALUE!</v>
      </c>
      <c r="E127" s="3596"/>
      <c r="F127" s="3596"/>
      <c r="G127" s="3596"/>
      <c r="H127" s="3596"/>
      <c r="I127" s="3595"/>
      <c r="AA127" s="724"/>
    </row>
    <row r="128" spans="1:27" ht="21.75" customHeight="1">
      <c r="A128" s="3597" t="s">
        <v>1453</v>
      </c>
      <c r="B128" s="3597"/>
      <c r="C128" s="3597"/>
      <c r="D128" s="3597"/>
      <c r="E128" s="3597"/>
      <c r="F128" s="3597"/>
      <c r="G128" s="3597"/>
      <c r="H128" s="3597"/>
      <c r="I128" s="3597"/>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北京市石景山玉泉路59号院2号楼4层401-1501房地产市场价值预评估</v>
      </c>
      <c r="C37" s="3483"/>
      <c r="D37" s="3483"/>
      <c r="E37" s="3483"/>
      <c r="F37" s="3483"/>
      <c r="G37" s="3483"/>
      <c r="H37" s="3483"/>
      <c r="I37" s="348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6995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4638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67" t="s">
        <v>1544</v>
      </c>
    </row>
    <row r="43" spans="1:7" ht="13.5" customHeight="1">
      <c r="A43" s="779" t="s">
        <v>347</v>
      </c>
      <c r="B43" s="215" t="s">
        <v>1545</v>
      </c>
      <c r="C43" s="238">
        <f ca="1">ROUND(IF('数据-取费表'!B22&lt;=1,C39*F22*'数据-取费表'!B21/2,C39*(POWER((1+F22),'数据-取费表'!B21/2)-1)),0)</f>
        <v>4</v>
      </c>
      <c r="D43" s="238"/>
      <c r="E43" s="238"/>
      <c r="F43" s="239"/>
      <c r="G43" s="3668"/>
    </row>
    <row r="44" spans="1:7" ht="13.5" customHeight="1">
      <c r="A44" s="779"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6589</v>
      </c>
      <c r="D51" s="232"/>
      <c r="E51" s="232"/>
      <c r="F51" s="264"/>
      <c r="G51" s="234" t="s">
        <v>1560</v>
      </c>
    </row>
    <row r="52" spans="1:7" s="208" customFormat="1" ht="16.5" thickBot="1">
      <c r="A52" s="265" t="s">
        <v>1561</v>
      </c>
      <c r="B52" s="266"/>
      <c r="C52" s="267">
        <f ca="1">C31+C51</f>
        <v>6995</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7402.9381999999996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4909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67" t="s">
        <v>1591</v>
      </c>
    </row>
    <row r="43" spans="1:7" ht="13.5" customHeight="1">
      <c r="A43" s="779" t="s">
        <v>347</v>
      </c>
      <c r="B43" s="215" t="s">
        <v>1545</v>
      </c>
      <c r="C43" s="238">
        <f ca="1">ROUND(IF('数据-取费表'!B22&lt;=1,C39*F22*'数据-取费表'!B20/2,C39*(POWER((1+F22),'数据-取费表'!B20/2)-1)),0)</f>
        <v>40868</v>
      </c>
      <c r="D43" s="238"/>
      <c r="E43" s="238"/>
      <c r="F43" s="239"/>
      <c r="G43" s="3668"/>
    </row>
    <row r="44" spans="1:7" ht="13.5" customHeight="1">
      <c r="A44" s="779"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65900065</v>
      </c>
      <c r="D51" s="232"/>
      <c r="E51" s="232"/>
      <c r="F51" s="264"/>
      <c r="G51" s="234" t="s">
        <v>1560</v>
      </c>
    </row>
    <row r="52" spans="1:7" s="208" customFormat="1" ht="16.5" thickBot="1">
      <c r="A52" s="265" t="s">
        <v>1561</v>
      </c>
      <c r="B52" s="266"/>
      <c r="C52" s="267">
        <f ca="1">C31+C51</f>
        <v>74029382</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2" t="s">
        <v>694</v>
      </c>
      <c r="C6" s="1072">
        <f ca="1">ROUND(F6*F8*F7*(1-F9)/10000,0)</f>
        <v>0</v>
      </c>
      <c r="D6" s="155" t="s">
        <v>2108</v>
      </c>
      <c r="E6" s="302" t="s">
        <v>696</v>
      </c>
      <c r="F6" s="303">
        <f ca="1">INDIRECT("'数据-取费表'!u"&amp;$G$1)</f>
        <v>0</v>
      </c>
      <c r="G6" s="1382"/>
      <c r="H6" s="1067" t="s">
        <v>398</v>
      </c>
      <c r="I6" s="3672" t="s">
        <v>694</v>
      </c>
      <c r="J6" s="301">
        <f ca="1">ROUND(M6*M8*M7*(1-M9)/10000,0)</f>
        <v>0</v>
      </c>
      <c r="K6" s="155" t="s">
        <v>2107</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0</v>
      </c>
      <c r="G7" s="1382"/>
      <c r="H7" s="304"/>
      <c r="I7" s="3673"/>
      <c r="J7" s="306"/>
      <c r="K7" s="307"/>
      <c r="L7" s="302" t="s">
        <v>697</v>
      </c>
      <c r="M7" s="303">
        <f ca="1">F7</f>
        <v>0</v>
      </c>
    </row>
    <row r="8" spans="1:37" ht="18" customHeight="1">
      <c r="A8" s="304"/>
      <c r="B8" s="3673"/>
      <c r="C8" s="306"/>
      <c r="D8" s="307"/>
      <c r="E8" s="302" t="s">
        <v>698</v>
      </c>
      <c r="F8" s="303">
        <f ca="1">INDIRECT("'数据-取费表'!ai"&amp;$G$1)</f>
        <v>0</v>
      </c>
      <c r="G8" s="1382"/>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70" t="s">
        <v>837</v>
      </c>
      <c r="L53" s="3671"/>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72" t="s">
        <v>694</v>
      </c>
      <c r="C6" s="1072">
        <f ca="1">ROUND(F6*F8*F7*(1-F9),0)</f>
        <v>0</v>
      </c>
      <c r="D6" s="155" t="s">
        <v>2105</v>
      </c>
      <c r="E6" s="302" t="s">
        <v>696</v>
      </c>
      <c r="F6" s="303">
        <f ca="1">INDIRECT("'数据-取费表'!u"&amp;$G$1)</f>
        <v>0</v>
      </c>
      <c r="G6" s="1382"/>
      <c r="H6" s="1067" t="s">
        <v>398</v>
      </c>
      <c r="I6" s="3672" t="s">
        <v>694</v>
      </c>
      <c r="J6" s="301">
        <f ca="1">ROUND(M6*M8*M7*(1-M9),0)</f>
        <v>0</v>
      </c>
      <c r="K6" s="1374" t="s">
        <v>2106</v>
      </c>
      <c r="L6" s="302" t="s">
        <v>696</v>
      </c>
      <c r="M6" s="303">
        <f ca="1">INDIRECT("'数据-取费表'!z"&amp;$G$1)</f>
        <v>0</v>
      </c>
    </row>
    <row r="7" spans="1:37" ht="18" customHeight="1">
      <c r="A7" s="1071"/>
      <c r="B7" s="3673"/>
      <c r="C7" s="1073"/>
      <c r="D7" s="307"/>
      <c r="E7" s="1074" t="s">
        <v>697</v>
      </c>
      <c r="F7" s="303">
        <f ca="1">IF(INDIRECT("'数据-取费表'!ah"&amp;$G$1)="",INDIRECT("'数据-取费表'!k"&amp;$G$1),INDIRECT("'数据-取费表'!ah"&amp;$G$1))</f>
        <v>0</v>
      </c>
      <c r="G7" s="1382"/>
      <c r="H7" s="304"/>
      <c r="I7" s="3673"/>
      <c r="J7" s="306"/>
      <c r="K7" s="307"/>
      <c r="L7" s="302" t="s">
        <v>697</v>
      </c>
      <c r="M7" s="303">
        <f ca="1">F7</f>
        <v>0</v>
      </c>
    </row>
    <row r="8" spans="1:37" ht="18" customHeight="1">
      <c r="A8" s="304"/>
      <c r="B8" s="3673"/>
      <c r="C8" s="306"/>
      <c r="D8" s="307"/>
      <c r="E8" s="302" t="s">
        <v>698</v>
      </c>
      <c r="F8" s="303">
        <f ca="1">INDIRECT("'数据-取费表'!ai"&amp;$G$1)</f>
        <v>0</v>
      </c>
      <c r="G8" s="1382"/>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2"/>
      <c r="H9" s="304"/>
      <c r="I9" s="367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70" t="s">
        <v>837</v>
      </c>
      <c r="L53" s="367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75" t="s">
        <v>2320</v>
      </c>
      <c r="K2" s="367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7" t="s">
        <v>2330</v>
      </c>
      <c r="K3" s="367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7" t="s">
        <v>2332</v>
      </c>
      <c r="K4" s="367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9" t="s">
        <v>2336</v>
      </c>
      <c r="B6" s="3680"/>
      <c r="C6" s="3681"/>
      <c r="D6" s="2868"/>
      <c r="E6" s="2869"/>
      <c r="F6" s="2870"/>
      <c r="G6" s="2871"/>
      <c r="H6" s="2846"/>
      <c r="I6" s="2847"/>
      <c r="J6" s="3682">
        <v>1</v>
      </c>
      <c r="K6" s="368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82"/>
      <c r="K7" s="368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6" t="s">
        <v>2350</v>
      </c>
      <c r="C8" s="3687"/>
      <c r="D8" s="2887" t="s">
        <v>2351</v>
      </c>
      <c r="E8" s="2888" t="s">
        <v>2352</v>
      </c>
      <c r="F8" s="2889" t="s">
        <v>2353</v>
      </c>
      <c r="G8" s="2890"/>
      <c r="H8" s="2846"/>
      <c r="I8" s="2847"/>
      <c r="J8" s="3682"/>
      <c r="K8" s="368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6" t="s">
        <v>2356</v>
      </c>
      <c r="C9" s="3687"/>
      <c r="D9" s="2887">
        <f>ROUND(D6*E9,0)</f>
        <v>0</v>
      </c>
      <c r="E9" s="2891"/>
      <c r="F9" s="2892" t="s">
        <v>2357</v>
      </c>
      <c r="G9" s="2871"/>
      <c r="H9" s="2846"/>
      <c r="I9" s="2847"/>
      <c r="J9" s="3682"/>
      <c r="K9" s="3684"/>
      <c r="L9" s="2881" t="s">
        <v>2358</v>
      </c>
      <c r="M9" s="2882"/>
      <c r="N9" s="2858"/>
      <c r="O9" s="2883"/>
      <c r="P9" s="2883"/>
      <c r="Q9" s="2884">
        <v>365</v>
      </c>
      <c r="R9" s="2885">
        <f t="shared" si="0"/>
        <v>0</v>
      </c>
      <c r="S9" s="2839"/>
      <c r="T9" s="2839"/>
      <c r="U9" s="2839"/>
      <c r="V9" s="2847"/>
    </row>
    <row r="10" spans="1:22" s="2851" customFormat="1" ht="13.15" customHeight="1">
      <c r="A10" s="2886">
        <v>2</v>
      </c>
      <c r="B10" s="3686" t="s">
        <v>2359</v>
      </c>
      <c r="C10" s="3687"/>
      <c r="D10" s="2887">
        <f>ROUND(D6*E10,0)</f>
        <v>0</v>
      </c>
      <c r="E10" s="2891"/>
      <c r="F10" s="2892" t="s">
        <v>2360</v>
      </c>
      <c r="G10" s="2871"/>
      <c r="H10" s="2846"/>
      <c r="I10" s="2847"/>
      <c r="J10" s="3682"/>
      <c r="K10" s="3684"/>
      <c r="L10" s="2881" t="s">
        <v>2361</v>
      </c>
      <c r="M10" s="2882"/>
      <c r="N10" s="2858"/>
      <c r="O10" s="2883"/>
      <c r="P10" s="2883"/>
      <c r="Q10" s="2884">
        <v>365</v>
      </c>
      <c r="R10" s="2885">
        <f t="shared" si="0"/>
        <v>0</v>
      </c>
      <c r="S10" s="2839"/>
      <c r="T10" s="2839"/>
      <c r="U10" s="2839"/>
      <c r="V10" s="2847"/>
    </row>
    <row r="11" spans="1:22" s="2851" customFormat="1" ht="13.15" customHeight="1">
      <c r="A11" s="2886">
        <v>3</v>
      </c>
      <c r="B11" s="3686" t="s">
        <v>2362</v>
      </c>
      <c r="C11" s="3687"/>
      <c r="D11" s="2887">
        <f>D12+D14+D15+D16</f>
        <v>0</v>
      </c>
      <c r="E11" s="2893" t="e">
        <f>D11/D6</f>
        <v>#DIV/0!</v>
      </c>
      <c r="F11" s="2889"/>
      <c r="G11" s="2890"/>
      <c r="H11" s="2846"/>
      <c r="I11" s="2847"/>
      <c r="J11" s="3682"/>
      <c r="K11" s="368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88" t="s">
        <v>2365</v>
      </c>
      <c r="C12" s="3689"/>
      <c r="D12" s="2895">
        <f>ROUND(D13*1.2%*(1-30%),0)</f>
        <v>0</v>
      </c>
      <c r="E12" s="2896">
        <v>1.2E-2</v>
      </c>
      <c r="F12" s="2889" t="s">
        <v>2366</v>
      </c>
      <c r="G12" s="2890"/>
      <c r="H12" s="2846"/>
      <c r="I12" s="2847"/>
      <c r="J12" s="3682"/>
      <c r="K12" s="368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82"/>
      <c r="K13" s="368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88" t="s">
        <v>2371</v>
      </c>
      <c r="C14" s="3689"/>
      <c r="D14" s="2895">
        <f>ROUND(E14*B5/10000,0)</f>
        <v>0</v>
      </c>
      <c r="E14" s="2884"/>
      <c r="F14" s="2889" t="s">
        <v>2372</v>
      </c>
      <c r="G14" s="2890"/>
      <c r="H14" s="2846"/>
      <c r="I14" s="2847"/>
      <c r="J14" s="3682"/>
      <c r="K14" s="368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88" t="s">
        <v>2375</v>
      </c>
      <c r="C15" s="3689"/>
      <c r="D15" s="2895">
        <f>ROUND(D6*E15,0)</f>
        <v>0</v>
      </c>
      <c r="E15" s="2896">
        <v>5.5E-2</v>
      </c>
      <c r="F15" s="2889" t="s">
        <v>2376</v>
      </c>
      <c r="G15" s="2871"/>
      <c r="H15" s="2846"/>
      <c r="I15" s="2847"/>
      <c r="J15" s="3682">
        <v>2</v>
      </c>
      <c r="K15" s="368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88" t="s">
        <v>2384</v>
      </c>
      <c r="C16" s="3689"/>
      <c r="D16" s="2906">
        <f>D6*E16</f>
        <v>0</v>
      </c>
      <c r="E16" s="2907"/>
      <c r="F16" s="2892" t="s">
        <v>2385</v>
      </c>
      <c r="G16" s="2871"/>
      <c r="H16" s="2846"/>
      <c r="I16" s="2847"/>
      <c r="J16" s="3682"/>
      <c r="K16" s="368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90" t="s">
        <v>2387</v>
      </c>
      <c r="C17" s="3691"/>
      <c r="D17" s="2909">
        <f>ROUND(D6*E17,0)</f>
        <v>0</v>
      </c>
      <c r="E17" s="2910"/>
      <c r="F17" s="2911" t="s">
        <v>2388</v>
      </c>
      <c r="G17" s="2871"/>
      <c r="H17" s="2846"/>
      <c r="I17" s="2847"/>
      <c r="J17" s="3682"/>
      <c r="K17" s="368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82"/>
      <c r="K18" s="368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82"/>
      <c r="K19" s="368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2">
        <v>3</v>
      </c>
      <c r="K20" s="368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82"/>
      <c r="K21" s="368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82"/>
      <c r="K22" s="368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82"/>
      <c r="K23" s="368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82"/>
      <c r="K24" s="368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9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9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5" t="s">
        <v>2320</v>
      </c>
      <c r="K32" s="367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7" t="s">
        <v>2330</v>
      </c>
      <c r="K33" s="367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7" t="s">
        <v>2332</v>
      </c>
      <c r="K34" s="367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82">
        <v>1</v>
      </c>
      <c r="K36" s="368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82"/>
      <c r="K37" s="368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2"/>
      <c r="K38" s="368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82"/>
      <c r="K39" s="368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82"/>
      <c r="K40" s="368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9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94" t="s">
        <v>1654</v>
      </c>
      <c r="C5" s="3695"/>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4" t="s">
        <v>1667</v>
      </c>
      <c r="D4" s="3715"/>
      <c r="E4" s="3716" t="s">
        <v>1668</v>
      </c>
      <c r="F4" s="3717"/>
      <c r="G4" s="3714" t="s">
        <v>1669</v>
      </c>
      <c r="H4" s="3715"/>
      <c r="I4" s="3714" t="s">
        <v>1670</v>
      </c>
      <c r="J4" s="3715"/>
      <c r="K4" s="1887" t="s">
        <v>1671</v>
      </c>
      <c r="L4" s="2713"/>
      <c r="M4" s="2714"/>
      <c r="N4" s="2714"/>
      <c r="O4" s="2714"/>
      <c r="P4" s="3718" t="s">
        <v>1672</v>
      </c>
      <c r="Q4" s="3719"/>
      <c r="R4" s="3701" t="s">
        <v>1668</v>
      </c>
      <c r="S4" s="3702"/>
      <c r="T4" s="3701" t="s">
        <v>1669</v>
      </c>
      <c r="U4" s="3702"/>
      <c r="V4" s="3726" t="s">
        <v>1670</v>
      </c>
      <c r="W4" s="3726"/>
      <c r="X4" s="1353"/>
      <c r="Y4" s="3701" t="s">
        <v>1672</v>
      </c>
      <c r="Z4" s="3702"/>
      <c r="AA4" s="3696" t="s">
        <v>1668</v>
      </c>
      <c r="AB4" s="3696" t="s">
        <v>1669</v>
      </c>
      <c r="AC4" s="3696" t="s">
        <v>1670</v>
      </c>
    </row>
    <row r="5" spans="1:29" ht="15">
      <c r="A5" s="358"/>
      <c r="B5" s="359"/>
      <c r="C5" s="3707" t="s">
        <v>1673</v>
      </c>
      <c r="D5" s="3708"/>
      <c r="E5" s="3705" t="s">
        <v>1674</v>
      </c>
      <c r="F5" s="3706"/>
      <c r="G5" s="3707" t="s">
        <v>1675</v>
      </c>
      <c r="H5" s="3708"/>
      <c r="I5" s="3707" t="s">
        <v>1676</v>
      </c>
      <c r="J5" s="3708"/>
      <c r="K5" s="1888"/>
      <c r="L5" s="2713"/>
      <c r="M5" s="2714"/>
      <c r="N5" s="2714"/>
      <c r="O5" s="2714"/>
      <c r="P5" s="3720"/>
      <c r="Q5" s="3721"/>
      <c r="R5" s="3703"/>
      <c r="S5" s="3704"/>
      <c r="T5" s="3703"/>
      <c r="U5" s="3704"/>
      <c r="V5" s="3726"/>
      <c r="W5" s="3726"/>
      <c r="X5" s="1353"/>
      <c r="Y5" s="3703"/>
      <c r="Z5" s="3704"/>
      <c r="AA5" s="3697"/>
      <c r="AB5" s="3697"/>
      <c r="AC5" s="3697"/>
    </row>
    <row r="6" spans="1:29" ht="15.75" thickBot="1">
      <c r="A6" s="360"/>
      <c r="B6" s="361"/>
      <c r="C6" s="3709" t="s">
        <v>1677</v>
      </c>
      <c r="D6" s="3710"/>
      <c r="E6" s="3711" t="s">
        <v>1677</v>
      </c>
      <c r="F6" s="3712"/>
      <c r="G6" s="3709" t="s">
        <v>1677</v>
      </c>
      <c r="H6" s="3710"/>
      <c r="I6" s="3709" t="s">
        <v>1677</v>
      </c>
      <c r="J6" s="3710"/>
      <c r="K6" s="1888" t="s">
        <v>1678</v>
      </c>
      <c r="L6" s="2713"/>
      <c r="M6" s="2714"/>
      <c r="N6" s="2714"/>
      <c r="O6" s="2714"/>
      <c r="P6" s="3722"/>
      <c r="Q6" s="3723"/>
      <c r="R6" s="3703"/>
      <c r="S6" s="3704"/>
      <c r="T6" s="3724"/>
      <c r="U6" s="3725"/>
      <c r="V6" s="3726"/>
      <c r="W6" s="3726"/>
      <c r="X6" s="1353"/>
      <c r="Y6" s="3724"/>
      <c r="Z6" s="3725"/>
      <c r="AA6" s="3698"/>
      <c r="AB6" s="3698"/>
      <c r="AC6" s="3698"/>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9" t="s">
        <v>1680</v>
      </c>
      <c r="Q7" s="3727"/>
      <c r="R7" s="700" t="s">
        <v>20</v>
      </c>
      <c r="S7" s="701">
        <f t="shared" ref="S7:S15" si="0">F7</f>
        <v>0</v>
      </c>
      <c r="T7" s="700" t="s">
        <v>20</v>
      </c>
      <c r="U7" s="701">
        <f t="shared" ref="U7:U15" si="1">H7</f>
        <v>0</v>
      </c>
      <c r="V7" s="700" t="s">
        <v>20</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9" t="s">
        <v>1683</v>
      </c>
      <c r="Q8" s="3700"/>
      <c r="R8" s="700" t="s">
        <v>20</v>
      </c>
      <c r="S8" s="701">
        <f t="shared" si="0"/>
        <v>100</v>
      </c>
      <c r="T8" s="700" t="s">
        <v>20</v>
      </c>
      <c r="U8" s="701">
        <f t="shared" si="1"/>
        <v>100</v>
      </c>
      <c r="V8" s="700" t="s">
        <v>20</v>
      </c>
      <c r="W8" s="701">
        <f t="shared" si="2"/>
        <v>100</v>
      </c>
      <c r="X8" s="702"/>
      <c r="Y8" s="3699" t="s">
        <v>1683</v>
      </c>
      <c r="Z8" s="370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13"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13"/>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3"/>
      <c r="Q11" s="1341" t="str">
        <f t="shared" si="6"/>
        <v>容积率</v>
      </c>
      <c r="R11" s="700" t="s">
        <v>18</v>
      </c>
      <c r="S11" s="701" t="e">
        <f t="shared" si="0"/>
        <v>#N/A</v>
      </c>
      <c r="T11" s="700" t="s">
        <v>18</v>
      </c>
      <c r="U11" s="701" t="e">
        <f t="shared" si="1"/>
        <v>#N/A</v>
      </c>
      <c r="V11" s="700" t="s">
        <v>18</v>
      </c>
      <c r="W11" s="701" t="e">
        <f t="shared" si="2"/>
        <v>#N/A</v>
      </c>
      <c r="X11" s="702"/>
      <c r="Y11" s="3643"/>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13"/>
      <c r="Q12" s="1341">
        <f t="shared" si="6"/>
        <v>111</v>
      </c>
      <c r="R12" s="700" t="s">
        <v>18</v>
      </c>
      <c r="S12" s="701">
        <f t="shared" si="0"/>
        <v>100</v>
      </c>
      <c r="T12" s="700" t="s">
        <v>18</v>
      </c>
      <c r="U12" s="701">
        <f t="shared" si="1"/>
        <v>100</v>
      </c>
      <c r="V12" s="700" t="s">
        <v>18</v>
      </c>
      <c r="W12" s="701">
        <f t="shared" si="2"/>
        <v>100</v>
      </c>
      <c r="X12" s="702"/>
      <c r="Y12" s="364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13"/>
      <c r="Q13" s="1341">
        <f t="shared" si="6"/>
        <v>111</v>
      </c>
      <c r="R13" s="700" t="s">
        <v>18</v>
      </c>
      <c r="S13" s="701">
        <f t="shared" si="0"/>
        <v>100</v>
      </c>
      <c r="T13" s="700" t="s">
        <v>18</v>
      </c>
      <c r="U13" s="701">
        <f t="shared" si="1"/>
        <v>100</v>
      </c>
      <c r="V13" s="700" t="s">
        <v>18</v>
      </c>
      <c r="W13" s="701">
        <f t="shared" si="2"/>
        <v>100</v>
      </c>
      <c r="X13" s="702"/>
      <c r="Y13" s="364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13"/>
      <c r="Q14" s="1341">
        <f t="shared" si="6"/>
        <v>111</v>
      </c>
      <c r="R14" s="700" t="s">
        <v>18</v>
      </c>
      <c r="S14" s="701">
        <f t="shared" si="0"/>
        <v>100</v>
      </c>
      <c r="T14" s="700" t="s">
        <v>18</v>
      </c>
      <c r="U14" s="701">
        <f t="shared" si="1"/>
        <v>100</v>
      </c>
      <c r="V14" s="700" t="s">
        <v>18</v>
      </c>
      <c r="W14" s="701">
        <f t="shared" si="2"/>
        <v>100</v>
      </c>
      <c r="X14" s="702"/>
      <c r="Y14" s="3643"/>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0" t="s">
        <v>1691</v>
      </c>
      <c r="Q15" s="1350" t="str">
        <f t="shared" si="6"/>
        <v>居住社区成熟度</v>
      </c>
      <c r="R15" s="704" t="s">
        <v>18</v>
      </c>
      <c r="S15" s="705">
        <f t="shared" si="0"/>
        <v>100</v>
      </c>
      <c r="T15" s="704" t="s">
        <v>18</v>
      </c>
      <c r="U15" s="705">
        <f t="shared" si="1"/>
        <v>100</v>
      </c>
      <c r="V15" s="704" t="s">
        <v>18</v>
      </c>
      <c r="W15" s="705">
        <f t="shared" si="2"/>
        <v>100</v>
      </c>
      <c r="X15" s="1353"/>
      <c r="Y15" s="373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41"/>
      <c r="Q16" s="1350"/>
      <c r="R16" s="704"/>
      <c r="S16" s="705"/>
      <c r="T16" s="704"/>
      <c r="U16" s="705"/>
      <c r="V16" s="704"/>
      <c r="W16" s="705"/>
      <c r="X16" s="1353"/>
      <c r="Y16" s="373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1"/>
      <c r="Q17" s="1350" t="str">
        <f>B17</f>
        <v>交通便捷度</v>
      </c>
      <c r="R17" s="704" t="s">
        <v>18</v>
      </c>
      <c r="S17" s="705">
        <f>F17</f>
        <v>100</v>
      </c>
      <c r="T17" s="704" t="s">
        <v>18</v>
      </c>
      <c r="U17" s="705">
        <f>H17</f>
        <v>100</v>
      </c>
      <c r="V17" s="704" t="s">
        <v>18</v>
      </c>
      <c r="W17" s="705">
        <f>J17</f>
        <v>100</v>
      </c>
      <c r="X17" s="1353"/>
      <c r="Y17" s="373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41"/>
      <c r="Q18" s="1350"/>
      <c r="R18" s="704"/>
      <c r="S18" s="705"/>
      <c r="T18" s="704"/>
      <c r="U18" s="705"/>
      <c r="V18" s="704"/>
      <c r="W18" s="705"/>
      <c r="X18" s="1353"/>
      <c r="Y18" s="373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1"/>
      <c r="Q19" s="1350" t="str">
        <f>B19</f>
        <v>公共配套设施</v>
      </c>
      <c r="R19" s="704" t="s">
        <v>18</v>
      </c>
      <c r="S19" s="705">
        <f>F19</f>
        <v>100</v>
      </c>
      <c r="T19" s="704" t="s">
        <v>18</v>
      </c>
      <c r="U19" s="705">
        <f>H19</f>
        <v>100</v>
      </c>
      <c r="V19" s="704" t="s">
        <v>18</v>
      </c>
      <c r="W19" s="705">
        <f>J19</f>
        <v>100</v>
      </c>
      <c r="X19" s="1353"/>
      <c r="Y19" s="373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41"/>
      <c r="Q20" s="1350"/>
      <c r="R20" s="704"/>
      <c r="S20" s="705"/>
      <c r="T20" s="704"/>
      <c r="U20" s="705"/>
      <c r="V20" s="704"/>
      <c r="W20" s="705"/>
      <c r="X20" s="1353"/>
      <c r="Y20" s="373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1"/>
      <c r="Q21" s="1350" t="str">
        <f>B21</f>
        <v>基础设施水平</v>
      </c>
      <c r="R21" s="704" t="s">
        <v>14</v>
      </c>
      <c r="S21" s="705">
        <f>F21</f>
        <v>100</v>
      </c>
      <c r="T21" s="704" t="s">
        <v>14</v>
      </c>
      <c r="U21" s="705">
        <f>H21</f>
        <v>100</v>
      </c>
      <c r="V21" s="704" t="s">
        <v>14</v>
      </c>
      <c r="W21" s="705">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41"/>
      <c r="Q22" s="1350"/>
      <c r="R22" s="704"/>
      <c r="S22" s="705"/>
      <c r="T22" s="704"/>
      <c r="U22" s="705"/>
      <c r="V22" s="704"/>
      <c r="W22" s="705"/>
      <c r="X22" s="1353"/>
      <c r="Y22" s="373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1"/>
      <c r="Q23" s="1350" t="str">
        <f>B23</f>
        <v>自然及人文环境</v>
      </c>
      <c r="R23" s="704" t="s">
        <v>18</v>
      </c>
      <c r="S23" s="705">
        <f>F23</f>
        <v>100</v>
      </c>
      <c r="T23" s="704" t="s">
        <v>18</v>
      </c>
      <c r="U23" s="705">
        <f>H23</f>
        <v>100</v>
      </c>
      <c r="V23" s="704" t="s">
        <v>18</v>
      </c>
      <c r="W23" s="705">
        <f>J23</f>
        <v>100</v>
      </c>
      <c r="X23" s="1353"/>
      <c r="Y23" s="373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41"/>
      <c r="Q24" s="1350"/>
      <c r="R24" s="704"/>
      <c r="S24" s="705"/>
      <c r="T24" s="704"/>
      <c r="U24" s="705"/>
      <c r="V24" s="704"/>
      <c r="W24" s="705"/>
      <c r="X24" s="1353"/>
      <c r="Y24" s="373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41"/>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41"/>
      <c r="Q26" s="1350" t="str">
        <f t="shared" si="11"/>
        <v>朝向</v>
      </c>
      <c r="R26" s="704" t="s">
        <v>18</v>
      </c>
      <c r="S26" s="705">
        <f t="shared" si="12"/>
        <v>100</v>
      </c>
      <c r="T26" s="704" t="s">
        <v>18</v>
      </c>
      <c r="U26" s="705">
        <f t="shared" si="13"/>
        <v>100</v>
      </c>
      <c r="V26" s="704" t="s">
        <v>18</v>
      </c>
      <c r="W26" s="705">
        <f t="shared" si="14"/>
        <v>100</v>
      </c>
      <c r="X26" s="1353"/>
      <c r="Y26" s="373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41"/>
      <c r="Q27" s="1341">
        <f t="shared" si="11"/>
        <v>111</v>
      </c>
      <c r="R27" s="700" t="s">
        <v>18</v>
      </c>
      <c r="S27" s="701">
        <f t="shared" si="12"/>
        <v>100</v>
      </c>
      <c r="T27" s="700" t="s">
        <v>18</v>
      </c>
      <c r="U27" s="701">
        <f t="shared" si="13"/>
        <v>100</v>
      </c>
      <c r="V27" s="700" t="s">
        <v>18</v>
      </c>
      <c r="W27" s="701">
        <f t="shared" si="14"/>
        <v>100</v>
      </c>
      <c r="X27" s="702"/>
      <c r="Y27" s="373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41"/>
      <c r="Q28" s="1350">
        <f t="shared" si="11"/>
        <v>111</v>
      </c>
      <c r="R28" s="704" t="s">
        <v>18</v>
      </c>
      <c r="S28" s="705">
        <f t="shared" si="12"/>
        <v>100</v>
      </c>
      <c r="T28" s="704" t="s">
        <v>18</v>
      </c>
      <c r="U28" s="705">
        <f t="shared" si="13"/>
        <v>100</v>
      </c>
      <c r="V28" s="704" t="s">
        <v>18</v>
      </c>
      <c r="W28" s="705">
        <f t="shared" si="14"/>
        <v>100</v>
      </c>
      <c r="X28" s="1353"/>
      <c r="Y28" s="373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41"/>
      <c r="Q29" s="1350">
        <f t="shared" si="11"/>
        <v>111</v>
      </c>
      <c r="R29" s="704" t="s">
        <v>18</v>
      </c>
      <c r="S29" s="705">
        <f t="shared" si="12"/>
        <v>100</v>
      </c>
      <c r="T29" s="704" t="s">
        <v>18</v>
      </c>
      <c r="U29" s="705">
        <f t="shared" si="13"/>
        <v>100</v>
      </c>
      <c r="V29" s="704" t="s">
        <v>18</v>
      </c>
      <c r="W29" s="705">
        <f t="shared" si="14"/>
        <v>100</v>
      </c>
      <c r="X29" s="1353"/>
      <c r="Y29" s="373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41"/>
      <c r="Q30" s="1350">
        <f t="shared" si="11"/>
        <v>111</v>
      </c>
      <c r="R30" s="704" t="s">
        <v>18</v>
      </c>
      <c r="S30" s="705">
        <f t="shared" si="12"/>
        <v>100</v>
      </c>
      <c r="T30" s="704" t="s">
        <v>18</v>
      </c>
      <c r="U30" s="705">
        <f t="shared" si="13"/>
        <v>100</v>
      </c>
      <c r="V30" s="704" t="s">
        <v>18</v>
      </c>
      <c r="W30" s="705">
        <f t="shared" si="14"/>
        <v>100</v>
      </c>
      <c r="X30" s="1353"/>
      <c r="Y30" s="373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41"/>
      <c r="Q31" s="1350">
        <f t="shared" si="11"/>
        <v>111</v>
      </c>
      <c r="R31" s="704" t="s">
        <v>18</v>
      </c>
      <c r="S31" s="705">
        <f t="shared" si="12"/>
        <v>100</v>
      </c>
      <c r="T31" s="704" t="s">
        <v>18</v>
      </c>
      <c r="U31" s="705">
        <f t="shared" si="13"/>
        <v>100</v>
      </c>
      <c r="V31" s="704" t="s">
        <v>18</v>
      </c>
      <c r="W31" s="705">
        <f t="shared" si="14"/>
        <v>100</v>
      </c>
      <c r="X31" s="1353"/>
      <c r="Y31" s="373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5" t="s">
        <v>1696</v>
      </c>
      <c r="Q32" s="1350" t="str">
        <f t="shared" si="11"/>
        <v>建筑类型</v>
      </c>
      <c r="R32" s="704" t="s">
        <v>18</v>
      </c>
      <c r="S32" s="705">
        <f t="shared" si="12"/>
        <v>100</v>
      </c>
      <c r="T32" s="704" t="s">
        <v>18</v>
      </c>
      <c r="U32" s="705">
        <f t="shared" si="13"/>
        <v>100</v>
      </c>
      <c r="V32" s="704" t="s">
        <v>18</v>
      </c>
      <c r="W32" s="705">
        <f t="shared" si="14"/>
        <v>100</v>
      </c>
      <c r="X32" s="1353"/>
      <c r="Y32" s="373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6"/>
      <c r="Q33" s="706" t="str">
        <f t="shared" si="11"/>
        <v>项目建筑规模</v>
      </c>
      <c r="R33" s="707" t="s">
        <v>18</v>
      </c>
      <c r="S33" s="708" t="e">
        <f t="shared" si="12"/>
        <v>#N/A</v>
      </c>
      <c r="T33" s="707" t="s">
        <v>18</v>
      </c>
      <c r="U33" s="708" t="e">
        <f t="shared" si="13"/>
        <v>#N/A</v>
      </c>
      <c r="V33" s="707" t="s">
        <v>18</v>
      </c>
      <c r="W33" s="708" t="e">
        <f t="shared" si="14"/>
        <v>#N/A</v>
      </c>
      <c r="X33" s="709"/>
      <c r="Y33" s="3738"/>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6"/>
      <c r="Q34" s="1350" t="str">
        <f t="shared" si="11"/>
        <v>建筑结构</v>
      </c>
      <c r="R34" s="704" t="s">
        <v>18</v>
      </c>
      <c r="S34" s="705">
        <f t="shared" si="12"/>
        <v>100</v>
      </c>
      <c r="T34" s="704" t="s">
        <v>18</v>
      </c>
      <c r="U34" s="705">
        <f t="shared" si="13"/>
        <v>100</v>
      </c>
      <c r="V34" s="704" t="s">
        <v>18</v>
      </c>
      <c r="W34" s="705">
        <f t="shared" si="14"/>
        <v>100</v>
      </c>
      <c r="X34" s="1353"/>
      <c r="Y34" s="373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6"/>
      <c r="Q35" s="1350" t="str">
        <f t="shared" si="11"/>
        <v>建筑品质</v>
      </c>
      <c r="R35" s="704" t="s">
        <v>18</v>
      </c>
      <c r="S35" s="705">
        <f t="shared" si="12"/>
        <v>100</v>
      </c>
      <c r="T35" s="704" t="s">
        <v>18</v>
      </c>
      <c r="U35" s="705">
        <f t="shared" si="13"/>
        <v>100</v>
      </c>
      <c r="V35" s="704" t="s">
        <v>18</v>
      </c>
      <c r="W35" s="705">
        <f t="shared" si="14"/>
        <v>100</v>
      </c>
      <c r="X35" s="1353"/>
      <c r="Y35" s="373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6"/>
      <c r="Q36" s="1350" t="str">
        <f t="shared" si="11"/>
        <v>公共部分装修</v>
      </c>
      <c r="R36" s="704" t="s">
        <v>18</v>
      </c>
      <c r="S36" s="705">
        <f t="shared" si="12"/>
        <v>100</v>
      </c>
      <c r="T36" s="704" t="s">
        <v>18</v>
      </c>
      <c r="U36" s="705">
        <f t="shared" si="13"/>
        <v>100</v>
      </c>
      <c r="V36" s="704" t="s">
        <v>18</v>
      </c>
      <c r="W36" s="705">
        <f t="shared" si="14"/>
        <v>100</v>
      </c>
      <c r="X36" s="1353"/>
      <c r="Y36" s="373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1" t="str">
        <f t="shared" si="11"/>
        <v>成新度</v>
      </c>
      <c r="R37" s="700" t="s">
        <v>18</v>
      </c>
      <c r="S37" s="701" t="e">
        <f t="shared" si="12"/>
        <v>#N/A</v>
      </c>
      <c r="T37" s="700" t="s">
        <v>18</v>
      </c>
      <c r="U37" s="701" t="e">
        <f t="shared" si="13"/>
        <v>#N/A</v>
      </c>
      <c r="V37" s="700" t="s">
        <v>18</v>
      </c>
      <c r="W37" s="701" t="e">
        <f t="shared" si="14"/>
        <v>#N/A</v>
      </c>
      <c r="X37" s="702"/>
      <c r="Y37" s="3738"/>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6" t="s">
        <v>1696</v>
      </c>
      <c r="Q38" s="1350" t="str">
        <f t="shared" si="11"/>
        <v>物业管理</v>
      </c>
      <c r="R38" s="704" t="s">
        <v>18</v>
      </c>
      <c r="S38" s="705">
        <f t="shared" si="12"/>
        <v>100</v>
      </c>
      <c r="T38" s="704" t="s">
        <v>18</v>
      </c>
      <c r="U38" s="705">
        <f t="shared" si="13"/>
        <v>100</v>
      </c>
      <c r="V38" s="704" t="s">
        <v>18</v>
      </c>
      <c r="W38" s="705">
        <f t="shared" si="14"/>
        <v>100</v>
      </c>
      <c r="X38" s="1353"/>
      <c r="Y38" s="373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6"/>
      <c r="Q39" s="1350" t="str">
        <f t="shared" si="11"/>
        <v>市政基础设施</v>
      </c>
      <c r="R39" s="704" t="s">
        <v>18</v>
      </c>
      <c r="S39" s="705">
        <f t="shared" si="12"/>
        <v>100</v>
      </c>
      <c r="T39" s="704" t="s">
        <v>18</v>
      </c>
      <c r="U39" s="705">
        <f t="shared" si="13"/>
        <v>100</v>
      </c>
      <c r="V39" s="704" t="s">
        <v>18</v>
      </c>
      <c r="W39" s="705">
        <f t="shared" si="14"/>
        <v>100</v>
      </c>
      <c r="X39" s="1353"/>
      <c r="Y39" s="373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6"/>
      <c r="Q40" s="1350" t="str">
        <f t="shared" si="11"/>
        <v>房型</v>
      </c>
      <c r="R40" s="704" t="s">
        <v>18</v>
      </c>
      <c r="S40" s="705">
        <f t="shared" si="12"/>
        <v>100</v>
      </c>
      <c r="T40" s="704" t="s">
        <v>18</v>
      </c>
      <c r="U40" s="705">
        <f t="shared" si="13"/>
        <v>100</v>
      </c>
      <c r="V40" s="704" t="s">
        <v>18</v>
      </c>
      <c r="W40" s="705">
        <f t="shared" si="14"/>
        <v>100</v>
      </c>
      <c r="X40" s="1353"/>
      <c r="Y40" s="373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6"/>
      <c r="Q41" s="706" t="str">
        <f t="shared" si="11"/>
        <v>单套/主力户型建筑面积</v>
      </c>
      <c r="R41" s="707" t="s">
        <v>18</v>
      </c>
      <c r="S41" s="708">
        <f t="shared" si="12"/>
        <v>100</v>
      </c>
      <c r="T41" s="707" t="s">
        <v>18</v>
      </c>
      <c r="U41" s="708">
        <f t="shared" si="13"/>
        <v>100</v>
      </c>
      <c r="V41" s="707" t="s">
        <v>18</v>
      </c>
      <c r="W41" s="708">
        <f t="shared" si="14"/>
        <v>100</v>
      </c>
      <c r="X41" s="709"/>
      <c r="Y41" s="3738"/>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6"/>
      <c r="Q42" s="1350" t="str">
        <f t="shared" si="11"/>
        <v>内部装修</v>
      </c>
      <c r="R42" s="704" t="s">
        <v>18</v>
      </c>
      <c r="S42" s="705">
        <f t="shared" si="12"/>
        <v>100</v>
      </c>
      <c r="T42" s="704" t="s">
        <v>18</v>
      </c>
      <c r="U42" s="705">
        <f t="shared" si="13"/>
        <v>100</v>
      </c>
      <c r="V42" s="704" t="s">
        <v>18</v>
      </c>
      <c r="W42" s="705">
        <f t="shared" si="14"/>
        <v>100</v>
      </c>
      <c r="X42" s="1353"/>
      <c r="Y42" s="373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6"/>
      <c r="Q43" s="1350" t="str">
        <f t="shared" si="11"/>
        <v>内部装修维护情况</v>
      </c>
      <c r="R43" s="704" t="s">
        <v>18</v>
      </c>
      <c r="S43" s="705">
        <f t="shared" si="12"/>
        <v>100</v>
      </c>
      <c r="T43" s="704" t="s">
        <v>18</v>
      </c>
      <c r="U43" s="705">
        <f t="shared" si="13"/>
        <v>100</v>
      </c>
      <c r="V43" s="704" t="s">
        <v>18</v>
      </c>
      <c r="W43" s="705">
        <f t="shared" si="14"/>
        <v>100</v>
      </c>
      <c r="X43" s="1353"/>
      <c r="Y43" s="373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6"/>
      <c r="Q44" s="1341">
        <f t="shared" si="11"/>
        <v>111</v>
      </c>
      <c r="R44" s="700" t="s">
        <v>18</v>
      </c>
      <c r="S44" s="701">
        <f t="shared" si="12"/>
        <v>100</v>
      </c>
      <c r="T44" s="700" t="s">
        <v>18</v>
      </c>
      <c r="U44" s="701">
        <f t="shared" si="13"/>
        <v>100</v>
      </c>
      <c r="V44" s="700" t="s">
        <v>18</v>
      </c>
      <c r="W44" s="701">
        <f t="shared" si="14"/>
        <v>100</v>
      </c>
      <c r="X44" s="702"/>
      <c r="Y44" s="3738"/>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6"/>
      <c r="Q45" s="1350">
        <f t="shared" si="11"/>
        <v>111</v>
      </c>
      <c r="R45" s="704" t="s">
        <v>18</v>
      </c>
      <c r="S45" s="705">
        <f t="shared" si="12"/>
        <v>100</v>
      </c>
      <c r="T45" s="704" t="s">
        <v>18</v>
      </c>
      <c r="U45" s="705">
        <f t="shared" si="13"/>
        <v>100</v>
      </c>
      <c r="V45" s="704" t="s">
        <v>18</v>
      </c>
      <c r="W45" s="705">
        <f t="shared" si="14"/>
        <v>100</v>
      </c>
      <c r="X45" s="1353"/>
      <c r="Y45" s="373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7"/>
      <c r="Q46" s="1350">
        <f t="shared" si="11"/>
        <v>111</v>
      </c>
      <c r="R46" s="704" t="s">
        <v>17</v>
      </c>
      <c r="S46" s="705">
        <f t="shared" si="12"/>
        <v>100</v>
      </c>
      <c r="T46" s="704" t="s">
        <v>17</v>
      </c>
      <c r="U46" s="705">
        <f t="shared" si="13"/>
        <v>100</v>
      </c>
      <c r="V46" s="704" t="s">
        <v>17</v>
      </c>
      <c r="W46" s="705">
        <f t="shared" si="14"/>
        <v>100</v>
      </c>
      <c r="X46" s="1353"/>
      <c r="Y46" s="373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31" t="str">
        <f>A47</f>
        <v>成交单价（元/平方米）</v>
      </c>
      <c r="Q47" s="3731"/>
      <c r="R47" s="3732">
        <f>E47</f>
        <v>0</v>
      </c>
      <c r="S47" s="3732"/>
      <c r="T47" s="3732">
        <f>G47</f>
        <v>0</v>
      </c>
      <c r="U47" s="3732"/>
      <c r="V47" s="3732">
        <f>I47</f>
        <v>0</v>
      </c>
      <c r="W47" s="3732"/>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01" t="s">
        <v>1771</v>
      </c>
      <c r="S4" s="3702"/>
      <c r="T4" s="3701" t="s">
        <v>1772</v>
      </c>
      <c r="U4" s="3702"/>
      <c r="V4" s="3726" t="s">
        <v>1773</v>
      </c>
      <c r="W4" s="3726"/>
      <c r="X4" s="1353"/>
      <c r="Y4" s="3701" t="s">
        <v>1775</v>
      </c>
      <c r="Z4" s="3702"/>
      <c r="AA4" s="3696" t="s">
        <v>1771</v>
      </c>
      <c r="AB4" s="3726" t="s">
        <v>1772</v>
      </c>
      <c r="AC4" s="3696" t="s">
        <v>1773</v>
      </c>
    </row>
    <row r="5" spans="1:29" ht="15">
      <c r="A5" s="358"/>
      <c r="B5" s="359"/>
      <c r="C5" s="3707" t="s">
        <v>1673</v>
      </c>
      <c r="D5" s="3708"/>
      <c r="E5" s="3705" t="s">
        <v>1674</v>
      </c>
      <c r="F5" s="3706"/>
      <c r="G5" s="3707" t="s">
        <v>1675</v>
      </c>
      <c r="H5" s="3708"/>
      <c r="I5" s="3707" t="s">
        <v>1676</v>
      </c>
      <c r="J5" s="3708"/>
      <c r="K5" s="559"/>
      <c r="L5" s="2713"/>
      <c r="M5" s="2714"/>
      <c r="N5" s="2714"/>
      <c r="O5" s="2714"/>
      <c r="P5" s="3720"/>
      <c r="Q5" s="3721"/>
      <c r="R5" s="3703"/>
      <c r="S5" s="3704"/>
      <c r="T5" s="3703"/>
      <c r="U5" s="3704"/>
      <c r="V5" s="3726"/>
      <c r="W5" s="3726"/>
      <c r="X5" s="1353"/>
      <c r="Y5" s="3703"/>
      <c r="Z5" s="3704"/>
      <c r="AA5" s="3697"/>
      <c r="AB5" s="3726"/>
      <c r="AC5" s="3697"/>
    </row>
    <row r="6" spans="1:29" ht="15.75" thickBot="1">
      <c r="A6" s="360"/>
      <c r="B6" s="361"/>
      <c r="C6" s="3709" t="s">
        <v>1677</v>
      </c>
      <c r="D6" s="3710"/>
      <c r="E6" s="3711" t="s">
        <v>1677</v>
      </c>
      <c r="F6" s="3712"/>
      <c r="G6" s="3709" t="s">
        <v>1677</v>
      </c>
      <c r="H6" s="3710"/>
      <c r="I6" s="3709" t="s">
        <v>1677</v>
      </c>
      <c r="J6" s="3710"/>
      <c r="K6" s="559" t="s">
        <v>1678</v>
      </c>
      <c r="L6" s="2713"/>
      <c r="M6" s="2714"/>
      <c r="N6" s="2714"/>
      <c r="O6" s="2714"/>
      <c r="P6" s="3722"/>
      <c r="Q6" s="3723"/>
      <c r="R6" s="3703"/>
      <c r="S6" s="3704"/>
      <c r="T6" s="3724"/>
      <c r="U6" s="3725"/>
      <c r="V6" s="3726"/>
      <c r="W6" s="3726"/>
      <c r="X6" s="1353"/>
      <c r="Y6" s="3724"/>
      <c r="Z6" s="3725"/>
      <c r="AA6" s="3698"/>
      <c r="AB6" s="3726"/>
      <c r="AC6" s="3698"/>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9" t="s">
        <v>1680</v>
      </c>
      <c r="Q7" s="3727"/>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3"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3"/>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3"/>
      <c r="Q11" s="1341" t="str">
        <f t="shared" si="6"/>
        <v>容积率</v>
      </c>
      <c r="R11" s="700" t="s">
        <v>14</v>
      </c>
      <c r="S11" s="701" t="e">
        <f t="shared" si="0"/>
        <v>#N/A</v>
      </c>
      <c r="T11" s="700" t="s">
        <v>14</v>
      </c>
      <c r="U11" s="701" t="e">
        <f t="shared" si="1"/>
        <v>#N/A</v>
      </c>
      <c r="V11" s="700" t="s">
        <v>14</v>
      </c>
      <c r="W11" s="701" t="e">
        <f t="shared" si="2"/>
        <v>#N/A</v>
      </c>
      <c r="X11" s="702"/>
      <c r="Y11" s="3643"/>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3"/>
      <c r="Q12" s="1341">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3"/>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3"/>
      <c r="Q14" s="1341">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0" t="s">
        <v>1691</v>
      </c>
      <c r="Q15" s="1350" t="str">
        <f t="shared" si="6"/>
        <v>商业繁华度</v>
      </c>
      <c r="R15" s="704" t="s">
        <v>14</v>
      </c>
      <c r="S15" s="705">
        <f t="shared" si="0"/>
        <v>100</v>
      </c>
      <c r="T15" s="704" t="s">
        <v>14</v>
      </c>
      <c r="U15" s="705">
        <f t="shared" si="1"/>
        <v>100</v>
      </c>
      <c r="V15" s="704" t="s">
        <v>14</v>
      </c>
      <c r="W15" s="705">
        <f t="shared" si="2"/>
        <v>100</v>
      </c>
      <c r="X15" s="1353"/>
      <c r="Y15" s="373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41"/>
      <c r="Q16" s="1350"/>
      <c r="R16" s="704"/>
      <c r="S16" s="705"/>
      <c r="T16" s="704"/>
      <c r="U16" s="705"/>
      <c r="V16" s="704"/>
      <c r="W16" s="705"/>
      <c r="X16" s="1353"/>
      <c r="Y16" s="373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1"/>
      <c r="Q17" s="1350" t="str">
        <f>B17</f>
        <v>交通便捷度</v>
      </c>
      <c r="R17" s="704" t="s">
        <v>14</v>
      </c>
      <c r="S17" s="705">
        <f>F17</f>
        <v>100</v>
      </c>
      <c r="T17" s="704" t="s">
        <v>14</v>
      </c>
      <c r="U17" s="705">
        <f>H17</f>
        <v>100</v>
      </c>
      <c r="V17" s="704" t="s">
        <v>14</v>
      </c>
      <c r="W17" s="705">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41"/>
      <c r="Q18" s="1350"/>
      <c r="R18" s="704"/>
      <c r="S18" s="705"/>
      <c r="T18" s="704"/>
      <c r="U18" s="705"/>
      <c r="V18" s="704"/>
      <c r="W18" s="705"/>
      <c r="X18" s="1353"/>
      <c r="Y18" s="373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1"/>
      <c r="Q19" s="1350" t="str">
        <f>B19</f>
        <v>公共配套设施</v>
      </c>
      <c r="R19" s="704" t="s">
        <v>14</v>
      </c>
      <c r="S19" s="705">
        <f>F19</f>
        <v>100</v>
      </c>
      <c r="T19" s="704" t="s">
        <v>14</v>
      </c>
      <c r="U19" s="705">
        <f>H19</f>
        <v>100</v>
      </c>
      <c r="V19" s="704" t="s">
        <v>14</v>
      </c>
      <c r="W19" s="705">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41"/>
      <c r="Q20" s="1350"/>
      <c r="R20" s="704"/>
      <c r="S20" s="705"/>
      <c r="T20" s="704"/>
      <c r="U20" s="705"/>
      <c r="V20" s="704"/>
      <c r="W20" s="705"/>
      <c r="X20" s="1353"/>
      <c r="Y20" s="373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1"/>
      <c r="Q21" s="1350" t="str">
        <f>B21</f>
        <v>基础设施水平</v>
      </c>
      <c r="R21" s="704" t="s">
        <v>14</v>
      </c>
      <c r="S21" s="705">
        <f>F21</f>
        <v>100</v>
      </c>
      <c r="T21" s="704" t="s">
        <v>14</v>
      </c>
      <c r="U21" s="705">
        <f>H21</f>
        <v>100</v>
      </c>
      <c r="V21" s="704" t="s">
        <v>14</v>
      </c>
      <c r="W21" s="705">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41"/>
      <c r="Q22" s="1350"/>
      <c r="R22" s="704"/>
      <c r="S22" s="705"/>
      <c r="T22" s="704"/>
      <c r="U22" s="705"/>
      <c r="V22" s="704"/>
      <c r="W22" s="705"/>
      <c r="X22" s="1353"/>
      <c r="Y22" s="373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1"/>
      <c r="Q23" s="1350" t="str">
        <f>B23</f>
        <v>自然及人文环境</v>
      </c>
      <c r="R23" s="704" t="s">
        <v>14</v>
      </c>
      <c r="S23" s="705">
        <f>F23</f>
        <v>100</v>
      </c>
      <c r="T23" s="704" t="s">
        <v>14</v>
      </c>
      <c r="U23" s="705">
        <f>H23</f>
        <v>100</v>
      </c>
      <c r="V23" s="704" t="s">
        <v>14</v>
      </c>
      <c r="W23" s="705">
        <f>J23</f>
        <v>100</v>
      </c>
      <c r="X23" s="1353"/>
      <c r="Y23" s="373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41"/>
      <c r="Q24" s="1350"/>
      <c r="R24" s="704"/>
      <c r="S24" s="705"/>
      <c r="T24" s="704"/>
      <c r="U24" s="705"/>
      <c r="V24" s="704"/>
      <c r="W24" s="705"/>
      <c r="X24" s="1353"/>
      <c r="Y24" s="373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1"/>
      <c r="Q25" s="1350" t="str">
        <f t="shared" ref="Q25:Q46" si="11">B25</f>
        <v>临街状况</v>
      </c>
      <c r="R25" s="704" t="s">
        <v>14</v>
      </c>
      <c r="S25" s="705">
        <f>F25</f>
        <v>100</v>
      </c>
      <c r="T25" s="704" t="s">
        <v>14</v>
      </c>
      <c r="U25" s="705">
        <f>H25</f>
        <v>100</v>
      </c>
      <c r="V25" s="704" t="s">
        <v>14</v>
      </c>
      <c r="W25" s="705">
        <f>J25</f>
        <v>100</v>
      </c>
      <c r="X25" s="1353"/>
      <c r="Y25" s="373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1"/>
      <c r="Q26" s="1350" t="str">
        <f t="shared" si="11"/>
        <v>平面位置/可视性</v>
      </c>
      <c r="R26" s="704" t="s">
        <v>14</v>
      </c>
      <c r="S26" s="705">
        <f>F26</f>
        <v>100</v>
      </c>
      <c r="T26" s="704" t="s">
        <v>14</v>
      </c>
      <c r="U26" s="705">
        <f>H26</f>
        <v>100</v>
      </c>
      <c r="V26" s="704" t="s">
        <v>14</v>
      </c>
      <c r="W26" s="705">
        <f>J26</f>
        <v>100</v>
      </c>
      <c r="X26" s="1353"/>
      <c r="Y26" s="373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41"/>
      <c r="Q27" s="1341" t="str">
        <f t="shared" si="11"/>
        <v>人流量</v>
      </c>
      <c r="R27" s="700" t="s">
        <v>14</v>
      </c>
      <c r="S27" s="701">
        <f>F27</f>
        <v>100</v>
      </c>
      <c r="T27" s="700" t="s">
        <v>14</v>
      </c>
      <c r="U27" s="701">
        <f>H27</f>
        <v>100</v>
      </c>
      <c r="V27" s="700" t="s">
        <v>14</v>
      </c>
      <c r="W27" s="701">
        <f>J27</f>
        <v>100</v>
      </c>
      <c r="X27" s="702"/>
      <c r="Y27" s="373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1"/>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3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1"/>
      <c r="Q29" s="1350">
        <f t="shared" si="11"/>
        <v>111</v>
      </c>
      <c r="R29" s="704" t="s">
        <v>14</v>
      </c>
      <c r="S29" s="705">
        <f t="shared" si="12"/>
        <v>100</v>
      </c>
      <c r="T29" s="704" t="s">
        <v>14</v>
      </c>
      <c r="U29" s="705">
        <f t="shared" si="13"/>
        <v>100</v>
      </c>
      <c r="V29" s="704" t="s">
        <v>14</v>
      </c>
      <c r="W29" s="705">
        <f t="shared" si="14"/>
        <v>100</v>
      </c>
      <c r="X29" s="1353"/>
      <c r="Y29" s="373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1"/>
      <c r="Q30" s="1350">
        <f t="shared" si="11"/>
        <v>111</v>
      </c>
      <c r="R30" s="704" t="s">
        <v>14</v>
      </c>
      <c r="S30" s="705">
        <f t="shared" si="12"/>
        <v>100</v>
      </c>
      <c r="T30" s="704" t="s">
        <v>14</v>
      </c>
      <c r="U30" s="705">
        <f t="shared" si="13"/>
        <v>100</v>
      </c>
      <c r="V30" s="704" t="s">
        <v>14</v>
      </c>
      <c r="W30" s="705">
        <f t="shared" si="14"/>
        <v>100</v>
      </c>
      <c r="X30" s="1353"/>
      <c r="Y30" s="373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1"/>
      <c r="Q31" s="1350">
        <f t="shared" si="11"/>
        <v>111</v>
      </c>
      <c r="R31" s="704" t="s">
        <v>14</v>
      </c>
      <c r="S31" s="705">
        <f t="shared" si="12"/>
        <v>100</v>
      </c>
      <c r="T31" s="704" t="s">
        <v>14</v>
      </c>
      <c r="U31" s="705">
        <f t="shared" si="13"/>
        <v>100</v>
      </c>
      <c r="V31" s="704" t="s">
        <v>14</v>
      </c>
      <c r="W31" s="705">
        <f t="shared" si="14"/>
        <v>100</v>
      </c>
      <c r="X31" s="1353"/>
      <c r="Y31" s="373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5" t="s">
        <v>1696</v>
      </c>
      <c r="Q32" s="1350" t="str">
        <f t="shared" si="11"/>
        <v>商业类型</v>
      </c>
      <c r="R32" s="704" t="s">
        <v>14</v>
      </c>
      <c r="S32" s="705">
        <f t="shared" si="12"/>
        <v>100</v>
      </c>
      <c r="T32" s="704" t="s">
        <v>14</v>
      </c>
      <c r="U32" s="705">
        <f t="shared" si="13"/>
        <v>100</v>
      </c>
      <c r="V32" s="704" t="s">
        <v>14</v>
      </c>
      <c r="W32" s="705">
        <f t="shared" si="14"/>
        <v>100</v>
      </c>
      <c r="X32" s="1353"/>
      <c r="Y32" s="373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6" t="str">
        <f t="shared" si="11"/>
        <v>项目建筑规模</v>
      </c>
      <c r="R33" s="707" t="s">
        <v>14</v>
      </c>
      <c r="S33" s="708" t="e">
        <f t="shared" si="12"/>
        <v>#N/A</v>
      </c>
      <c r="T33" s="707" t="s">
        <v>14</v>
      </c>
      <c r="U33" s="708" t="e">
        <f t="shared" si="13"/>
        <v>#N/A</v>
      </c>
      <c r="V33" s="707" t="s">
        <v>14</v>
      </c>
      <c r="W33" s="708" t="e">
        <f t="shared" si="14"/>
        <v>#N/A</v>
      </c>
      <c r="X33" s="709"/>
      <c r="Y33" s="3738"/>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6"/>
      <c r="Q34" s="1350" t="str">
        <f t="shared" si="11"/>
        <v>建筑结构</v>
      </c>
      <c r="R34" s="704" t="s">
        <v>14</v>
      </c>
      <c r="S34" s="705">
        <f t="shared" si="12"/>
        <v>100</v>
      </c>
      <c r="T34" s="704" t="s">
        <v>14</v>
      </c>
      <c r="U34" s="705">
        <f t="shared" si="13"/>
        <v>100</v>
      </c>
      <c r="V34" s="704" t="s">
        <v>14</v>
      </c>
      <c r="W34" s="705">
        <f t="shared" si="14"/>
        <v>100</v>
      </c>
      <c r="X34" s="1353"/>
      <c r="Y34" s="373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6"/>
      <c r="Q35" s="1350" t="str">
        <f t="shared" si="11"/>
        <v>公共部分装修</v>
      </c>
      <c r="R35" s="704" t="s">
        <v>14</v>
      </c>
      <c r="S35" s="705">
        <f t="shared" si="12"/>
        <v>100</v>
      </c>
      <c r="T35" s="704" t="s">
        <v>14</v>
      </c>
      <c r="U35" s="705">
        <f t="shared" si="13"/>
        <v>100</v>
      </c>
      <c r="V35" s="704" t="s">
        <v>14</v>
      </c>
      <c r="W35" s="705">
        <f t="shared" si="14"/>
        <v>100</v>
      </c>
      <c r="X35" s="1353"/>
      <c r="Y35" s="373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0" t="str">
        <f t="shared" si="11"/>
        <v>成新度</v>
      </c>
      <c r="R36" s="704" t="s">
        <v>14</v>
      </c>
      <c r="S36" s="705" t="e">
        <f t="shared" si="12"/>
        <v>#N/A</v>
      </c>
      <c r="T36" s="704" t="s">
        <v>14</v>
      </c>
      <c r="U36" s="705" t="e">
        <f t="shared" si="13"/>
        <v>#N/A</v>
      </c>
      <c r="V36" s="704" t="s">
        <v>14</v>
      </c>
      <c r="W36" s="705" t="e">
        <f t="shared" si="14"/>
        <v>#N/A</v>
      </c>
      <c r="X36" s="1353"/>
      <c r="Y36" s="373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6"/>
      <c r="Q37" s="1341" t="str">
        <f t="shared" si="11"/>
        <v>市政基础设施</v>
      </c>
      <c r="R37" s="700" t="s">
        <v>14</v>
      </c>
      <c r="S37" s="701">
        <f t="shared" si="12"/>
        <v>100</v>
      </c>
      <c r="T37" s="700" t="s">
        <v>14</v>
      </c>
      <c r="U37" s="701">
        <f t="shared" si="13"/>
        <v>100</v>
      </c>
      <c r="V37" s="700" t="s">
        <v>14</v>
      </c>
      <c r="W37" s="701">
        <f t="shared" si="14"/>
        <v>100</v>
      </c>
      <c r="X37" s="702"/>
      <c r="Y37" s="3738"/>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6" t="s">
        <v>1696</v>
      </c>
      <c r="Q38" s="1350" t="str">
        <f t="shared" si="11"/>
        <v>业态</v>
      </c>
      <c r="R38" s="704" t="s">
        <v>14</v>
      </c>
      <c r="S38" s="705">
        <f t="shared" si="12"/>
        <v>100</v>
      </c>
      <c r="T38" s="704" t="s">
        <v>14</v>
      </c>
      <c r="U38" s="705">
        <f t="shared" si="13"/>
        <v>100</v>
      </c>
      <c r="V38" s="704" t="s">
        <v>14</v>
      </c>
      <c r="W38" s="705">
        <f t="shared" si="14"/>
        <v>100</v>
      </c>
      <c r="X38" s="1353"/>
      <c r="Y38" s="373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6"/>
      <c r="Q39" s="1350" t="str">
        <f t="shared" si="11"/>
        <v>层高</v>
      </c>
      <c r="R39" s="704" t="s">
        <v>14</v>
      </c>
      <c r="S39" s="705">
        <f t="shared" si="12"/>
        <v>100</v>
      </c>
      <c r="T39" s="704" t="s">
        <v>14</v>
      </c>
      <c r="U39" s="705">
        <f t="shared" si="13"/>
        <v>100</v>
      </c>
      <c r="V39" s="704" t="s">
        <v>14</v>
      </c>
      <c r="W39" s="705">
        <f t="shared" si="14"/>
        <v>100</v>
      </c>
      <c r="X39" s="1353"/>
      <c r="Y39" s="373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0" t="str">
        <f t="shared" si="11"/>
        <v>单套建筑面积</v>
      </c>
      <c r="R40" s="704" t="s">
        <v>14</v>
      </c>
      <c r="S40" s="705">
        <f t="shared" si="12"/>
        <v>100</v>
      </c>
      <c r="T40" s="704" t="s">
        <v>14</v>
      </c>
      <c r="U40" s="705">
        <f t="shared" si="13"/>
        <v>100</v>
      </c>
      <c r="V40" s="704" t="s">
        <v>14</v>
      </c>
      <c r="W40" s="705">
        <f t="shared" si="14"/>
        <v>100</v>
      </c>
      <c r="X40" s="1353"/>
      <c r="Y40" s="373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6" t="str">
        <f t="shared" si="11"/>
        <v>进深比</v>
      </c>
      <c r="R41" s="707" t="s">
        <v>14</v>
      </c>
      <c r="S41" s="708">
        <f t="shared" si="12"/>
        <v>100</v>
      </c>
      <c r="T41" s="707" t="s">
        <v>14</v>
      </c>
      <c r="U41" s="708">
        <f t="shared" si="13"/>
        <v>100</v>
      </c>
      <c r="V41" s="707" t="s">
        <v>14</v>
      </c>
      <c r="W41" s="708">
        <f t="shared" si="14"/>
        <v>100</v>
      </c>
      <c r="X41" s="709"/>
      <c r="Y41" s="3738"/>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6"/>
      <c r="Q42" s="1350" t="str">
        <f t="shared" si="11"/>
        <v>内部装修</v>
      </c>
      <c r="R42" s="704" t="s">
        <v>14</v>
      </c>
      <c r="S42" s="705">
        <f t="shared" si="12"/>
        <v>100</v>
      </c>
      <c r="T42" s="704" t="s">
        <v>14</v>
      </c>
      <c r="U42" s="705">
        <f t="shared" si="13"/>
        <v>100</v>
      </c>
      <c r="V42" s="704" t="s">
        <v>14</v>
      </c>
      <c r="W42" s="705">
        <f t="shared" si="14"/>
        <v>100</v>
      </c>
      <c r="X42" s="1353"/>
      <c r="Y42" s="373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6"/>
      <c r="Q43" s="1350" t="str">
        <f t="shared" si="11"/>
        <v>内部装修维护情况</v>
      </c>
      <c r="R43" s="704" t="s">
        <v>14</v>
      </c>
      <c r="S43" s="705">
        <f t="shared" si="12"/>
        <v>100</v>
      </c>
      <c r="T43" s="704" t="s">
        <v>14</v>
      </c>
      <c r="U43" s="705">
        <f t="shared" si="13"/>
        <v>100</v>
      </c>
      <c r="V43" s="704" t="s">
        <v>14</v>
      </c>
      <c r="W43" s="705">
        <f t="shared" si="14"/>
        <v>100</v>
      </c>
      <c r="X43" s="1353"/>
      <c r="Y43" s="373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1">
        <f t="shared" si="11"/>
        <v>111</v>
      </c>
      <c r="R44" s="700" t="s">
        <v>14</v>
      </c>
      <c r="S44" s="701">
        <f t="shared" si="12"/>
        <v>100</v>
      </c>
      <c r="T44" s="700" t="s">
        <v>14</v>
      </c>
      <c r="U44" s="701">
        <f t="shared" si="13"/>
        <v>100</v>
      </c>
      <c r="V44" s="700" t="s">
        <v>14</v>
      </c>
      <c r="W44" s="701">
        <f t="shared" si="14"/>
        <v>100</v>
      </c>
      <c r="X44" s="702"/>
      <c r="Y44" s="3738"/>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0">
        <f t="shared" si="11"/>
        <v>111</v>
      </c>
      <c r="R45" s="704" t="s">
        <v>14</v>
      </c>
      <c r="S45" s="705">
        <f t="shared" si="12"/>
        <v>100</v>
      </c>
      <c r="T45" s="704" t="s">
        <v>14</v>
      </c>
      <c r="U45" s="705">
        <f t="shared" si="13"/>
        <v>100</v>
      </c>
      <c r="V45" s="704" t="s">
        <v>14</v>
      </c>
      <c r="W45" s="705">
        <f t="shared" si="14"/>
        <v>100</v>
      </c>
      <c r="X45" s="1353"/>
      <c r="Y45" s="373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0">
        <f t="shared" si="11"/>
        <v>111</v>
      </c>
      <c r="R46" s="704" t="s">
        <v>14</v>
      </c>
      <c r="S46" s="705">
        <f t="shared" si="12"/>
        <v>100</v>
      </c>
      <c r="T46" s="704" t="s">
        <v>14</v>
      </c>
      <c r="U46" s="705">
        <f t="shared" si="13"/>
        <v>100</v>
      </c>
      <c r="V46" s="704" t="s">
        <v>14</v>
      </c>
      <c r="W46" s="705">
        <f t="shared" si="14"/>
        <v>100</v>
      </c>
      <c r="X46" s="1353"/>
      <c r="Y46" s="373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731" t="str">
        <f>A47</f>
        <v>成交单价（元/平方米）</v>
      </c>
      <c r="Q47" s="3731"/>
      <c r="R47" s="3726">
        <f>E47</f>
        <v>0</v>
      </c>
      <c r="S47" s="3726"/>
      <c r="T47" s="3726">
        <f>G47</f>
        <v>0</v>
      </c>
      <c r="U47" s="3726"/>
      <c r="V47" s="3726">
        <f>I47</f>
        <v>0</v>
      </c>
      <c r="W47" s="3726"/>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22" zoomScale="70" zoomScaleNormal="70" zoomScaleSheetLayoutView="7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3.7</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50" t="s">
        <v>1775</v>
      </c>
      <c r="Q4" s="3751"/>
      <c r="R4" s="3743" t="s">
        <v>1771</v>
      </c>
      <c r="S4" s="3744"/>
      <c r="T4" s="3743" t="s">
        <v>1772</v>
      </c>
      <c r="U4" s="3744"/>
      <c r="V4" s="3754" t="s">
        <v>1773</v>
      </c>
      <c r="W4" s="3754"/>
      <c r="X4" s="1956"/>
      <c r="Y4" s="3743" t="s">
        <v>1775</v>
      </c>
      <c r="Z4" s="3744"/>
      <c r="AA4" s="3742" t="s">
        <v>1771</v>
      </c>
      <c r="AB4" s="3742" t="s">
        <v>1772</v>
      </c>
      <c r="AC4" s="3747" t="s">
        <v>1773</v>
      </c>
    </row>
    <row r="5" spans="1:29" ht="15">
      <c r="A5" s="358"/>
      <c r="B5" s="359"/>
      <c r="C5" s="3746" t="s">
        <v>3479</v>
      </c>
      <c r="D5" s="3708"/>
      <c r="E5" s="3745" t="s">
        <v>3513</v>
      </c>
      <c r="F5" s="3706"/>
      <c r="G5" s="3746" t="s">
        <v>3514</v>
      </c>
      <c r="H5" s="3708"/>
      <c r="I5" s="3746" t="s">
        <v>3515</v>
      </c>
      <c r="J5" s="3708"/>
      <c r="K5" s="559"/>
      <c r="L5" s="2713"/>
      <c r="M5" s="2714"/>
      <c r="N5" s="2714"/>
      <c r="O5" s="2714"/>
      <c r="P5" s="3752"/>
      <c r="Q5" s="3721"/>
      <c r="R5" s="3703"/>
      <c r="S5" s="3704"/>
      <c r="T5" s="3703"/>
      <c r="U5" s="3704"/>
      <c r="V5" s="3726"/>
      <c r="W5" s="3726"/>
      <c r="X5" s="1353"/>
      <c r="Y5" s="3703"/>
      <c r="Z5" s="3704"/>
      <c r="AA5" s="3697"/>
      <c r="AB5" s="3697"/>
      <c r="AC5" s="3748"/>
    </row>
    <row r="6" spans="1:29" ht="15.75" thickBot="1">
      <c r="A6" s="360"/>
      <c r="B6" s="361"/>
      <c r="C6" s="3709" t="s">
        <v>1677</v>
      </c>
      <c r="D6" s="3710"/>
      <c r="E6" s="3711" t="s">
        <v>1677</v>
      </c>
      <c r="F6" s="3712"/>
      <c r="G6" s="3709" t="s">
        <v>1677</v>
      </c>
      <c r="H6" s="3710"/>
      <c r="I6" s="3709" t="s">
        <v>1677</v>
      </c>
      <c r="J6" s="3710"/>
      <c r="K6" s="559" t="s">
        <v>1678</v>
      </c>
      <c r="L6" s="2713"/>
      <c r="M6" s="2714"/>
      <c r="N6" s="2714"/>
      <c r="O6" s="2714"/>
      <c r="P6" s="3753"/>
      <c r="Q6" s="3723"/>
      <c r="R6" s="3703"/>
      <c r="S6" s="3704"/>
      <c r="T6" s="3724"/>
      <c r="U6" s="3725"/>
      <c r="V6" s="3726"/>
      <c r="W6" s="3726"/>
      <c r="X6" s="1353"/>
      <c r="Y6" s="3724"/>
      <c r="Z6" s="3725"/>
      <c r="AA6" s="3698"/>
      <c r="AB6" s="3698"/>
      <c r="AC6" s="3749"/>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55" t="s">
        <v>1680</v>
      </c>
      <c r="Q7" s="3727"/>
      <c r="R7" s="700" t="s">
        <v>14</v>
      </c>
      <c r="S7" s="701">
        <f t="shared" ref="S7:S15" si="0">F7</f>
        <v>100</v>
      </c>
      <c r="T7" s="700" t="s">
        <v>14</v>
      </c>
      <c r="U7" s="701">
        <f t="shared" ref="U7:U15" si="1">H7</f>
        <v>100</v>
      </c>
      <c r="V7" s="700" t="s">
        <v>14</v>
      </c>
      <c r="W7" s="701">
        <f t="shared" ref="W7:W15" si="2">J7</f>
        <v>100</v>
      </c>
      <c r="X7" s="702"/>
      <c r="Y7" s="3699" t="s">
        <v>1680</v>
      </c>
      <c r="Z7" s="3700"/>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55" t="s">
        <v>1683</v>
      </c>
      <c r="Q8" s="3700"/>
      <c r="R8" s="700" t="s">
        <v>14</v>
      </c>
      <c r="S8" s="701">
        <f t="shared" si="0"/>
        <v>105</v>
      </c>
      <c r="T8" s="700" t="s">
        <v>14</v>
      </c>
      <c r="U8" s="701">
        <f t="shared" si="1"/>
        <v>105</v>
      </c>
      <c r="V8" s="700" t="s">
        <v>14</v>
      </c>
      <c r="W8" s="701">
        <f t="shared" si="2"/>
        <v>105</v>
      </c>
      <c r="X8" s="702"/>
      <c r="Y8" s="3699" t="s">
        <v>1683</v>
      </c>
      <c r="Z8" s="3700"/>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3"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3483</v>
      </c>
      <c r="F10" s="127">
        <f>SUMIF(66:66,E10,67:67)-SUMIF(66:66,C10,67:67)+100</f>
        <v>100</v>
      </c>
      <c r="G10" s="3432" t="s">
        <v>3487</v>
      </c>
      <c r="H10" s="127">
        <f>SUMIF(66:66,G10,67:67)-SUMIF(66:66,C10,67:67)+100</f>
        <v>100</v>
      </c>
      <c r="I10" s="3432" t="s">
        <v>3487</v>
      </c>
      <c r="J10" s="127">
        <f>SUMIF(66:66,I10,67:67)-SUMIF(66:66,C10,67:67)+100</f>
        <v>100</v>
      </c>
      <c r="K10" s="560"/>
      <c r="L10" s="2717"/>
      <c r="M10" s="2718"/>
      <c r="N10" s="2718"/>
      <c r="O10" s="2718"/>
      <c r="P10" s="3713"/>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3"/>
      <c r="Q11" s="1341" t="str">
        <f t="shared" si="6"/>
        <v>容积率</v>
      </c>
      <c r="R11" s="700" t="s">
        <v>14</v>
      </c>
      <c r="S11" s="701">
        <f t="shared" si="0"/>
        <v>100</v>
      </c>
      <c r="T11" s="700" t="s">
        <v>14</v>
      </c>
      <c r="U11" s="701">
        <f t="shared" si="1"/>
        <v>100</v>
      </c>
      <c r="V11" s="700" t="s">
        <v>14</v>
      </c>
      <c r="W11" s="701">
        <f t="shared" si="2"/>
        <v>100</v>
      </c>
      <c r="X11" s="702"/>
      <c r="Y11" s="3643"/>
      <c r="Z11" s="52" t="str">
        <f t="shared" si="7"/>
        <v>容积率</v>
      </c>
      <c r="AA11" s="703">
        <f t="shared" si="3"/>
        <v>1</v>
      </c>
      <c r="AB11" s="703">
        <f t="shared" si="4"/>
        <v>1</v>
      </c>
      <c r="AC11" s="1957">
        <f t="shared" si="5"/>
        <v>1</v>
      </c>
    </row>
    <row r="12" spans="1:29" s="108" customFormat="1" ht="15">
      <c r="A12" s="382"/>
      <c r="B12" s="3827" t="s">
        <v>3577</v>
      </c>
      <c r="C12" s="3471" t="s">
        <v>3578</v>
      </c>
      <c r="D12" s="384">
        <v>100</v>
      </c>
      <c r="E12" s="3471" t="s">
        <v>3578</v>
      </c>
      <c r="F12" s="127">
        <f>SUMIF(71:71,E12,72:72)-SUMIF(71:71,C12,72:72)+100</f>
        <v>100</v>
      </c>
      <c r="G12" s="3828" t="s">
        <v>3579</v>
      </c>
      <c r="H12" s="127">
        <f>SUMIF(71:71,G12,72:72)-SUMIF(71:71,C12,72:72)+100</f>
        <v>95</v>
      </c>
      <c r="I12" s="3471" t="s">
        <v>3578</v>
      </c>
      <c r="J12" s="127">
        <f>SUMIF(71:71,I12,72:72)-SUMIF(71:71,C12,72:72)+100</f>
        <v>100</v>
      </c>
      <c r="K12" s="562"/>
      <c r="L12" s="2715"/>
      <c r="M12" s="2716"/>
      <c r="N12" s="2716"/>
      <c r="O12" s="2716"/>
      <c r="P12" s="3713"/>
      <c r="Q12" s="1341" t="str">
        <f t="shared" si="6"/>
        <v>项目产权单一性</v>
      </c>
      <c r="R12" s="700" t="s">
        <v>14</v>
      </c>
      <c r="S12" s="701">
        <f t="shared" si="0"/>
        <v>100</v>
      </c>
      <c r="T12" s="700" t="s">
        <v>14</v>
      </c>
      <c r="U12" s="701">
        <f t="shared" si="1"/>
        <v>95</v>
      </c>
      <c r="V12" s="700" t="s">
        <v>14</v>
      </c>
      <c r="W12" s="701">
        <f t="shared" si="2"/>
        <v>100</v>
      </c>
      <c r="X12" s="702"/>
      <c r="Y12" s="3643"/>
      <c r="Z12" s="52" t="str">
        <f t="shared" si="7"/>
        <v>项目产权单一性</v>
      </c>
      <c r="AA12" s="703">
        <f>D12/F12</f>
        <v>1</v>
      </c>
      <c r="AB12" s="703">
        <f>D12/H12</f>
        <v>1.0526315789473684</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3"/>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3"/>
      <c r="Q14" s="1341">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103</v>
      </c>
      <c r="I15" s="393"/>
      <c r="J15" s="392">
        <f>SUMIF(77:77,I16,78:78)-SUMIF(77:77,C16,78:78)+100</f>
        <v>100</v>
      </c>
      <c r="K15" s="563">
        <v>3</v>
      </c>
      <c r="L15" s="2720"/>
      <c r="M15" s="2714"/>
      <c r="N15" s="2714"/>
      <c r="O15" s="2714"/>
      <c r="P15" s="3740" t="s">
        <v>1691</v>
      </c>
      <c r="Q15" s="1350" t="str">
        <f t="shared" si="6"/>
        <v>办公集聚程度</v>
      </c>
      <c r="R15" s="704" t="s">
        <v>14</v>
      </c>
      <c r="S15" s="705">
        <f t="shared" si="0"/>
        <v>100</v>
      </c>
      <c r="T15" s="704" t="s">
        <v>14</v>
      </c>
      <c r="U15" s="705">
        <f t="shared" si="1"/>
        <v>103</v>
      </c>
      <c r="V15" s="704" t="s">
        <v>14</v>
      </c>
      <c r="W15" s="705">
        <f t="shared" si="2"/>
        <v>100</v>
      </c>
      <c r="X15" s="1353"/>
      <c r="Y15" s="3733" t="s">
        <v>1691</v>
      </c>
      <c r="Z15" s="1354" t="str">
        <f t="shared" si="7"/>
        <v>办公集聚程度</v>
      </c>
      <c r="AA15" s="1351">
        <f t="shared" si="3"/>
        <v>1</v>
      </c>
      <c r="AB15" s="1351">
        <f t="shared" si="4"/>
        <v>0.970873786407767</v>
      </c>
      <c r="AC15" s="1960">
        <f t="shared" si="5"/>
        <v>1</v>
      </c>
    </row>
    <row r="16" spans="1:29" ht="15">
      <c r="A16" s="379"/>
      <c r="B16" s="578"/>
      <c r="C16" s="1902" t="s">
        <v>3562</v>
      </c>
      <c r="D16" s="399"/>
      <c r="E16" s="1902" t="s">
        <v>3562</v>
      </c>
      <c r="F16" s="399"/>
      <c r="G16" s="1902" t="s">
        <v>3462</v>
      </c>
      <c r="H16" s="401"/>
      <c r="I16" s="398" t="s">
        <v>3562</v>
      </c>
      <c r="J16" s="399"/>
      <c r="K16" s="564"/>
      <c r="L16" s="2720"/>
      <c r="M16" s="2714"/>
      <c r="N16" s="2714"/>
      <c r="O16" s="2714"/>
      <c r="P16" s="3741"/>
      <c r="Q16" s="1350"/>
      <c r="R16" s="704"/>
      <c r="S16" s="705"/>
      <c r="T16" s="704"/>
      <c r="U16" s="705"/>
      <c r="V16" s="704"/>
      <c r="W16" s="705"/>
      <c r="X16" s="1353"/>
      <c r="Y16" s="3734"/>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41"/>
      <c r="Q17" s="1350" t="str">
        <f>B17</f>
        <v>交通便捷度</v>
      </c>
      <c r="R17" s="704" t="s">
        <v>14</v>
      </c>
      <c r="S17" s="705">
        <f>F17</f>
        <v>100</v>
      </c>
      <c r="T17" s="704" t="s">
        <v>14</v>
      </c>
      <c r="U17" s="705">
        <f>H17</f>
        <v>100</v>
      </c>
      <c r="V17" s="704" t="s">
        <v>14</v>
      </c>
      <c r="W17" s="705">
        <f>J17</f>
        <v>100</v>
      </c>
      <c r="X17" s="1353"/>
      <c r="Y17" s="3734"/>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41"/>
      <c r="Q18" s="1350"/>
      <c r="R18" s="704"/>
      <c r="S18" s="705"/>
      <c r="T18" s="704"/>
      <c r="U18" s="705"/>
      <c r="V18" s="704"/>
      <c r="W18" s="705"/>
      <c r="X18" s="1353"/>
      <c r="Y18" s="3734"/>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41"/>
      <c r="Q19" s="1350" t="str">
        <f>B19</f>
        <v>公共配套设施</v>
      </c>
      <c r="R19" s="704" t="s">
        <v>14</v>
      </c>
      <c r="S19" s="705">
        <f>F19</f>
        <v>100</v>
      </c>
      <c r="T19" s="704" t="s">
        <v>14</v>
      </c>
      <c r="U19" s="705">
        <f>H19</f>
        <v>100</v>
      </c>
      <c r="V19" s="704" t="s">
        <v>14</v>
      </c>
      <c r="W19" s="705">
        <f>J19</f>
        <v>100</v>
      </c>
      <c r="X19" s="1353"/>
      <c r="Y19" s="3734"/>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41"/>
      <c r="Q20" s="1350"/>
      <c r="R20" s="704"/>
      <c r="S20" s="705"/>
      <c r="T20" s="704"/>
      <c r="U20" s="705"/>
      <c r="V20" s="704"/>
      <c r="W20" s="705"/>
      <c r="X20" s="1353"/>
      <c r="Y20" s="3734"/>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41"/>
      <c r="Q21" s="1350" t="str">
        <f>B21</f>
        <v>基础设施水平</v>
      </c>
      <c r="R21" s="704" t="s">
        <v>14</v>
      </c>
      <c r="S21" s="705">
        <f>F21</f>
        <v>100</v>
      </c>
      <c r="T21" s="704" t="s">
        <v>14</v>
      </c>
      <c r="U21" s="705">
        <f>H21</f>
        <v>100</v>
      </c>
      <c r="V21" s="704" t="s">
        <v>14</v>
      </c>
      <c r="W21" s="705">
        <f>J21</f>
        <v>100</v>
      </c>
      <c r="X21" s="1353"/>
      <c r="Y21" s="3734"/>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41"/>
      <c r="Q22" s="1350"/>
      <c r="R22" s="704"/>
      <c r="S22" s="705"/>
      <c r="T22" s="704"/>
      <c r="U22" s="705"/>
      <c r="V22" s="704"/>
      <c r="W22" s="705"/>
      <c r="X22" s="1353"/>
      <c r="Y22" s="3734"/>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41"/>
      <c r="Q23" s="1350" t="str">
        <f>B23</f>
        <v>环境质量</v>
      </c>
      <c r="R23" s="704" t="s">
        <v>14</v>
      </c>
      <c r="S23" s="705">
        <f>F23</f>
        <v>100</v>
      </c>
      <c r="T23" s="704" t="s">
        <v>14</v>
      </c>
      <c r="U23" s="705">
        <f>H23</f>
        <v>100</v>
      </c>
      <c r="V23" s="704" t="s">
        <v>14</v>
      </c>
      <c r="W23" s="705">
        <f>J23</f>
        <v>100</v>
      </c>
      <c r="X23" s="1353"/>
      <c r="Y23" s="3734"/>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41"/>
      <c r="Q24" s="1350"/>
      <c r="R24" s="704"/>
      <c r="S24" s="705"/>
      <c r="T24" s="704"/>
      <c r="U24" s="705"/>
      <c r="V24" s="704"/>
      <c r="W24" s="705"/>
      <c r="X24" s="1353"/>
      <c r="Y24" s="3734"/>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41"/>
      <c r="Q25" s="1350" t="str">
        <f>B25</f>
        <v>毗邻道路的类型与等级</v>
      </c>
      <c r="R25" s="704" t="s">
        <v>14</v>
      </c>
      <c r="S25" s="705">
        <f>F25</f>
        <v>98</v>
      </c>
      <c r="T25" s="704" t="s">
        <v>14</v>
      </c>
      <c r="U25" s="705">
        <f>H25</f>
        <v>98</v>
      </c>
      <c r="V25" s="704" t="s">
        <v>14</v>
      </c>
      <c r="W25" s="705">
        <f>J25</f>
        <v>100</v>
      </c>
      <c r="X25" s="1353"/>
      <c r="Y25" s="3734"/>
      <c r="Z25" s="1354" t="str">
        <f>Q25</f>
        <v>毗邻道路的类型与等级</v>
      </c>
      <c r="AA25" s="1351">
        <f t="shared" si="3"/>
        <v>1.0204081632653061</v>
      </c>
      <c r="AB25" s="1351">
        <f t="shared" si="4"/>
        <v>1.0204081632653061</v>
      </c>
      <c r="AC25" s="1960">
        <f t="shared" si="5"/>
        <v>1</v>
      </c>
    </row>
    <row r="26" spans="1:29" ht="15">
      <c r="A26" s="358"/>
      <c r="B26" s="580"/>
      <c r="C26" s="582" t="s">
        <v>3496</v>
      </c>
      <c r="D26" s="386"/>
      <c r="E26" s="3475" t="s">
        <v>3498</v>
      </c>
      <c r="F26" s="386"/>
      <c r="G26" s="3475" t="s">
        <v>3498</v>
      </c>
      <c r="H26" s="386"/>
      <c r="I26" s="582" t="s">
        <v>3496</v>
      </c>
      <c r="J26" s="386"/>
      <c r="K26" s="564"/>
      <c r="L26" s="2720"/>
      <c r="M26" s="2714"/>
      <c r="N26" s="2714"/>
      <c r="O26" s="2714"/>
      <c r="P26" s="3741"/>
      <c r="Q26" s="1350"/>
      <c r="R26" s="704"/>
      <c r="S26" s="705"/>
      <c r="T26" s="704"/>
      <c r="U26" s="705"/>
      <c r="V26" s="704"/>
      <c r="W26" s="705"/>
      <c r="X26" s="1353"/>
      <c r="Y26" s="3734"/>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3488</v>
      </c>
      <c r="H27" s="386">
        <f>SUMIF(89:89,G27,90:90)-SUMIF(89:89,C27,90:90)+100</f>
        <v>97</v>
      </c>
      <c r="I27" s="565" t="s">
        <v>3448</v>
      </c>
      <c r="J27" s="386">
        <f>SUMIF(89:89,I27,90:90)-SUMIF(89:89,C27,90:90)+100</f>
        <v>100</v>
      </c>
      <c r="K27" s="561">
        <v>3</v>
      </c>
      <c r="L27" s="2720"/>
      <c r="M27" s="2714"/>
      <c r="N27" s="2714"/>
      <c r="O27" s="2714"/>
      <c r="P27" s="3741"/>
      <c r="Q27" s="1350" t="str">
        <f t="shared" ref="Q27:Q47" si="11">B27</f>
        <v>楼层</v>
      </c>
      <c r="R27" s="704" t="s">
        <v>14</v>
      </c>
      <c r="S27" s="705">
        <f>F27</f>
        <v>100</v>
      </c>
      <c r="T27" s="704" t="s">
        <v>14</v>
      </c>
      <c r="U27" s="705">
        <f>H27</f>
        <v>97</v>
      </c>
      <c r="V27" s="704" t="s">
        <v>14</v>
      </c>
      <c r="W27" s="705">
        <f>J27</f>
        <v>100</v>
      </c>
      <c r="X27" s="1353"/>
      <c r="Y27" s="3734"/>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t="s">
        <v>3559</v>
      </c>
      <c r="L28" s="2715"/>
      <c r="M28" s="2716"/>
      <c r="N28" s="2716"/>
      <c r="O28" s="2716"/>
      <c r="P28" s="3741"/>
      <c r="Q28" s="1341" t="str">
        <f t="shared" si="11"/>
        <v>朝向</v>
      </c>
      <c r="R28" s="700" t="s">
        <v>14</v>
      </c>
      <c r="S28" s="701">
        <f>F28</f>
        <v>100</v>
      </c>
      <c r="T28" s="700" t="s">
        <v>14</v>
      </c>
      <c r="U28" s="701">
        <f>H28</f>
        <v>100</v>
      </c>
      <c r="V28" s="700" t="s">
        <v>14</v>
      </c>
      <c r="W28" s="701">
        <f>J28</f>
        <v>100</v>
      </c>
      <c r="X28" s="702"/>
      <c r="Y28" s="373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41"/>
      <c r="Q29" s="1350">
        <f t="shared" si="11"/>
        <v>111</v>
      </c>
      <c r="R29" s="704" t="s">
        <v>14</v>
      </c>
      <c r="S29" s="705">
        <f t="shared" ref="S29:S47" si="12">F29</f>
        <v>100</v>
      </c>
      <c r="T29" s="704" t="s">
        <v>14</v>
      </c>
      <c r="U29" s="705">
        <f t="shared" ref="U29:U47" si="13">H29</f>
        <v>100</v>
      </c>
      <c r="V29" s="704" t="s">
        <v>14</v>
      </c>
      <c r="W29" s="705">
        <f t="shared" ref="W29:W47" si="14">J29</f>
        <v>100</v>
      </c>
      <c r="X29" s="1353"/>
      <c r="Y29" s="373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41"/>
      <c r="Q30" s="1350">
        <f t="shared" si="11"/>
        <v>111</v>
      </c>
      <c r="R30" s="704" t="s">
        <v>14</v>
      </c>
      <c r="S30" s="705">
        <f t="shared" si="12"/>
        <v>100</v>
      </c>
      <c r="T30" s="704" t="s">
        <v>14</v>
      </c>
      <c r="U30" s="705">
        <f t="shared" si="13"/>
        <v>100</v>
      </c>
      <c r="V30" s="704" t="s">
        <v>14</v>
      </c>
      <c r="W30" s="705">
        <f t="shared" si="14"/>
        <v>100</v>
      </c>
      <c r="X30" s="1353"/>
      <c r="Y30" s="373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41"/>
      <c r="Q31" s="1350">
        <f t="shared" si="11"/>
        <v>111</v>
      </c>
      <c r="R31" s="704" t="s">
        <v>14</v>
      </c>
      <c r="S31" s="705">
        <f t="shared" si="12"/>
        <v>100</v>
      </c>
      <c r="T31" s="704" t="s">
        <v>14</v>
      </c>
      <c r="U31" s="705">
        <f t="shared" si="13"/>
        <v>100</v>
      </c>
      <c r="V31" s="704" t="s">
        <v>14</v>
      </c>
      <c r="W31" s="705">
        <f t="shared" si="14"/>
        <v>100</v>
      </c>
      <c r="X31" s="1353"/>
      <c r="Y31" s="373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41"/>
      <c r="Q32" s="1350">
        <f t="shared" si="11"/>
        <v>111</v>
      </c>
      <c r="R32" s="704" t="s">
        <v>14</v>
      </c>
      <c r="S32" s="705">
        <f t="shared" si="12"/>
        <v>100</v>
      </c>
      <c r="T32" s="704" t="s">
        <v>14</v>
      </c>
      <c r="U32" s="705">
        <f t="shared" si="13"/>
        <v>100</v>
      </c>
      <c r="V32" s="704" t="s">
        <v>14</v>
      </c>
      <c r="W32" s="705">
        <f t="shared" si="14"/>
        <v>100</v>
      </c>
      <c r="X32" s="1353"/>
      <c r="Y32" s="3734"/>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735" t="s">
        <v>1696</v>
      </c>
      <c r="Q33" s="1350" t="str">
        <f t="shared" si="11"/>
        <v>建筑类型</v>
      </c>
      <c r="R33" s="704" t="s">
        <v>14</v>
      </c>
      <c r="S33" s="705">
        <f t="shared" si="12"/>
        <v>100</v>
      </c>
      <c r="T33" s="704" t="s">
        <v>14</v>
      </c>
      <c r="U33" s="705">
        <f t="shared" si="13"/>
        <v>100</v>
      </c>
      <c r="V33" s="704" t="s">
        <v>14</v>
      </c>
      <c r="W33" s="705">
        <f t="shared" si="14"/>
        <v>100</v>
      </c>
      <c r="X33" s="1353"/>
      <c r="Y33" s="3738"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650</v>
      </c>
      <c r="J34" s="127">
        <f>LOOKUP(I34,104:104,105:105)-LOOKUP(C34,104:104,105:105)+100</f>
        <v>101</v>
      </c>
      <c r="K34" s="562"/>
      <c r="L34" s="2719"/>
      <c r="M34" s="2721"/>
      <c r="N34" s="2721"/>
      <c r="O34" s="2721"/>
      <c r="P34" s="3736"/>
      <c r="Q34" s="706" t="str">
        <f t="shared" si="11"/>
        <v>项目建筑规模</v>
      </c>
      <c r="R34" s="707" t="s">
        <v>14</v>
      </c>
      <c r="S34" s="708">
        <f t="shared" si="12"/>
        <v>101</v>
      </c>
      <c r="T34" s="707" t="s">
        <v>14</v>
      </c>
      <c r="U34" s="708">
        <f t="shared" si="13"/>
        <v>103</v>
      </c>
      <c r="V34" s="707" t="s">
        <v>14</v>
      </c>
      <c r="W34" s="708">
        <f t="shared" si="14"/>
        <v>101</v>
      </c>
      <c r="X34" s="709"/>
      <c r="Y34" s="3738"/>
      <c r="Z34" s="710" t="str">
        <f t="shared" si="15"/>
        <v>项目建筑规模</v>
      </c>
      <c r="AA34" s="1351">
        <f t="shared" si="3"/>
        <v>0.99009900990099009</v>
      </c>
      <c r="AB34" s="1351">
        <f t="shared" si="4"/>
        <v>0.970873786407767</v>
      </c>
      <c r="AC34" s="1960">
        <f t="shared" si="5"/>
        <v>0.99009900990099009</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736"/>
      <c r="Q35" s="1350" t="str">
        <f t="shared" si="11"/>
        <v>建筑结构</v>
      </c>
      <c r="R35" s="704" t="s">
        <v>14</v>
      </c>
      <c r="S35" s="705">
        <f t="shared" si="12"/>
        <v>100</v>
      </c>
      <c r="T35" s="704" t="s">
        <v>14</v>
      </c>
      <c r="U35" s="705">
        <f t="shared" si="13"/>
        <v>100</v>
      </c>
      <c r="V35" s="704" t="s">
        <v>14</v>
      </c>
      <c r="W35" s="705">
        <f t="shared" si="14"/>
        <v>100</v>
      </c>
      <c r="X35" s="1353"/>
      <c r="Y35" s="3738"/>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736"/>
      <c r="Q36" s="1350" t="str">
        <f t="shared" si="11"/>
        <v>公共部分装修</v>
      </c>
      <c r="R36" s="704" t="s">
        <v>14</v>
      </c>
      <c r="S36" s="705">
        <f t="shared" si="12"/>
        <v>100</v>
      </c>
      <c r="T36" s="704" t="s">
        <v>14</v>
      </c>
      <c r="U36" s="705">
        <f t="shared" si="13"/>
        <v>100</v>
      </c>
      <c r="V36" s="704" t="s">
        <v>14</v>
      </c>
      <c r="W36" s="705">
        <f t="shared" si="14"/>
        <v>100</v>
      </c>
      <c r="X36" s="1353"/>
      <c r="Y36" s="3738"/>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736"/>
      <c r="Q37" s="1350" t="str">
        <f t="shared" si="11"/>
        <v>成新度</v>
      </c>
      <c r="R37" s="704" t="s">
        <v>14</v>
      </c>
      <c r="S37" s="705">
        <f t="shared" si="12"/>
        <v>100</v>
      </c>
      <c r="T37" s="704" t="s">
        <v>14</v>
      </c>
      <c r="U37" s="705">
        <f t="shared" si="13"/>
        <v>100</v>
      </c>
      <c r="V37" s="704" t="s">
        <v>14</v>
      </c>
      <c r="W37" s="705">
        <f t="shared" si="14"/>
        <v>100</v>
      </c>
      <c r="X37" s="1353"/>
      <c r="Y37" s="3738"/>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1" t="str">
        <f t="shared" si="11"/>
        <v>写字楼等级</v>
      </c>
      <c r="R38" s="700" t="s">
        <v>14</v>
      </c>
      <c r="S38" s="701">
        <f t="shared" si="12"/>
        <v>100</v>
      </c>
      <c r="T38" s="700" t="s">
        <v>14</v>
      </c>
      <c r="U38" s="701">
        <f t="shared" si="13"/>
        <v>100</v>
      </c>
      <c r="V38" s="700" t="s">
        <v>14</v>
      </c>
      <c r="W38" s="701">
        <f t="shared" si="14"/>
        <v>100</v>
      </c>
      <c r="X38" s="702"/>
      <c r="Y38" s="3738"/>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6" t="s">
        <v>1696</v>
      </c>
      <c r="Q39" s="1350" t="str">
        <f t="shared" si="11"/>
        <v>物业管理</v>
      </c>
      <c r="R39" s="704" t="s">
        <v>14</v>
      </c>
      <c r="S39" s="705">
        <f t="shared" si="12"/>
        <v>100</v>
      </c>
      <c r="T39" s="704" t="s">
        <v>14</v>
      </c>
      <c r="U39" s="705">
        <f t="shared" si="13"/>
        <v>100</v>
      </c>
      <c r="V39" s="704" t="s">
        <v>14</v>
      </c>
      <c r="W39" s="705">
        <f t="shared" si="14"/>
        <v>100</v>
      </c>
      <c r="X39" s="1353"/>
      <c r="Y39" s="373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0" t="str">
        <f t="shared" si="11"/>
        <v>市政基础设施</v>
      </c>
      <c r="R40" s="704" t="s">
        <v>14</v>
      </c>
      <c r="S40" s="705">
        <f t="shared" si="12"/>
        <v>100</v>
      </c>
      <c r="T40" s="704" t="s">
        <v>14</v>
      </c>
      <c r="U40" s="705">
        <f t="shared" si="13"/>
        <v>100</v>
      </c>
      <c r="V40" s="704" t="s">
        <v>14</v>
      </c>
      <c r="W40" s="705">
        <f t="shared" si="14"/>
        <v>100</v>
      </c>
      <c r="X40" s="1353"/>
      <c r="Y40" s="3738"/>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736"/>
      <c r="Q41" s="1350" t="str">
        <f t="shared" si="11"/>
        <v>层高</v>
      </c>
      <c r="R41" s="704" t="s">
        <v>14</v>
      </c>
      <c r="S41" s="705">
        <f t="shared" si="12"/>
        <v>100</v>
      </c>
      <c r="T41" s="704" t="s">
        <v>14</v>
      </c>
      <c r="U41" s="705">
        <f t="shared" si="13"/>
        <v>100</v>
      </c>
      <c r="V41" s="704" t="s">
        <v>14</v>
      </c>
      <c r="W41" s="705">
        <f t="shared" si="14"/>
        <v>100</v>
      </c>
      <c r="X41" s="1353"/>
      <c r="Y41" s="373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6" t="str">
        <f t="shared" si="11"/>
        <v>单套建筑面积</v>
      </c>
      <c r="R42" s="707" t="s">
        <v>14</v>
      </c>
      <c r="S42" s="708">
        <f t="shared" si="12"/>
        <v>100</v>
      </c>
      <c r="T42" s="707" t="s">
        <v>14</v>
      </c>
      <c r="U42" s="708">
        <f t="shared" si="13"/>
        <v>100</v>
      </c>
      <c r="V42" s="707" t="s">
        <v>14</v>
      </c>
      <c r="W42" s="708">
        <f t="shared" si="14"/>
        <v>100</v>
      </c>
      <c r="X42" s="709"/>
      <c r="Y42" s="3738"/>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3465</v>
      </c>
      <c r="F43" s="412">
        <f>SUMIF(123:123,E43,124:124)-SUMIF(123:123,C43,124:124)+100</f>
        <v>100</v>
      </c>
      <c r="G43" s="411" t="s">
        <v>3463</v>
      </c>
      <c r="H43" s="386">
        <f>SUMIF(123:123,G43,124:124)-SUMIF(123:123,C43,124:124)+100</f>
        <v>102</v>
      </c>
      <c r="I43" s="411" t="s">
        <v>3525</v>
      </c>
      <c r="J43" s="386">
        <f>SUMIF(123:123,I43,124:124)-SUMIF(123:123,C43,124:124)+100</f>
        <v>98</v>
      </c>
      <c r="K43" s="561">
        <v>2</v>
      </c>
      <c r="L43" s="2720"/>
      <c r="M43" s="2714"/>
      <c r="N43" s="2714"/>
      <c r="O43" s="2714"/>
      <c r="P43" s="3736"/>
      <c r="Q43" s="1350" t="str">
        <f t="shared" si="11"/>
        <v>内部装修</v>
      </c>
      <c r="R43" s="704" t="s">
        <v>14</v>
      </c>
      <c r="S43" s="705">
        <f t="shared" si="12"/>
        <v>100</v>
      </c>
      <c r="T43" s="704" t="s">
        <v>14</v>
      </c>
      <c r="U43" s="705">
        <f t="shared" si="13"/>
        <v>102</v>
      </c>
      <c r="V43" s="704" t="s">
        <v>14</v>
      </c>
      <c r="W43" s="705">
        <f t="shared" si="14"/>
        <v>98</v>
      </c>
      <c r="X43" s="1353"/>
      <c r="Y43" s="3738"/>
      <c r="Z43" s="1354" t="str">
        <f t="shared" si="15"/>
        <v>内部装修</v>
      </c>
      <c r="AA43" s="1351">
        <f t="shared" si="3"/>
        <v>1</v>
      </c>
      <c r="AB43" s="1351">
        <f t="shared" si="4"/>
        <v>0.98039215686274506</v>
      </c>
      <c r="AC43" s="1960">
        <f t="shared" si="5"/>
        <v>1.0204081632653061</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736"/>
      <c r="Q44" s="1350" t="str">
        <f t="shared" si="11"/>
        <v>内部装修维护情况</v>
      </c>
      <c r="R44" s="704" t="s">
        <v>14</v>
      </c>
      <c r="S44" s="705">
        <f t="shared" si="12"/>
        <v>100</v>
      </c>
      <c r="T44" s="704" t="s">
        <v>14</v>
      </c>
      <c r="U44" s="705">
        <f t="shared" si="13"/>
        <v>100</v>
      </c>
      <c r="V44" s="704" t="s">
        <v>14</v>
      </c>
      <c r="W44" s="705">
        <f t="shared" si="14"/>
        <v>100</v>
      </c>
      <c r="X44" s="1353"/>
      <c r="Y44" s="3738"/>
      <c r="Z44" s="1354" t="str">
        <f t="shared" si="15"/>
        <v>内部装修维护情况</v>
      </c>
      <c r="AA44" s="1351">
        <f t="shared" si="3"/>
        <v>1</v>
      </c>
      <c r="AB44" s="1351">
        <f t="shared" si="4"/>
        <v>1</v>
      </c>
      <c r="AC44" s="1960">
        <f t="shared" si="5"/>
        <v>1</v>
      </c>
    </row>
    <row r="45" spans="1:29" s="108" customFormat="1" ht="15">
      <c r="A45" s="424"/>
      <c r="B45" s="3469"/>
      <c r="C45" s="3470"/>
      <c r="D45" s="127">
        <v>100</v>
      </c>
      <c r="E45" s="3470"/>
      <c r="F45" s="376">
        <f>SUMIF(127:127,E45,128:128)-SUMIF(127:127,C45,128:128)+100</f>
        <v>100</v>
      </c>
      <c r="G45" s="3471"/>
      <c r="H45" s="127">
        <f>SUMIF(127:127,G45,128:128)-SUMIF(127:127,C45,128:128)+100</f>
        <v>100</v>
      </c>
      <c r="I45" s="3470"/>
      <c r="J45" s="127">
        <f>SUMIF(127:127,I45,128:128)-SUMIF(127:127,C45,128:128)+100</f>
        <v>100</v>
      </c>
      <c r="K45" s="562"/>
      <c r="L45" s="2715"/>
      <c r="M45" s="2716"/>
      <c r="N45" s="2716"/>
      <c r="O45" s="2716"/>
      <c r="P45" s="3736"/>
      <c r="Q45" s="1341">
        <f t="shared" si="11"/>
        <v>0</v>
      </c>
      <c r="R45" s="700" t="s">
        <v>14</v>
      </c>
      <c r="S45" s="701">
        <f t="shared" si="12"/>
        <v>100</v>
      </c>
      <c r="T45" s="700" t="s">
        <v>14</v>
      </c>
      <c r="U45" s="701">
        <f t="shared" si="13"/>
        <v>100</v>
      </c>
      <c r="V45" s="700" t="s">
        <v>14</v>
      </c>
      <c r="W45" s="701">
        <f t="shared" si="14"/>
        <v>100</v>
      </c>
      <c r="X45" s="702"/>
      <c r="Y45" s="3738"/>
      <c r="Z45" s="52">
        <f t="shared" si="15"/>
        <v>0</v>
      </c>
      <c r="AA45" s="703">
        <f t="shared" si="3"/>
        <v>1</v>
      </c>
      <c r="AB45" s="703">
        <f t="shared" si="4"/>
        <v>1</v>
      </c>
      <c r="AC45" s="1957">
        <f t="shared" si="5"/>
        <v>1</v>
      </c>
    </row>
    <row r="46" spans="1:29" ht="15">
      <c r="A46" s="423"/>
      <c r="B46" s="3469" t="s">
        <v>3519</v>
      </c>
      <c r="C46" s="385" t="s">
        <v>3523</v>
      </c>
      <c r="D46" s="386">
        <v>100</v>
      </c>
      <c r="E46" s="385" t="s">
        <v>3523</v>
      </c>
      <c r="F46" s="412">
        <f>SUMIF(129:129,E46,130:130)-SUMIF(129:129,C46,130:130)+100</f>
        <v>100</v>
      </c>
      <c r="G46" s="383" t="s">
        <v>3524</v>
      </c>
      <c r="H46" s="386">
        <f>SUMIF(129:129,G46,130:130)-SUMIF(129:129,C46,130:130)+100</f>
        <v>96</v>
      </c>
      <c r="I46" s="383" t="s">
        <v>3565</v>
      </c>
      <c r="J46" s="386">
        <f>SUMIF(129:129,I46,130:130)-SUMIF(129:129,C46,130:130)+100</f>
        <v>94</v>
      </c>
      <c r="K46" s="562"/>
      <c r="L46" s="2720"/>
      <c r="M46" s="2714"/>
      <c r="N46" s="2714"/>
      <c r="O46" s="2714"/>
      <c r="P46" s="3736"/>
      <c r="Q46" s="1350" t="str">
        <f t="shared" si="11"/>
        <v>建成年代</v>
      </c>
      <c r="R46" s="704" t="s">
        <v>14</v>
      </c>
      <c r="S46" s="705">
        <f t="shared" si="12"/>
        <v>100</v>
      </c>
      <c r="T46" s="704" t="s">
        <v>14</v>
      </c>
      <c r="U46" s="705">
        <f t="shared" si="13"/>
        <v>96</v>
      </c>
      <c r="V46" s="704" t="s">
        <v>14</v>
      </c>
      <c r="W46" s="705">
        <f t="shared" si="14"/>
        <v>94</v>
      </c>
      <c r="X46" s="1353"/>
      <c r="Y46" s="3738"/>
      <c r="Z46" s="1354" t="str">
        <f t="shared" si="15"/>
        <v>建成年代</v>
      </c>
      <c r="AA46" s="1351">
        <f t="shared" si="3"/>
        <v>1</v>
      </c>
      <c r="AB46" s="1351">
        <f t="shared" si="4"/>
        <v>1.0416666666666667</v>
      </c>
      <c r="AC46" s="1960">
        <f t="shared" si="5"/>
        <v>1.0638297872340425</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0">
        <f t="shared" si="11"/>
        <v>111</v>
      </c>
      <c r="R47" s="704" t="s">
        <v>14</v>
      </c>
      <c r="S47" s="705">
        <f t="shared" si="12"/>
        <v>100</v>
      </c>
      <c r="T47" s="704" t="s">
        <v>14</v>
      </c>
      <c r="U47" s="705">
        <f t="shared" si="13"/>
        <v>100</v>
      </c>
      <c r="V47" s="704" t="s">
        <v>14</v>
      </c>
      <c r="W47" s="705">
        <f t="shared" si="14"/>
        <v>100</v>
      </c>
      <c r="X47" s="1353"/>
      <c r="Y47" s="3739"/>
      <c r="Z47" s="1354">
        <f t="shared" si="15"/>
        <v>111</v>
      </c>
      <c r="AA47" s="1351">
        <f t="shared" si="3"/>
        <v>1</v>
      </c>
      <c r="AB47" s="1351">
        <f t="shared" si="4"/>
        <v>1</v>
      </c>
      <c r="AC47" s="1960">
        <f t="shared" si="5"/>
        <v>1</v>
      </c>
    </row>
    <row r="48" spans="1:29" ht="15">
      <c r="A48" s="430" t="s">
        <v>1708</v>
      </c>
      <c r="B48" s="431"/>
      <c r="C48" s="1152" t="s">
        <v>0</v>
      </c>
      <c r="D48" s="1153"/>
      <c r="E48" s="1154">
        <v>3.8</v>
      </c>
      <c r="F48" s="1155"/>
      <c r="G48" s="1156">
        <v>3.8</v>
      </c>
      <c r="H48" s="1157"/>
      <c r="I48" s="1154">
        <v>3.5</v>
      </c>
      <c r="J48" s="436"/>
      <c r="K48" s="713"/>
      <c r="L48" s="2722"/>
      <c r="M48" s="2714"/>
      <c r="N48" s="2714"/>
      <c r="O48" s="2714"/>
      <c r="P48" s="3713" t="str">
        <f>A48</f>
        <v>成交单价（元/平方米）</v>
      </c>
      <c r="Q48" s="3731"/>
      <c r="R48" s="3732">
        <f>E48</f>
        <v>3.8</v>
      </c>
      <c r="S48" s="3732"/>
      <c r="T48" s="3732">
        <f>G48</f>
        <v>3.8</v>
      </c>
      <c r="U48" s="3732"/>
      <c r="V48" s="3732">
        <f>I48</f>
        <v>3.5</v>
      </c>
      <c r="W48" s="3732"/>
      <c r="X48" s="397"/>
      <c r="Y48" s="711"/>
      <c r="Z48" s="397"/>
      <c r="AA48" s="397"/>
      <c r="AB48" s="397"/>
      <c r="AC48" s="578"/>
    </row>
    <row r="49" spans="1:29" ht="15.75" thickBot="1">
      <c r="A49" s="437" t="s">
        <v>1793</v>
      </c>
      <c r="B49" s="438"/>
      <c r="C49" s="1158">
        <f>R50</f>
        <v>3.7</v>
      </c>
      <c r="D49" s="2315" t="s">
        <v>2137</v>
      </c>
      <c r="E49" s="1159">
        <f>R49</f>
        <v>3.66</v>
      </c>
      <c r="F49" s="2316"/>
      <c r="G49" s="1158">
        <f>T49</f>
        <v>3.86</v>
      </c>
      <c r="H49" s="2316"/>
      <c r="I49" s="1159">
        <f>V49</f>
        <v>3.58</v>
      </c>
      <c r="J49" s="2316"/>
      <c r="K49" s="2318">
        <f>F49+H49+J49</f>
        <v>0</v>
      </c>
      <c r="L49" s="2722"/>
      <c r="M49" s="2714"/>
      <c r="N49" s="2714"/>
      <c r="O49" s="2714"/>
      <c r="P49" s="3713" t="str">
        <f>A49</f>
        <v>比较价值（元/平方米）</v>
      </c>
      <c r="Q49" s="3731"/>
      <c r="R49" s="3732">
        <f>IF(F1="售价",ROUND(PRODUCT(R48,AA7:AA47),0),ROUND(PRODUCT(R48,AA7:AA47),2))</f>
        <v>3.66</v>
      </c>
      <c r="S49" s="3732"/>
      <c r="T49" s="3732">
        <f>IF(F1="售价",ROUND(PRODUCT(T48,AB7:AB47),0),ROUND(PRODUCT(T48,AB7:AB47),2))</f>
        <v>3.86</v>
      </c>
      <c r="U49" s="3732"/>
      <c r="V49" s="3732">
        <f>IF(F1="售价",ROUND(PRODUCT(V48,AC7:AC47),0),ROUND(PRODUCT(V48,AC7:AC47),2))</f>
        <v>3.58</v>
      </c>
      <c r="W49" s="3732"/>
      <c r="X49" s="397"/>
      <c r="Y49" s="397"/>
      <c r="Z49" s="397"/>
      <c r="AA49" s="397"/>
      <c r="AB49" s="397"/>
      <c r="AC49" s="578"/>
    </row>
    <row r="50" spans="1:29" ht="15.75" thickBot="1">
      <c r="A50" s="441" t="s">
        <v>1794</v>
      </c>
      <c r="B50" s="442"/>
      <c r="C50" s="1161">
        <f>R50</f>
        <v>3.7</v>
      </c>
      <c r="D50" s="1161"/>
      <c r="E50" s="1161"/>
      <c r="F50" s="1161"/>
      <c r="G50" s="1161"/>
      <c r="H50" s="1161"/>
      <c r="I50" s="1161"/>
      <c r="J50" s="443"/>
      <c r="K50" s="714"/>
      <c r="L50" s="2722"/>
      <c r="M50" s="2714"/>
      <c r="N50" s="2714"/>
      <c r="O50" s="2714"/>
      <c r="P50" s="3756" t="str">
        <f>A50</f>
        <v>估价对象XX用房的比较价值（楼面单价，元/平方米）</v>
      </c>
      <c r="Q50" s="3757"/>
      <c r="R50" s="3758">
        <f>IF(F1="售价",ROUND(IF(D49="简单平均",AVERAGE(R49:V49),R49*F49+T49*H49+V49*J49),0),ROUND(IF(D49="简单平均",AVERAGE(R49:V49),R49*F49+T49*H49+V49*J49),2))</f>
        <v>3.7</v>
      </c>
      <c r="S50" s="3758"/>
      <c r="T50" s="3758"/>
      <c r="U50" s="3758"/>
      <c r="V50" s="3758"/>
      <c r="W50" s="3758"/>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3563</v>
      </c>
      <c r="F52" s="2723"/>
      <c r="G52" s="2723" t="s">
        <v>3560</v>
      </c>
      <c r="H52" s="2723"/>
      <c r="I52" s="2723" t="s">
        <v>3561</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3.82513661202184E-2</v>
      </c>
      <c r="F53" s="449" t="str">
        <f>IF(OR(E53&gt;=0.3,E53&lt;=-0.3),"超过30%","")</f>
        <v/>
      </c>
      <c r="G53" s="448">
        <f>IF(G48&lt;G49,G49/G48-1,G48/G49-1)</f>
        <v>1.5789473684210575E-2</v>
      </c>
      <c r="H53" s="449" t="str">
        <f>IF(OR(G53&gt;=0.3,G53&lt;=-0.3),"超过30%","")</f>
        <v/>
      </c>
      <c r="I53" s="448">
        <f>IF(I48&lt;I49,I49/I48-1,I48/I49-1)</f>
        <v>2.2857142857142909E-2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5.4644808743169238E-2</v>
      </c>
      <c r="F54" s="449" t="str">
        <f>IF(OR(E54&gt;=0.2,E54&lt;=-0.2),"超过20%","")</f>
        <v/>
      </c>
      <c r="G54" s="448">
        <f>IF(G49&lt;I49,I49/G49-1,G49/I49-1)</f>
        <v>7.8212290502793325E-2</v>
      </c>
      <c r="H54" s="449" t="str">
        <f>IF(OR(G54&gt;=0.2,G54&lt;=-0.2),"超过20%","")</f>
        <v/>
      </c>
      <c r="I54" s="448">
        <f>IF(I49&lt;E49,E49/I49-1,I49/E49-1)</f>
        <v>2.2346368715083775E-2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8.5714285714285632E-2</v>
      </c>
      <c r="H55" s="449" t="str">
        <f>IF(OR(G55&gt;=0.3,G55&lt;=-0.3),"超过30%","")</f>
        <v/>
      </c>
      <c r="I55" s="448">
        <f>IF(I48&lt;E48,E48/I48-1,I48/E48-1)</f>
        <v>8.5714285714285632E-2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3486</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0</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100</v>
      </c>
      <c r="E67" s="485">
        <f t="shared" ref="E67:J67" si="17">D67-$M$66</f>
        <v>100</v>
      </c>
      <c r="F67" s="485">
        <f t="shared" si="17"/>
        <v>100</v>
      </c>
      <c r="G67" s="485">
        <f t="shared" si="17"/>
        <v>100</v>
      </c>
      <c r="H67" s="485">
        <f t="shared" si="17"/>
        <v>100</v>
      </c>
      <c r="I67" s="485">
        <f t="shared" si="17"/>
        <v>100</v>
      </c>
      <c r="J67" s="485">
        <f t="shared" si="17"/>
        <v>100</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t="str">
        <f>B12</f>
        <v>项目产权单一性</v>
      </c>
      <c r="C71" s="3465" t="s">
        <v>3578</v>
      </c>
      <c r="D71" s="3465" t="s">
        <v>3579</v>
      </c>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v>100</v>
      </c>
      <c r="D72" s="485">
        <v>95</v>
      </c>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3494</v>
      </c>
      <c r="D87" s="3465" t="s">
        <v>3495</v>
      </c>
      <c r="E87" s="3465" t="s">
        <v>3497</v>
      </c>
      <c r="F87" s="3465" t="s">
        <v>3499</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t="e">
        <f t="shared" ref="D92:M92" si="22">C92-$K28</f>
        <v>#VALUE!</v>
      </c>
      <c r="E92" s="493" t="e">
        <f t="shared" si="22"/>
        <v>#VALUE!</v>
      </c>
      <c r="F92" s="493" t="e">
        <f t="shared" si="22"/>
        <v>#VALUE!</v>
      </c>
      <c r="G92" s="493" t="e">
        <f t="shared" si="22"/>
        <v>#VALUE!</v>
      </c>
      <c r="H92" s="493" t="e">
        <f t="shared" si="22"/>
        <v>#VALUE!</v>
      </c>
      <c r="I92" s="493" t="e">
        <f t="shared" si="22"/>
        <v>#VALUE!</v>
      </c>
      <c r="J92" s="493" t="e">
        <f t="shared" si="22"/>
        <v>#VALUE!</v>
      </c>
      <c r="K92" s="493" t="e">
        <f t="shared" si="22"/>
        <v>#VALUE!</v>
      </c>
      <c r="L92" s="493" t="e">
        <f t="shared" si="22"/>
        <v>#VALUE!</v>
      </c>
      <c r="M92" s="493" t="e">
        <f t="shared" si="22"/>
        <v>#VALUE!</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3484</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3517</v>
      </c>
      <c r="D113" s="3465" t="s">
        <v>3518</v>
      </c>
      <c r="E113" s="3465"/>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0</v>
      </c>
      <c r="C127" s="3465"/>
      <c r="D127" s="3465"/>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29.25" thickTop="1">
      <c r="A129" s="548"/>
      <c r="B129" s="487" t="str">
        <f>B46</f>
        <v>建成年代</v>
      </c>
      <c r="C129" s="503" t="s">
        <v>3520</v>
      </c>
      <c r="D129" s="503" t="s">
        <v>3521</v>
      </c>
      <c r="E129" s="503" t="s">
        <v>3522</v>
      </c>
      <c r="F129" s="503" t="s">
        <v>3564</v>
      </c>
      <c r="G129" s="532">
        <v>2</v>
      </c>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v>100</v>
      </c>
      <c r="D130" s="509">
        <f>C130-$G$129</f>
        <v>98</v>
      </c>
      <c r="E130" s="509">
        <f t="shared" ref="E130:F130" si="32">D130-$G$129</f>
        <v>96</v>
      </c>
      <c r="F130" s="509">
        <f t="shared" si="32"/>
        <v>94</v>
      </c>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912"/>
      <c r="M4" s="913"/>
      <c r="N4" s="913"/>
      <c r="O4" s="913"/>
      <c r="P4" s="3718" t="s">
        <v>1775</v>
      </c>
      <c r="Q4" s="3719"/>
      <c r="R4" s="3701" t="s">
        <v>1771</v>
      </c>
      <c r="S4" s="3702"/>
      <c r="T4" s="3701" t="s">
        <v>1772</v>
      </c>
      <c r="U4" s="3702"/>
      <c r="V4" s="3726" t="s">
        <v>1773</v>
      </c>
      <c r="W4" s="3726"/>
      <c r="X4" s="1353"/>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912"/>
      <c r="M5" s="913"/>
      <c r="N5" s="913"/>
      <c r="O5" s="913"/>
      <c r="P5" s="3720"/>
      <c r="Q5" s="3721"/>
      <c r="R5" s="3703"/>
      <c r="S5" s="3704"/>
      <c r="T5" s="3703"/>
      <c r="U5" s="3704"/>
      <c r="V5" s="3726"/>
      <c r="W5" s="3726"/>
      <c r="X5" s="1353"/>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912"/>
      <c r="M6" s="913"/>
      <c r="N6" s="913"/>
      <c r="O6" s="913"/>
      <c r="P6" s="3722"/>
      <c r="Q6" s="3723"/>
      <c r="R6" s="3703"/>
      <c r="S6" s="3704"/>
      <c r="T6" s="3724"/>
      <c r="U6" s="3725"/>
      <c r="V6" s="3726"/>
      <c r="W6" s="3726"/>
      <c r="X6" s="1353"/>
      <c r="Y6" s="3724"/>
      <c r="Z6" s="3725"/>
      <c r="AA6" s="3698"/>
      <c r="AB6" s="3698"/>
      <c r="AC6" s="3698"/>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699" t="s">
        <v>1680</v>
      </c>
      <c r="Q7" s="3727"/>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9" t="s">
        <v>1683</v>
      </c>
      <c r="Q8" s="3700"/>
      <c r="R8" s="700" t="s">
        <v>14</v>
      </c>
      <c r="S8" s="701">
        <f t="shared" si="0"/>
        <v>100</v>
      </c>
      <c r="T8" s="700" t="s">
        <v>14</v>
      </c>
      <c r="U8" s="701">
        <f t="shared" si="1"/>
        <v>100</v>
      </c>
      <c r="V8" s="700" t="s">
        <v>14</v>
      </c>
      <c r="W8" s="701">
        <f t="shared" si="2"/>
        <v>100</v>
      </c>
      <c r="X8" s="702"/>
      <c r="Y8" s="3699" t="s">
        <v>1683</v>
      </c>
      <c r="Z8" s="370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1"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1"/>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1"/>
      <c r="Q11" s="1341" t="str">
        <f t="shared" si="6"/>
        <v>容积率</v>
      </c>
      <c r="R11" s="700" t="s">
        <v>14</v>
      </c>
      <c r="S11" s="701">
        <f t="shared" si="0"/>
        <v>100</v>
      </c>
      <c r="T11" s="700" t="s">
        <v>14</v>
      </c>
      <c r="U11" s="701">
        <f t="shared" si="1"/>
        <v>100</v>
      </c>
      <c r="V11" s="700" t="s">
        <v>14</v>
      </c>
      <c r="W11" s="701">
        <f t="shared" si="2"/>
        <v>100</v>
      </c>
      <c r="X11" s="702"/>
      <c r="Y11" s="364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31"/>
      <c r="Q12" s="1341">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31"/>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31"/>
      <c r="Q14" s="1341">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3" t="s">
        <v>1691</v>
      </c>
      <c r="Q15" s="1350" t="str">
        <f t="shared" si="6"/>
        <v>产业集聚程度</v>
      </c>
      <c r="R15" s="704" t="s">
        <v>14</v>
      </c>
      <c r="S15" s="705">
        <f t="shared" si="0"/>
        <v>100</v>
      </c>
      <c r="T15" s="704" t="s">
        <v>14</v>
      </c>
      <c r="U15" s="705">
        <f t="shared" si="1"/>
        <v>100</v>
      </c>
      <c r="V15" s="704" t="s">
        <v>14</v>
      </c>
      <c r="W15" s="705">
        <f t="shared" si="2"/>
        <v>100</v>
      </c>
      <c r="X15" s="1353"/>
      <c r="Y15" s="373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34"/>
      <c r="Q16" s="1350"/>
      <c r="R16" s="704"/>
      <c r="S16" s="705"/>
      <c r="T16" s="704"/>
      <c r="U16" s="705"/>
      <c r="V16" s="704"/>
      <c r="W16" s="705"/>
      <c r="X16" s="1353"/>
      <c r="Y16" s="373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4"/>
      <c r="Q17" s="1350" t="str">
        <f>B17</f>
        <v>交通便捷度</v>
      </c>
      <c r="R17" s="704" t="s">
        <v>14</v>
      </c>
      <c r="S17" s="705">
        <f>F17</f>
        <v>100</v>
      </c>
      <c r="T17" s="704" t="s">
        <v>14</v>
      </c>
      <c r="U17" s="705">
        <f>H17</f>
        <v>100</v>
      </c>
      <c r="V17" s="704" t="s">
        <v>14</v>
      </c>
      <c r="W17" s="705">
        <f>J17</f>
        <v>100</v>
      </c>
      <c r="X17" s="1353"/>
      <c r="Y17" s="373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34"/>
      <c r="Q18" s="1350"/>
      <c r="R18" s="704"/>
      <c r="S18" s="705"/>
      <c r="T18" s="704"/>
      <c r="U18" s="705"/>
      <c r="V18" s="704"/>
      <c r="W18" s="705"/>
      <c r="X18" s="1353"/>
      <c r="Y18" s="373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4"/>
      <c r="Q19" s="1350" t="str">
        <f>B19</f>
        <v>公共配套设施</v>
      </c>
      <c r="R19" s="704" t="s">
        <v>14</v>
      </c>
      <c r="S19" s="705">
        <f>F19</f>
        <v>100</v>
      </c>
      <c r="T19" s="704" t="s">
        <v>14</v>
      </c>
      <c r="U19" s="705">
        <f>H19</f>
        <v>100</v>
      </c>
      <c r="V19" s="704" t="s">
        <v>14</v>
      </c>
      <c r="W19" s="705">
        <f>J19</f>
        <v>100</v>
      </c>
      <c r="X19" s="1353"/>
      <c r="Y19" s="373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34"/>
      <c r="Q20" s="1350"/>
      <c r="R20" s="704"/>
      <c r="S20" s="705"/>
      <c r="T20" s="704"/>
      <c r="U20" s="705"/>
      <c r="V20" s="704"/>
      <c r="W20" s="705"/>
      <c r="X20" s="1353"/>
      <c r="Y20" s="373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4"/>
      <c r="Q21" s="1350" t="str">
        <f>B21</f>
        <v>基础设施水平</v>
      </c>
      <c r="R21" s="704" t="s">
        <v>14</v>
      </c>
      <c r="S21" s="705">
        <f>F21</f>
        <v>100</v>
      </c>
      <c r="T21" s="704" t="s">
        <v>14</v>
      </c>
      <c r="U21" s="705">
        <f>H21</f>
        <v>100</v>
      </c>
      <c r="V21" s="704" t="s">
        <v>14</v>
      </c>
      <c r="W21" s="705">
        <f>J21</f>
        <v>100</v>
      </c>
      <c r="X21" s="1353"/>
      <c r="Y21" s="373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34"/>
      <c r="Q22" s="1350"/>
      <c r="R22" s="704"/>
      <c r="S22" s="705"/>
      <c r="T22" s="704"/>
      <c r="U22" s="705"/>
      <c r="V22" s="704"/>
      <c r="W22" s="705"/>
      <c r="X22" s="1353"/>
      <c r="Y22" s="373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4"/>
      <c r="Q23" s="1350" t="str">
        <f>B23</f>
        <v>环境质量</v>
      </c>
      <c r="R23" s="704" t="s">
        <v>14</v>
      </c>
      <c r="S23" s="705">
        <f>F23</f>
        <v>100</v>
      </c>
      <c r="T23" s="704" t="s">
        <v>14</v>
      </c>
      <c r="U23" s="705">
        <f>H23</f>
        <v>100</v>
      </c>
      <c r="V23" s="704" t="s">
        <v>14</v>
      </c>
      <c r="W23" s="705">
        <f>J23</f>
        <v>100</v>
      </c>
      <c r="X23" s="1353"/>
      <c r="Y23" s="373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34"/>
      <c r="Q24" s="1350"/>
      <c r="R24" s="704"/>
      <c r="S24" s="705"/>
      <c r="T24" s="704"/>
      <c r="U24" s="705"/>
      <c r="V24" s="704"/>
      <c r="W24" s="705"/>
      <c r="X24" s="1353"/>
      <c r="Y24" s="373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4"/>
      <c r="Q25" s="1350">
        <f>B25</f>
        <v>111</v>
      </c>
      <c r="R25" s="704" t="s">
        <v>14</v>
      </c>
      <c r="S25" s="705">
        <f>F25</f>
        <v>100</v>
      </c>
      <c r="T25" s="704" t="s">
        <v>14</v>
      </c>
      <c r="U25" s="705">
        <f>H25</f>
        <v>100</v>
      </c>
      <c r="V25" s="704" t="s">
        <v>14</v>
      </c>
      <c r="W25" s="705">
        <f>J25</f>
        <v>100</v>
      </c>
      <c r="X25" s="1353"/>
      <c r="Y25" s="373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4"/>
      <c r="Q26" s="1350">
        <f t="shared" ref="Q26:Q40" si="11">B26</f>
        <v>111</v>
      </c>
      <c r="R26" s="704" t="s">
        <v>14</v>
      </c>
      <c r="S26" s="705">
        <f>F26</f>
        <v>100</v>
      </c>
      <c r="T26" s="704" t="s">
        <v>14</v>
      </c>
      <c r="U26" s="705">
        <f>H26</f>
        <v>100</v>
      </c>
      <c r="V26" s="704" t="s">
        <v>14</v>
      </c>
      <c r="W26" s="705">
        <f>J26</f>
        <v>100</v>
      </c>
      <c r="X26" s="1353"/>
      <c r="Y26" s="373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4"/>
      <c r="Q27" s="1341">
        <f t="shared" si="11"/>
        <v>111</v>
      </c>
      <c r="R27" s="700" t="s">
        <v>14</v>
      </c>
      <c r="S27" s="701">
        <f>F27</f>
        <v>100</v>
      </c>
      <c r="T27" s="700" t="s">
        <v>14</v>
      </c>
      <c r="U27" s="701">
        <f>H27</f>
        <v>100</v>
      </c>
      <c r="V27" s="700" t="s">
        <v>14</v>
      </c>
      <c r="W27" s="701">
        <f>J27</f>
        <v>100</v>
      </c>
      <c r="X27" s="702"/>
      <c r="Y27" s="373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4"/>
      <c r="Q28" s="1350">
        <f t="shared" si="11"/>
        <v>111</v>
      </c>
      <c r="R28" s="704" t="s">
        <v>14</v>
      </c>
      <c r="S28" s="705">
        <f t="shared" ref="S28:S40" si="12">F28</f>
        <v>100</v>
      </c>
      <c r="T28" s="704" t="s">
        <v>14</v>
      </c>
      <c r="U28" s="705">
        <f t="shared" ref="U28:U40" si="13">H28</f>
        <v>100</v>
      </c>
      <c r="V28" s="704" t="s">
        <v>14</v>
      </c>
      <c r="W28" s="705">
        <f t="shared" ref="W28:W40" si="14">J28</f>
        <v>100</v>
      </c>
      <c r="X28" s="1353"/>
      <c r="Y28" s="373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9" t="s">
        <v>1696</v>
      </c>
      <c r="Q29" s="1350" t="str">
        <f t="shared" si="11"/>
        <v>建筑类型</v>
      </c>
      <c r="R29" s="704" t="s">
        <v>14</v>
      </c>
      <c r="S29" s="705">
        <f t="shared" si="12"/>
        <v>100</v>
      </c>
      <c r="T29" s="704" t="s">
        <v>14</v>
      </c>
      <c r="U29" s="705">
        <f t="shared" si="13"/>
        <v>100</v>
      </c>
      <c r="V29" s="704" t="s">
        <v>14</v>
      </c>
      <c r="W29" s="705">
        <f t="shared" si="14"/>
        <v>100</v>
      </c>
      <c r="X29" s="1353"/>
      <c r="Y29" s="373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8"/>
      <c r="Q30" s="706" t="str">
        <f t="shared" si="11"/>
        <v>项目建筑规模</v>
      </c>
      <c r="R30" s="707" t="s">
        <v>14</v>
      </c>
      <c r="S30" s="708" t="e">
        <f t="shared" si="12"/>
        <v>#N/A</v>
      </c>
      <c r="T30" s="707" t="s">
        <v>14</v>
      </c>
      <c r="U30" s="708" t="e">
        <f t="shared" si="13"/>
        <v>#N/A</v>
      </c>
      <c r="V30" s="707" t="s">
        <v>14</v>
      </c>
      <c r="W30" s="708" t="e">
        <f t="shared" si="14"/>
        <v>#N/A</v>
      </c>
      <c r="X30" s="709"/>
      <c r="Y30" s="373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8"/>
      <c r="Q31" s="1350" t="str">
        <f t="shared" si="11"/>
        <v>建筑结构</v>
      </c>
      <c r="R31" s="704" t="s">
        <v>14</v>
      </c>
      <c r="S31" s="705">
        <f t="shared" si="12"/>
        <v>100</v>
      </c>
      <c r="T31" s="704" t="s">
        <v>14</v>
      </c>
      <c r="U31" s="705">
        <f t="shared" si="13"/>
        <v>100</v>
      </c>
      <c r="V31" s="704" t="s">
        <v>14</v>
      </c>
      <c r="W31" s="705">
        <f t="shared" si="14"/>
        <v>100</v>
      </c>
      <c r="X31" s="1353"/>
      <c r="Y31" s="373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8"/>
      <c r="Q32" s="1350" t="str">
        <f t="shared" si="11"/>
        <v>公共部分装修</v>
      </c>
      <c r="R32" s="704" t="s">
        <v>14</v>
      </c>
      <c r="S32" s="705">
        <f t="shared" si="12"/>
        <v>100</v>
      </c>
      <c r="T32" s="704" t="s">
        <v>14</v>
      </c>
      <c r="U32" s="705">
        <f t="shared" si="13"/>
        <v>100</v>
      </c>
      <c r="V32" s="704" t="s">
        <v>14</v>
      </c>
      <c r="W32" s="705">
        <f t="shared" si="14"/>
        <v>100</v>
      </c>
      <c r="X32" s="1353"/>
      <c r="Y32" s="373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8"/>
      <c r="Q33" s="1350" t="str">
        <f t="shared" si="11"/>
        <v>成新度</v>
      </c>
      <c r="R33" s="704" t="s">
        <v>14</v>
      </c>
      <c r="S33" s="705" t="e">
        <f t="shared" si="12"/>
        <v>#N/A</v>
      </c>
      <c r="T33" s="704" t="s">
        <v>14</v>
      </c>
      <c r="U33" s="705" t="e">
        <f t="shared" si="13"/>
        <v>#N/A</v>
      </c>
      <c r="V33" s="704" t="s">
        <v>14</v>
      </c>
      <c r="W33" s="705" t="e">
        <f t="shared" si="14"/>
        <v>#N/A</v>
      </c>
      <c r="X33" s="1353"/>
      <c r="Y33" s="373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8"/>
      <c r="Q34" s="1341" t="str">
        <f t="shared" si="11"/>
        <v>物业管理</v>
      </c>
      <c r="R34" s="700" t="s">
        <v>14</v>
      </c>
      <c r="S34" s="701">
        <f t="shared" si="12"/>
        <v>100</v>
      </c>
      <c r="T34" s="700" t="s">
        <v>14</v>
      </c>
      <c r="U34" s="701">
        <f t="shared" si="13"/>
        <v>100</v>
      </c>
      <c r="V34" s="700" t="s">
        <v>14</v>
      </c>
      <c r="W34" s="701">
        <f t="shared" si="14"/>
        <v>100</v>
      </c>
      <c r="X34" s="702"/>
      <c r="Y34" s="373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8" t="s">
        <v>1696</v>
      </c>
      <c r="Q35" s="1350" t="str">
        <f t="shared" si="11"/>
        <v>市政基础设施</v>
      </c>
      <c r="R35" s="704" t="s">
        <v>14</v>
      </c>
      <c r="S35" s="705">
        <f t="shared" si="12"/>
        <v>100</v>
      </c>
      <c r="T35" s="704" t="s">
        <v>14</v>
      </c>
      <c r="U35" s="705">
        <f t="shared" si="13"/>
        <v>100</v>
      </c>
      <c r="V35" s="704" t="s">
        <v>14</v>
      </c>
      <c r="W35" s="705">
        <f t="shared" si="14"/>
        <v>100</v>
      </c>
      <c r="X35" s="1353"/>
      <c r="Y35" s="373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8"/>
      <c r="Q36" s="1350" t="str">
        <f t="shared" si="11"/>
        <v>内部装修</v>
      </c>
      <c r="R36" s="704" t="s">
        <v>14</v>
      </c>
      <c r="S36" s="705">
        <f t="shared" si="12"/>
        <v>100</v>
      </c>
      <c r="T36" s="704" t="s">
        <v>14</v>
      </c>
      <c r="U36" s="705">
        <f t="shared" si="13"/>
        <v>100</v>
      </c>
      <c r="V36" s="704" t="s">
        <v>14</v>
      </c>
      <c r="W36" s="705">
        <f t="shared" si="14"/>
        <v>100</v>
      </c>
      <c r="X36" s="1353"/>
      <c r="Y36" s="373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8"/>
      <c r="Q37" s="1350" t="str">
        <f t="shared" si="11"/>
        <v>内部装修状况</v>
      </c>
      <c r="R37" s="704" t="s">
        <v>14</v>
      </c>
      <c r="S37" s="705">
        <f t="shared" si="12"/>
        <v>100</v>
      </c>
      <c r="T37" s="704" t="s">
        <v>14</v>
      </c>
      <c r="U37" s="705">
        <f t="shared" si="13"/>
        <v>100</v>
      </c>
      <c r="V37" s="704" t="s">
        <v>14</v>
      </c>
      <c r="W37" s="705">
        <f t="shared" si="14"/>
        <v>100</v>
      </c>
      <c r="X37" s="1353"/>
      <c r="Y37" s="373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8"/>
      <c r="Q38" s="706">
        <f t="shared" si="11"/>
        <v>111</v>
      </c>
      <c r="R38" s="707" t="s">
        <v>14</v>
      </c>
      <c r="S38" s="708">
        <f t="shared" si="12"/>
        <v>100</v>
      </c>
      <c r="T38" s="707" t="s">
        <v>14</v>
      </c>
      <c r="U38" s="708">
        <f t="shared" si="13"/>
        <v>100</v>
      </c>
      <c r="V38" s="707" t="s">
        <v>14</v>
      </c>
      <c r="W38" s="708">
        <f t="shared" si="14"/>
        <v>100</v>
      </c>
      <c r="X38" s="709"/>
      <c r="Y38" s="3738"/>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8"/>
      <c r="Q39" s="1350">
        <f t="shared" si="11"/>
        <v>111</v>
      </c>
      <c r="R39" s="704" t="s">
        <v>14</v>
      </c>
      <c r="S39" s="705">
        <f t="shared" si="12"/>
        <v>100</v>
      </c>
      <c r="T39" s="704" t="s">
        <v>14</v>
      </c>
      <c r="U39" s="705">
        <f t="shared" si="13"/>
        <v>100</v>
      </c>
      <c r="V39" s="704" t="s">
        <v>14</v>
      </c>
      <c r="W39" s="705">
        <f t="shared" si="14"/>
        <v>100</v>
      </c>
      <c r="X39" s="1353"/>
      <c r="Y39" s="373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9"/>
      <c r="Q40" s="1350">
        <f t="shared" si="11"/>
        <v>111</v>
      </c>
      <c r="R40" s="704" t="s">
        <v>14</v>
      </c>
      <c r="S40" s="705">
        <f t="shared" si="12"/>
        <v>100</v>
      </c>
      <c r="T40" s="704" t="s">
        <v>14</v>
      </c>
      <c r="U40" s="705">
        <f t="shared" si="13"/>
        <v>100</v>
      </c>
      <c r="V40" s="704" t="s">
        <v>14</v>
      </c>
      <c r="W40" s="705">
        <f t="shared" si="14"/>
        <v>100</v>
      </c>
      <c r="X40" s="1353"/>
      <c r="Y40" s="373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731" t="str">
        <f>A41</f>
        <v>成交单价（元/平方米）</v>
      </c>
      <c r="Q41" s="3731"/>
      <c r="R41" s="3732">
        <f>E41</f>
        <v>0</v>
      </c>
      <c r="S41" s="3732"/>
      <c r="T41" s="3732">
        <f>G41</f>
        <v>0</v>
      </c>
      <c r="U41" s="3732"/>
      <c r="V41" s="3732">
        <f>I41</f>
        <v>0</v>
      </c>
      <c r="W41" s="3732"/>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01" t="s">
        <v>1771</v>
      </c>
      <c r="S4" s="3702"/>
      <c r="T4" s="3701" t="s">
        <v>1772</v>
      </c>
      <c r="U4" s="3702"/>
      <c r="V4" s="3726" t="s">
        <v>1773</v>
      </c>
      <c r="W4" s="3726"/>
      <c r="X4" s="1353"/>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3"/>
      <c r="M5" s="2714"/>
      <c r="N5" s="2714"/>
      <c r="O5" s="2714"/>
      <c r="P5" s="3720"/>
      <c r="Q5" s="3721"/>
      <c r="R5" s="3703"/>
      <c r="S5" s="3704"/>
      <c r="T5" s="3703"/>
      <c r="U5" s="3704"/>
      <c r="V5" s="3726"/>
      <c r="W5" s="3726"/>
      <c r="X5" s="1353"/>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3"/>
      <c r="M6" s="2714"/>
      <c r="N6" s="2714"/>
      <c r="O6" s="2714"/>
      <c r="P6" s="3722"/>
      <c r="Q6" s="3723"/>
      <c r="R6" s="3703"/>
      <c r="S6" s="3704"/>
      <c r="T6" s="3724"/>
      <c r="U6" s="3725"/>
      <c r="V6" s="3726"/>
      <c r="W6" s="3726"/>
      <c r="X6" s="1353"/>
      <c r="Y6" s="3724"/>
      <c r="Z6" s="3725"/>
      <c r="AA6" s="3698"/>
      <c r="AB6" s="3698"/>
      <c r="AC6" s="3698"/>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1680</v>
      </c>
      <c r="Q7" s="3727"/>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1" t="s">
        <v>1686</v>
      </c>
      <c r="Q9" s="1341" t="str">
        <f t="shared" ref="Q9:Q14" si="6">B9</f>
        <v>用途</v>
      </c>
      <c r="R9" s="700" t="s">
        <v>14</v>
      </c>
      <c r="S9" s="701">
        <f t="shared" si="0"/>
        <v>100</v>
      </c>
      <c r="T9" s="700" t="s">
        <v>14</v>
      </c>
      <c r="U9" s="701">
        <f t="shared" si="1"/>
        <v>100</v>
      </c>
      <c r="V9" s="700" t="s">
        <v>14</v>
      </c>
      <c r="W9" s="701">
        <f t="shared" si="2"/>
        <v>100</v>
      </c>
      <c r="X9" s="702"/>
      <c r="Y9" s="3643"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1"/>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1"/>
      <c r="Q11" s="1341">
        <f t="shared" si="6"/>
        <v>111</v>
      </c>
      <c r="R11" s="700" t="s">
        <v>14</v>
      </c>
      <c r="S11" s="701">
        <f t="shared" si="0"/>
        <v>100</v>
      </c>
      <c r="T11" s="700" t="s">
        <v>14</v>
      </c>
      <c r="U11" s="701">
        <f t="shared" si="1"/>
        <v>100</v>
      </c>
      <c r="V11" s="700" t="s">
        <v>14</v>
      </c>
      <c r="W11" s="701">
        <f t="shared" si="2"/>
        <v>100</v>
      </c>
      <c r="X11" s="702"/>
      <c r="Y11" s="364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1"/>
      <c r="Q12" s="1341">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1"/>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3" t="s">
        <v>1691</v>
      </c>
      <c r="Q14" s="1350" t="str">
        <f t="shared" si="6"/>
        <v>交通便捷度</v>
      </c>
      <c r="R14" s="704" t="s">
        <v>14</v>
      </c>
      <c r="S14" s="705">
        <f t="shared" si="0"/>
        <v>100</v>
      </c>
      <c r="T14" s="704" t="s">
        <v>14</v>
      </c>
      <c r="U14" s="705">
        <f t="shared" si="1"/>
        <v>100</v>
      </c>
      <c r="V14" s="704" t="s">
        <v>14</v>
      </c>
      <c r="W14" s="705">
        <f t="shared" si="2"/>
        <v>100</v>
      </c>
      <c r="X14" s="1353"/>
      <c r="Y14" s="373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34"/>
      <c r="Q15" s="1350"/>
      <c r="R15" s="704"/>
      <c r="S15" s="705"/>
      <c r="T15" s="704"/>
      <c r="U15" s="705"/>
      <c r="V15" s="704"/>
      <c r="W15" s="705"/>
      <c r="X15" s="1353"/>
      <c r="Y15" s="3734"/>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4"/>
      <c r="Q16" s="1350" t="str">
        <f>B16</f>
        <v>公共配套设施</v>
      </c>
      <c r="R16" s="704" t="s">
        <v>14</v>
      </c>
      <c r="S16" s="705">
        <f>F16</f>
        <v>100</v>
      </c>
      <c r="T16" s="704" t="s">
        <v>14</v>
      </c>
      <c r="U16" s="705">
        <f>H16</f>
        <v>100</v>
      </c>
      <c r="V16" s="704" t="s">
        <v>14</v>
      </c>
      <c r="W16" s="705">
        <f>J16</f>
        <v>100</v>
      </c>
      <c r="X16" s="1353"/>
      <c r="Y16" s="373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34"/>
      <c r="Q17" s="1350"/>
      <c r="R17" s="704"/>
      <c r="S17" s="705"/>
      <c r="T17" s="704"/>
      <c r="U17" s="705"/>
      <c r="V17" s="704"/>
      <c r="W17" s="705"/>
      <c r="X17" s="1353"/>
      <c r="Y17" s="3734"/>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4"/>
      <c r="Q18" s="1350" t="str">
        <f>B18</f>
        <v>基础设施水平</v>
      </c>
      <c r="R18" s="704" t="s">
        <v>14</v>
      </c>
      <c r="S18" s="705">
        <f>F18</f>
        <v>100</v>
      </c>
      <c r="T18" s="704" t="s">
        <v>14</v>
      </c>
      <c r="U18" s="705">
        <f>H18</f>
        <v>100</v>
      </c>
      <c r="V18" s="704" t="s">
        <v>14</v>
      </c>
      <c r="W18" s="705">
        <f>J18</f>
        <v>100</v>
      </c>
      <c r="X18" s="1353"/>
      <c r="Y18" s="373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34"/>
      <c r="Q19" s="1350"/>
      <c r="R19" s="704"/>
      <c r="S19" s="705"/>
      <c r="T19" s="704"/>
      <c r="U19" s="705"/>
      <c r="V19" s="704"/>
      <c r="W19" s="705"/>
      <c r="X19" s="1353"/>
      <c r="Y19" s="3734"/>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4"/>
      <c r="Q20" s="1350" t="str">
        <f>B20</f>
        <v>自然及人文环境</v>
      </c>
      <c r="R20" s="704" t="s">
        <v>14</v>
      </c>
      <c r="S20" s="705">
        <f>F20</f>
        <v>100</v>
      </c>
      <c r="T20" s="704" t="s">
        <v>14</v>
      </c>
      <c r="U20" s="705">
        <f>H20</f>
        <v>100</v>
      </c>
      <c r="V20" s="704" t="s">
        <v>14</v>
      </c>
      <c r="W20" s="705">
        <f>J20</f>
        <v>100</v>
      </c>
      <c r="X20" s="1353"/>
      <c r="Y20" s="373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34"/>
      <c r="Q21" s="1350"/>
      <c r="R21" s="704"/>
      <c r="S21" s="705"/>
      <c r="T21" s="704"/>
      <c r="U21" s="705"/>
      <c r="V21" s="704"/>
      <c r="W21" s="705"/>
      <c r="X21" s="1353"/>
      <c r="Y21" s="373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4"/>
      <c r="Q22" s="1350" t="str">
        <f>B22</f>
        <v>楼层</v>
      </c>
      <c r="R22" s="704" t="s">
        <v>14</v>
      </c>
      <c r="S22" s="705">
        <f>F22</f>
        <v>100</v>
      </c>
      <c r="T22" s="704" t="s">
        <v>14</v>
      </c>
      <c r="U22" s="705">
        <f>H22</f>
        <v>100</v>
      </c>
      <c r="V22" s="704" t="s">
        <v>14</v>
      </c>
      <c r="W22" s="705">
        <f>J22</f>
        <v>100</v>
      </c>
      <c r="X22" s="1353"/>
      <c r="Y22" s="373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4"/>
      <c r="Q23" s="1350">
        <f>B23</f>
        <v>111</v>
      </c>
      <c r="R23" s="704" t="s">
        <v>14</v>
      </c>
      <c r="S23" s="705">
        <f>F23</f>
        <v>100</v>
      </c>
      <c r="T23" s="704" t="s">
        <v>14</v>
      </c>
      <c r="U23" s="705">
        <f>H23</f>
        <v>100</v>
      </c>
      <c r="V23" s="704" t="s">
        <v>14</v>
      </c>
      <c r="W23" s="705">
        <f>J23</f>
        <v>100</v>
      </c>
      <c r="X23" s="1353"/>
      <c r="Y23" s="373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4"/>
      <c r="Q24" s="1350">
        <f t="shared" ref="Q24:Q36" si="11">B24</f>
        <v>111</v>
      </c>
      <c r="R24" s="704" t="s">
        <v>14</v>
      </c>
      <c r="S24" s="705">
        <f>F24</f>
        <v>100</v>
      </c>
      <c r="T24" s="704" t="s">
        <v>14</v>
      </c>
      <c r="U24" s="705">
        <f>H24</f>
        <v>100</v>
      </c>
      <c r="V24" s="704" t="s">
        <v>14</v>
      </c>
      <c r="W24" s="705">
        <f>J24</f>
        <v>100</v>
      </c>
      <c r="X24" s="1353"/>
      <c r="Y24" s="373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4"/>
      <c r="Q25" s="1341">
        <f t="shared" si="11"/>
        <v>111</v>
      </c>
      <c r="R25" s="700" t="s">
        <v>14</v>
      </c>
      <c r="S25" s="701">
        <f>F25</f>
        <v>100</v>
      </c>
      <c r="T25" s="700" t="s">
        <v>14</v>
      </c>
      <c r="U25" s="701">
        <f>H25</f>
        <v>100</v>
      </c>
      <c r="V25" s="700" t="s">
        <v>14</v>
      </c>
      <c r="W25" s="701">
        <f>J25</f>
        <v>100</v>
      </c>
      <c r="X25" s="702"/>
      <c r="Y25" s="373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9"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8"/>
      <c r="Q27" s="706" t="str">
        <f t="shared" si="11"/>
        <v>项目停车位配比</v>
      </c>
      <c r="R27" s="707" t="s">
        <v>14</v>
      </c>
      <c r="S27" s="708">
        <f t="shared" si="12"/>
        <v>100</v>
      </c>
      <c r="T27" s="707" t="s">
        <v>14</v>
      </c>
      <c r="U27" s="708">
        <f t="shared" si="13"/>
        <v>100</v>
      </c>
      <c r="V27" s="707" t="s">
        <v>14</v>
      </c>
      <c r="W27" s="708">
        <f t="shared" si="14"/>
        <v>100</v>
      </c>
      <c r="X27" s="709"/>
      <c r="Y27" s="3738"/>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8"/>
      <c r="Q28" s="1350" t="str">
        <f t="shared" si="11"/>
        <v>公共部分装修</v>
      </c>
      <c r="R28" s="704" t="s">
        <v>14</v>
      </c>
      <c r="S28" s="705">
        <f t="shared" si="12"/>
        <v>100</v>
      </c>
      <c r="T28" s="704" t="s">
        <v>14</v>
      </c>
      <c r="U28" s="705">
        <f t="shared" si="13"/>
        <v>100</v>
      </c>
      <c r="V28" s="704" t="s">
        <v>14</v>
      </c>
      <c r="W28" s="705">
        <f t="shared" si="14"/>
        <v>100</v>
      </c>
      <c r="X28" s="1353"/>
      <c r="Y28" s="373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8"/>
      <c r="Q29" s="1350" t="str">
        <f t="shared" si="11"/>
        <v>成新率</v>
      </c>
      <c r="R29" s="704" t="s">
        <v>14</v>
      </c>
      <c r="S29" s="705" t="e">
        <f t="shared" si="12"/>
        <v>#N/A</v>
      </c>
      <c r="T29" s="704" t="s">
        <v>14</v>
      </c>
      <c r="U29" s="705" t="e">
        <f t="shared" si="13"/>
        <v>#N/A</v>
      </c>
      <c r="V29" s="704" t="s">
        <v>14</v>
      </c>
      <c r="W29" s="705" t="e">
        <f t="shared" si="14"/>
        <v>#N/A</v>
      </c>
      <c r="X29" s="1353"/>
      <c r="Y29" s="373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8"/>
      <c r="Q30" s="1350" t="str">
        <f t="shared" si="11"/>
        <v>物业等级</v>
      </c>
      <c r="R30" s="704" t="s">
        <v>14</v>
      </c>
      <c r="S30" s="705">
        <f t="shared" si="12"/>
        <v>100</v>
      </c>
      <c r="T30" s="704" t="s">
        <v>14</v>
      </c>
      <c r="U30" s="705">
        <f t="shared" si="13"/>
        <v>100</v>
      </c>
      <c r="V30" s="704" t="s">
        <v>14</v>
      </c>
      <c r="W30" s="705">
        <f t="shared" si="14"/>
        <v>100</v>
      </c>
      <c r="X30" s="1353"/>
      <c r="Y30" s="373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8"/>
      <c r="Q31" s="1341" t="str">
        <f t="shared" si="11"/>
        <v>停车位面积</v>
      </c>
      <c r="R31" s="700" t="s">
        <v>14</v>
      </c>
      <c r="S31" s="701" t="e">
        <f t="shared" si="12"/>
        <v>#N/A</v>
      </c>
      <c r="T31" s="700" t="s">
        <v>14</v>
      </c>
      <c r="U31" s="701" t="e">
        <f t="shared" si="13"/>
        <v>#N/A</v>
      </c>
      <c r="V31" s="700" t="s">
        <v>14</v>
      </c>
      <c r="W31" s="701" t="e">
        <f t="shared" si="14"/>
        <v>#N/A</v>
      </c>
      <c r="X31" s="702"/>
      <c r="Y31" s="373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8" t="s">
        <v>1696</v>
      </c>
      <c r="Q32" s="1350" t="str">
        <f t="shared" si="11"/>
        <v>车位类型</v>
      </c>
      <c r="R32" s="704" t="s">
        <v>14</v>
      </c>
      <c r="S32" s="705">
        <f t="shared" si="12"/>
        <v>100</v>
      </c>
      <c r="T32" s="704" t="s">
        <v>14</v>
      </c>
      <c r="U32" s="705">
        <f t="shared" si="13"/>
        <v>100</v>
      </c>
      <c r="V32" s="704" t="s">
        <v>14</v>
      </c>
      <c r="W32" s="705">
        <f t="shared" si="14"/>
        <v>100</v>
      </c>
      <c r="X32" s="1353"/>
      <c r="Y32" s="373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8"/>
      <c r="Q33" s="1350" t="str">
        <f t="shared" si="11"/>
        <v>是否直接入户</v>
      </c>
      <c r="R33" s="704" t="s">
        <v>14</v>
      </c>
      <c r="S33" s="705">
        <f t="shared" si="12"/>
        <v>100</v>
      </c>
      <c r="T33" s="704" t="s">
        <v>14</v>
      </c>
      <c r="U33" s="705">
        <f t="shared" si="13"/>
        <v>100</v>
      </c>
      <c r="V33" s="704" t="s">
        <v>14</v>
      </c>
      <c r="W33" s="705">
        <f t="shared" si="14"/>
        <v>100</v>
      </c>
      <c r="X33" s="1353"/>
      <c r="Y33" s="373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8"/>
      <c r="Q34" s="1350">
        <f t="shared" si="11"/>
        <v>111</v>
      </c>
      <c r="R34" s="704" t="s">
        <v>14</v>
      </c>
      <c r="S34" s="705">
        <f t="shared" si="12"/>
        <v>100</v>
      </c>
      <c r="T34" s="704" t="s">
        <v>14</v>
      </c>
      <c r="U34" s="705">
        <f t="shared" si="13"/>
        <v>100</v>
      </c>
      <c r="V34" s="704" t="s">
        <v>14</v>
      </c>
      <c r="W34" s="705">
        <f t="shared" si="14"/>
        <v>100</v>
      </c>
      <c r="X34" s="1353"/>
      <c r="Y34" s="373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8"/>
      <c r="Q35" s="706">
        <f t="shared" si="11"/>
        <v>111</v>
      </c>
      <c r="R35" s="707" t="s">
        <v>14</v>
      </c>
      <c r="S35" s="708">
        <f t="shared" si="12"/>
        <v>100</v>
      </c>
      <c r="T35" s="707" t="s">
        <v>14</v>
      </c>
      <c r="U35" s="708">
        <f t="shared" si="13"/>
        <v>100</v>
      </c>
      <c r="V35" s="707" t="s">
        <v>14</v>
      </c>
      <c r="W35" s="708">
        <f t="shared" si="14"/>
        <v>100</v>
      </c>
      <c r="X35" s="709"/>
      <c r="Y35" s="3738"/>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8"/>
      <c r="Q36" s="1350">
        <f t="shared" si="11"/>
        <v>111</v>
      </c>
      <c r="R36" s="704" t="s">
        <v>14</v>
      </c>
      <c r="S36" s="705">
        <f t="shared" si="12"/>
        <v>100</v>
      </c>
      <c r="T36" s="704" t="s">
        <v>14</v>
      </c>
      <c r="U36" s="705">
        <f t="shared" si="13"/>
        <v>100</v>
      </c>
      <c r="V36" s="704" t="s">
        <v>14</v>
      </c>
      <c r="W36" s="705">
        <f t="shared" si="14"/>
        <v>100</v>
      </c>
      <c r="X36" s="1353"/>
      <c r="Y36" s="3738"/>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31" t="str">
        <f>A37</f>
        <v>成交单价</v>
      </c>
      <c r="Q37" s="3731"/>
      <c r="R37" s="3732">
        <f>E37</f>
        <v>0</v>
      </c>
      <c r="S37" s="3732"/>
      <c r="T37" s="3732">
        <f>G37</f>
        <v>0</v>
      </c>
      <c r="U37" s="3732"/>
      <c r="V37" s="3732">
        <f>I37</f>
        <v>0</v>
      </c>
      <c r="W37" s="3732"/>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728" t="str">
        <f>A39</f>
        <v>估价对象XX用房的比较价值（楼面单价，元/平方米）</v>
      </c>
      <c r="Q39" s="3729"/>
      <c r="R39" s="3760" t="e">
        <f>IF(F1="售价",ROUND(IF(D38="简单平均",AVERAGE(R38:W38),R38*F38+T38*H38+V38*J38),0),ROUND(IF(D38="简单平均",AVERAGE(R38:V38),R38*F38+T38*H38+V38*J38),1))</f>
        <v>#DIV/0!</v>
      </c>
      <c r="S39" s="3760"/>
      <c r="T39" s="3760"/>
      <c r="U39" s="3760"/>
      <c r="V39" s="3760"/>
      <c r="W39" s="3760"/>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01" t="s">
        <v>1771</v>
      </c>
      <c r="S4" s="3702"/>
      <c r="T4" s="3701" t="s">
        <v>1772</v>
      </c>
      <c r="U4" s="3702"/>
      <c r="V4" s="3726" t="s">
        <v>1773</v>
      </c>
      <c r="W4" s="3726"/>
      <c r="X4" s="1353"/>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3"/>
      <c r="M5" s="2714"/>
      <c r="N5" s="2714"/>
      <c r="O5" s="2714"/>
      <c r="P5" s="3720"/>
      <c r="Q5" s="3721"/>
      <c r="R5" s="3703"/>
      <c r="S5" s="3704"/>
      <c r="T5" s="3703"/>
      <c r="U5" s="3704"/>
      <c r="V5" s="3726"/>
      <c r="W5" s="3726"/>
      <c r="X5" s="1353"/>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3"/>
      <c r="M6" s="2714"/>
      <c r="N6" s="2714"/>
      <c r="O6" s="2714"/>
      <c r="P6" s="3722"/>
      <c r="Q6" s="3723"/>
      <c r="R6" s="3703"/>
      <c r="S6" s="3704"/>
      <c r="T6" s="3724"/>
      <c r="U6" s="3725"/>
      <c r="V6" s="3726"/>
      <c r="W6" s="3726"/>
      <c r="X6" s="1353"/>
      <c r="Y6" s="3724"/>
      <c r="Z6" s="3725"/>
      <c r="AA6" s="3698"/>
      <c r="AB6" s="3698"/>
      <c r="AC6" s="3698"/>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9" t="s">
        <v>1680</v>
      </c>
      <c r="Q7" s="3727"/>
      <c r="R7" s="700" t="s">
        <v>14</v>
      </c>
      <c r="S7" s="701">
        <f t="shared" ref="S7:S14" si="0">F7</f>
        <v>0</v>
      </c>
      <c r="T7" s="700" t="s">
        <v>14</v>
      </c>
      <c r="U7" s="701">
        <f t="shared" ref="U7:U14" si="1">H7</f>
        <v>0</v>
      </c>
      <c r="V7" s="700" t="s">
        <v>14</v>
      </c>
      <c r="W7" s="701">
        <f t="shared" ref="W7:W14" si="2">J7</f>
        <v>0</v>
      </c>
      <c r="X7" s="702"/>
      <c r="Y7" s="3699" t="s">
        <v>1680</v>
      </c>
      <c r="Z7" s="370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1683</v>
      </c>
      <c r="Q8" s="3700"/>
      <c r="R8" s="700" t="s">
        <v>14</v>
      </c>
      <c r="S8" s="701">
        <f t="shared" si="0"/>
        <v>100</v>
      </c>
      <c r="T8" s="700" t="s">
        <v>14</v>
      </c>
      <c r="U8" s="701">
        <f t="shared" si="1"/>
        <v>100</v>
      </c>
      <c r="V8" s="700" t="s">
        <v>14</v>
      </c>
      <c r="W8" s="701">
        <f t="shared" si="2"/>
        <v>100</v>
      </c>
      <c r="X8" s="702"/>
      <c r="Y8" s="3699" t="s">
        <v>1683</v>
      </c>
      <c r="Z8" s="370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1" t="s">
        <v>1686</v>
      </c>
      <c r="Q9" s="1341" t="str">
        <f t="shared" ref="Q9:Q14" si="6">B9</f>
        <v>用途</v>
      </c>
      <c r="R9" s="700" t="s">
        <v>14</v>
      </c>
      <c r="S9" s="701">
        <f t="shared" si="0"/>
        <v>100</v>
      </c>
      <c r="T9" s="700" t="s">
        <v>14</v>
      </c>
      <c r="U9" s="701">
        <f t="shared" si="1"/>
        <v>100</v>
      </c>
      <c r="V9" s="700" t="s">
        <v>14</v>
      </c>
      <c r="W9" s="701">
        <f t="shared" si="2"/>
        <v>100</v>
      </c>
      <c r="X9" s="702"/>
      <c r="Y9" s="3643"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1"/>
      <c r="Q10" s="1341" t="str">
        <f t="shared" si="6"/>
        <v>土地使用年限（年）</v>
      </c>
      <c r="R10" s="700" t="s">
        <v>14</v>
      </c>
      <c r="S10" s="701">
        <f t="shared" si="0"/>
        <v>100</v>
      </c>
      <c r="T10" s="700" t="s">
        <v>14</v>
      </c>
      <c r="U10" s="701">
        <f t="shared" si="1"/>
        <v>100</v>
      </c>
      <c r="V10" s="700" t="s">
        <v>14</v>
      </c>
      <c r="W10" s="701">
        <f t="shared" si="2"/>
        <v>100</v>
      </c>
      <c r="X10" s="702"/>
      <c r="Y10" s="364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1"/>
      <c r="Q11" s="1341">
        <f t="shared" si="6"/>
        <v>111</v>
      </c>
      <c r="R11" s="700" t="s">
        <v>14</v>
      </c>
      <c r="S11" s="701">
        <f t="shared" si="0"/>
        <v>100</v>
      </c>
      <c r="T11" s="700" t="s">
        <v>14</v>
      </c>
      <c r="U11" s="701">
        <f t="shared" si="1"/>
        <v>100</v>
      </c>
      <c r="V11" s="700" t="s">
        <v>14</v>
      </c>
      <c r="W11" s="701">
        <f t="shared" si="2"/>
        <v>100</v>
      </c>
      <c r="X11" s="702"/>
      <c r="Y11" s="364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1"/>
      <c r="Q12" s="1341">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31"/>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3" t="s">
        <v>1691</v>
      </c>
      <c r="Q14" s="1350" t="str">
        <f t="shared" si="6"/>
        <v>交通便捷度</v>
      </c>
      <c r="R14" s="704" t="s">
        <v>14</v>
      </c>
      <c r="S14" s="705">
        <f t="shared" si="0"/>
        <v>100</v>
      </c>
      <c r="T14" s="704" t="s">
        <v>14</v>
      </c>
      <c r="U14" s="705">
        <f t="shared" si="1"/>
        <v>100</v>
      </c>
      <c r="V14" s="704" t="s">
        <v>14</v>
      </c>
      <c r="W14" s="705">
        <f t="shared" si="2"/>
        <v>100</v>
      </c>
      <c r="X14" s="1353"/>
      <c r="Y14" s="373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34"/>
      <c r="Q15" s="1350"/>
      <c r="R15" s="704"/>
      <c r="S15" s="705"/>
      <c r="T15" s="704"/>
      <c r="U15" s="705"/>
      <c r="V15" s="704"/>
      <c r="W15" s="705"/>
      <c r="X15" s="1353"/>
      <c r="Y15" s="373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4"/>
      <c r="Q16" s="1350" t="str">
        <f>B16</f>
        <v>公共配套设施</v>
      </c>
      <c r="R16" s="704" t="s">
        <v>14</v>
      </c>
      <c r="S16" s="705">
        <f>F16</f>
        <v>100</v>
      </c>
      <c r="T16" s="704" t="s">
        <v>14</v>
      </c>
      <c r="U16" s="705">
        <f>H16</f>
        <v>100</v>
      </c>
      <c r="V16" s="704" t="s">
        <v>14</v>
      </c>
      <c r="W16" s="705">
        <f>J16</f>
        <v>100</v>
      </c>
      <c r="X16" s="1353"/>
      <c r="Y16" s="373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34"/>
      <c r="Q17" s="1350"/>
      <c r="R17" s="704"/>
      <c r="S17" s="705"/>
      <c r="T17" s="704"/>
      <c r="U17" s="705"/>
      <c r="V17" s="704"/>
      <c r="W17" s="705"/>
      <c r="X17" s="1353"/>
      <c r="Y17" s="373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4"/>
      <c r="Q18" s="1350" t="str">
        <f>B18</f>
        <v>基础设施水平</v>
      </c>
      <c r="R18" s="704" t="s">
        <v>14</v>
      </c>
      <c r="S18" s="705">
        <f>F18</f>
        <v>100</v>
      </c>
      <c r="T18" s="704" t="s">
        <v>14</v>
      </c>
      <c r="U18" s="705">
        <f>H18</f>
        <v>100</v>
      </c>
      <c r="V18" s="704" t="s">
        <v>14</v>
      </c>
      <c r="W18" s="705">
        <f>J18</f>
        <v>100</v>
      </c>
      <c r="X18" s="1353"/>
      <c r="Y18" s="373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34"/>
      <c r="Q19" s="1350"/>
      <c r="R19" s="704"/>
      <c r="S19" s="705"/>
      <c r="T19" s="704"/>
      <c r="U19" s="705"/>
      <c r="V19" s="704"/>
      <c r="W19" s="705"/>
      <c r="X19" s="1353"/>
      <c r="Y19" s="373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4"/>
      <c r="Q20" s="1350" t="str">
        <f>B20</f>
        <v>自然及人文环境</v>
      </c>
      <c r="R20" s="704" t="s">
        <v>14</v>
      </c>
      <c r="S20" s="705">
        <f>F20</f>
        <v>100</v>
      </c>
      <c r="T20" s="704" t="s">
        <v>14</v>
      </c>
      <c r="U20" s="705">
        <f>H20</f>
        <v>100</v>
      </c>
      <c r="V20" s="704" t="s">
        <v>14</v>
      </c>
      <c r="W20" s="705">
        <f>J20</f>
        <v>100</v>
      </c>
      <c r="X20" s="1353"/>
      <c r="Y20" s="373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34"/>
      <c r="Q21" s="1350"/>
      <c r="R21" s="704"/>
      <c r="S21" s="705"/>
      <c r="T21" s="704"/>
      <c r="U21" s="705"/>
      <c r="V21" s="704"/>
      <c r="W21" s="705"/>
      <c r="X21" s="1353"/>
      <c r="Y21" s="373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4"/>
      <c r="Q22" s="1350" t="str">
        <f>B22</f>
        <v>楼层</v>
      </c>
      <c r="R22" s="704" t="s">
        <v>14</v>
      </c>
      <c r="S22" s="705">
        <f>F22</f>
        <v>100</v>
      </c>
      <c r="T22" s="704" t="s">
        <v>14</v>
      </c>
      <c r="U22" s="705">
        <f>H22</f>
        <v>100</v>
      </c>
      <c r="V22" s="704" t="s">
        <v>14</v>
      </c>
      <c r="W22" s="705">
        <f>J22</f>
        <v>100</v>
      </c>
      <c r="X22" s="1353"/>
      <c r="Y22" s="373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4"/>
      <c r="Q23" s="1350">
        <f>B23</f>
        <v>111</v>
      </c>
      <c r="R23" s="704" t="s">
        <v>14</v>
      </c>
      <c r="S23" s="705">
        <f>F23</f>
        <v>100</v>
      </c>
      <c r="T23" s="704" t="s">
        <v>14</v>
      </c>
      <c r="U23" s="705">
        <f>H23</f>
        <v>100</v>
      </c>
      <c r="V23" s="704" t="s">
        <v>14</v>
      </c>
      <c r="W23" s="705">
        <f>J23</f>
        <v>100</v>
      </c>
      <c r="X23" s="1353"/>
      <c r="Y23" s="373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4"/>
      <c r="Q24" s="1350">
        <f t="shared" ref="Q24:Q34" si="11">B24</f>
        <v>111</v>
      </c>
      <c r="R24" s="704" t="s">
        <v>14</v>
      </c>
      <c r="S24" s="705">
        <f>F24</f>
        <v>100</v>
      </c>
      <c r="T24" s="704" t="s">
        <v>14</v>
      </c>
      <c r="U24" s="705">
        <f>H24</f>
        <v>100</v>
      </c>
      <c r="V24" s="704" t="s">
        <v>14</v>
      </c>
      <c r="W24" s="705">
        <f>J24</f>
        <v>100</v>
      </c>
      <c r="X24" s="1353"/>
      <c r="Y24" s="373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34"/>
      <c r="Q25" s="1341">
        <f t="shared" si="11"/>
        <v>111</v>
      </c>
      <c r="R25" s="700" t="s">
        <v>14</v>
      </c>
      <c r="S25" s="701">
        <f>F25</f>
        <v>100</v>
      </c>
      <c r="T25" s="700" t="s">
        <v>14</v>
      </c>
      <c r="U25" s="701">
        <f>H25</f>
        <v>100</v>
      </c>
      <c r="V25" s="700" t="s">
        <v>14</v>
      </c>
      <c r="W25" s="701">
        <f>J25</f>
        <v>100</v>
      </c>
      <c r="X25" s="702"/>
      <c r="Y25" s="373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9"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8"/>
      <c r="Q27" s="706" t="str">
        <f t="shared" si="11"/>
        <v>成新率</v>
      </c>
      <c r="R27" s="707" t="s">
        <v>14</v>
      </c>
      <c r="S27" s="708" t="e">
        <f t="shared" si="12"/>
        <v>#N/A</v>
      </c>
      <c r="T27" s="707" t="s">
        <v>14</v>
      </c>
      <c r="U27" s="708" t="e">
        <f t="shared" si="13"/>
        <v>#N/A</v>
      </c>
      <c r="V27" s="707" t="s">
        <v>14</v>
      </c>
      <c r="W27" s="708" t="e">
        <f t="shared" si="14"/>
        <v>#N/A</v>
      </c>
      <c r="X27" s="709"/>
      <c r="Y27" s="373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8"/>
      <c r="Q28" s="1350" t="str">
        <f t="shared" si="11"/>
        <v>物业等级</v>
      </c>
      <c r="R28" s="704" t="s">
        <v>14</v>
      </c>
      <c r="S28" s="705">
        <f t="shared" si="12"/>
        <v>100</v>
      </c>
      <c r="T28" s="704" t="s">
        <v>14</v>
      </c>
      <c r="U28" s="705">
        <f t="shared" si="13"/>
        <v>100</v>
      </c>
      <c r="V28" s="704" t="s">
        <v>14</v>
      </c>
      <c r="W28" s="705">
        <f t="shared" si="14"/>
        <v>100</v>
      </c>
      <c r="X28" s="1353"/>
      <c r="Y28" s="373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8"/>
      <c r="Q29" s="1350" t="str">
        <f t="shared" si="11"/>
        <v>有无电梯</v>
      </c>
      <c r="R29" s="704" t="s">
        <v>14</v>
      </c>
      <c r="S29" s="705">
        <f t="shared" si="12"/>
        <v>100</v>
      </c>
      <c r="T29" s="704" t="s">
        <v>14</v>
      </c>
      <c r="U29" s="705">
        <f t="shared" si="13"/>
        <v>100</v>
      </c>
      <c r="V29" s="704" t="s">
        <v>14</v>
      </c>
      <c r="W29" s="705">
        <f t="shared" si="14"/>
        <v>100</v>
      </c>
      <c r="X29" s="1353"/>
      <c r="Y29" s="373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8"/>
      <c r="Q30" s="1350" t="str">
        <f t="shared" si="11"/>
        <v>建筑面积</v>
      </c>
      <c r="R30" s="704" t="s">
        <v>14</v>
      </c>
      <c r="S30" s="705" t="e">
        <f t="shared" si="12"/>
        <v>#N/A</v>
      </c>
      <c r="T30" s="704" t="s">
        <v>14</v>
      </c>
      <c r="U30" s="705" t="e">
        <f t="shared" si="13"/>
        <v>#N/A</v>
      </c>
      <c r="V30" s="704" t="s">
        <v>14</v>
      </c>
      <c r="W30" s="705" t="e">
        <f t="shared" si="14"/>
        <v>#N/A</v>
      </c>
      <c r="X30" s="1353"/>
      <c r="Y30" s="373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8"/>
      <c r="Q31" s="1341" t="str">
        <f t="shared" si="11"/>
        <v>是否封闭</v>
      </c>
      <c r="R31" s="700" t="s">
        <v>14</v>
      </c>
      <c r="S31" s="701">
        <f t="shared" si="12"/>
        <v>100</v>
      </c>
      <c r="T31" s="700" t="s">
        <v>14</v>
      </c>
      <c r="U31" s="701">
        <f t="shared" si="13"/>
        <v>100</v>
      </c>
      <c r="V31" s="700" t="s">
        <v>14</v>
      </c>
      <c r="W31" s="701">
        <f t="shared" si="14"/>
        <v>100</v>
      </c>
      <c r="X31" s="702"/>
      <c r="Y31" s="373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8" t="s">
        <v>1696</v>
      </c>
      <c r="Q32" s="1350">
        <f t="shared" si="11"/>
        <v>111</v>
      </c>
      <c r="R32" s="704" t="s">
        <v>14</v>
      </c>
      <c r="S32" s="705">
        <f t="shared" si="12"/>
        <v>100</v>
      </c>
      <c r="T32" s="704" t="s">
        <v>14</v>
      </c>
      <c r="U32" s="705">
        <f t="shared" si="13"/>
        <v>100</v>
      </c>
      <c r="V32" s="704" t="s">
        <v>14</v>
      </c>
      <c r="W32" s="705">
        <f t="shared" si="14"/>
        <v>100</v>
      </c>
      <c r="X32" s="1353"/>
      <c r="Y32" s="373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8"/>
      <c r="Q33" s="1350">
        <f t="shared" si="11"/>
        <v>111</v>
      </c>
      <c r="R33" s="704" t="s">
        <v>14</v>
      </c>
      <c r="S33" s="705">
        <f t="shared" si="12"/>
        <v>100</v>
      </c>
      <c r="T33" s="704" t="s">
        <v>14</v>
      </c>
      <c r="U33" s="705">
        <f t="shared" si="13"/>
        <v>100</v>
      </c>
      <c r="V33" s="704" t="s">
        <v>14</v>
      </c>
      <c r="W33" s="705">
        <f t="shared" si="14"/>
        <v>100</v>
      </c>
      <c r="X33" s="1353"/>
      <c r="Y33" s="373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8"/>
      <c r="Q34" s="1350">
        <f t="shared" si="11"/>
        <v>111</v>
      </c>
      <c r="R34" s="704" t="s">
        <v>14</v>
      </c>
      <c r="S34" s="705">
        <f t="shared" si="12"/>
        <v>100</v>
      </c>
      <c r="T34" s="704" t="s">
        <v>14</v>
      </c>
      <c r="U34" s="705">
        <f t="shared" si="13"/>
        <v>100</v>
      </c>
      <c r="V34" s="704" t="s">
        <v>14</v>
      </c>
      <c r="W34" s="705">
        <f t="shared" si="14"/>
        <v>100</v>
      </c>
      <c r="X34" s="1353"/>
      <c r="Y34" s="373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731" t="str">
        <f>A35</f>
        <v>成交单价（元/平方米）</v>
      </c>
      <c r="Q35" s="3731"/>
      <c r="R35" s="3732">
        <f>E35</f>
        <v>0</v>
      </c>
      <c r="S35" s="3732"/>
      <c r="T35" s="3732">
        <f>G35</f>
        <v>0</v>
      </c>
      <c r="U35" s="3732"/>
      <c r="V35" s="3732">
        <f>I35</f>
        <v>0</v>
      </c>
      <c r="W35" s="3732"/>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728" t="str">
        <f>A37</f>
        <v>估价对象XX用房的比较价值（楼面单价，元/平方米）</v>
      </c>
      <c r="Q37" s="3729"/>
      <c r="R37" s="3760" t="e">
        <f>IF(F1="售价",ROUND(IF(D36="简单平均",AVERAGE(R36:W36),R36*F36+T36*H36+V36*J36),0),ROUND(IF(D36="简单平均",AVERAGE(R36:V36),R36*F36+T36*H36+V36*J36),1))</f>
        <v>#DIV/0!</v>
      </c>
      <c r="S37" s="3760"/>
      <c r="T37" s="3760"/>
      <c r="U37" s="3760"/>
      <c r="V37" s="3760"/>
      <c r="W37" s="3760"/>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01" t="s">
        <v>1771</v>
      </c>
      <c r="S4" s="3702"/>
      <c r="T4" s="3701" t="s">
        <v>1772</v>
      </c>
      <c r="U4" s="3702"/>
      <c r="V4" s="3726" t="s">
        <v>1773</v>
      </c>
      <c r="W4" s="3726"/>
      <c r="X4" s="1353"/>
      <c r="Y4" s="3701" t="s">
        <v>1775</v>
      </c>
      <c r="Z4" s="3702"/>
      <c r="AA4" s="3696" t="s">
        <v>1771</v>
      </c>
      <c r="AB4" s="3697" t="s">
        <v>1772</v>
      </c>
      <c r="AC4" s="3696" t="s">
        <v>1773</v>
      </c>
    </row>
    <row r="5" spans="1:30" ht="15">
      <c r="A5" s="358"/>
      <c r="B5" s="359"/>
      <c r="C5" s="3707" t="s">
        <v>1673</v>
      </c>
      <c r="D5" s="3708"/>
      <c r="E5" s="3705" t="s">
        <v>1674</v>
      </c>
      <c r="F5" s="3706"/>
      <c r="G5" s="3707" t="s">
        <v>1675</v>
      </c>
      <c r="H5" s="3708"/>
      <c r="I5" s="3707" t="s">
        <v>1676</v>
      </c>
      <c r="J5" s="3708"/>
      <c r="K5" s="559"/>
      <c r="L5" s="2713"/>
      <c r="M5" s="2714"/>
      <c r="N5" s="2714"/>
      <c r="O5" s="2714"/>
      <c r="P5" s="3720"/>
      <c r="Q5" s="3721"/>
      <c r="R5" s="3703"/>
      <c r="S5" s="3704"/>
      <c r="T5" s="3703"/>
      <c r="U5" s="3704"/>
      <c r="V5" s="3726"/>
      <c r="W5" s="3726"/>
      <c r="X5" s="1353"/>
      <c r="Y5" s="3703"/>
      <c r="Z5" s="3704"/>
      <c r="AA5" s="3697"/>
      <c r="AB5" s="3697"/>
      <c r="AC5" s="3697"/>
    </row>
    <row r="6" spans="1:30" ht="15.75" thickBot="1">
      <c r="A6" s="360"/>
      <c r="B6" s="361"/>
      <c r="C6" s="3709" t="s">
        <v>1677</v>
      </c>
      <c r="D6" s="3710"/>
      <c r="E6" s="3711" t="s">
        <v>1677</v>
      </c>
      <c r="F6" s="3712"/>
      <c r="G6" s="3709" t="s">
        <v>1677</v>
      </c>
      <c r="H6" s="3710"/>
      <c r="I6" s="3709" t="s">
        <v>1677</v>
      </c>
      <c r="J6" s="3710"/>
      <c r="K6" s="559" t="s">
        <v>1678</v>
      </c>
      <c r="L6" s="2713"/>
      <c r="M6" s="2714"/>
      <c r="N6" s="2714"/>
      <c r="O6" s="2714"/>
      <c r="P6" s="3722"/>
      <c r="Q6" s="3723"/>
      <c r="R6" s="3703"/>
      <c r="S6" s="3704"/>
      <c r="T6" s="3724"/>
      <c r="U6" s="3725"/>
      <c r="V6" s="3726"/>
      <c r="W6" s="3726"/>
      <c r="X6" s="1353"/>
      <c r="Y6" s="3724"/>
      <c r="Z6" s="3725"/>
      <c r="AA6" s="3698"/>
      <c r="AB6" s="3698"/>
      <c r="AC6" s="3698"/>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9" t="s">
        <v>1680</v>
      </c>
      <c r="Q7" s="3727"/>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1683</v>
      </c>
      <c r="Q8" s="3700"/>
      <c r="R8" s="700" t="s">
        <v>14</v>
      </c>
      <c r="S8" s="701">
        <f t="shared" si="0"/>
        <v>0</v>
      </c>
      <c r="T8" s="700" t="s">
        <v>14</v>
      </c>
      <c r="U8" s="701">
        <f t="shared" si="1"/>
        <v>0</v>
      </c>
      <c r="V8" s="700" t="s">
        <v>14</v>
      </c>
      <c r="W8" s="701">
        <f t="shared" si="2"/>
        <v>0</v>
      </c>
      <c r="X8" s="702"/>
      <c r="Y8" s="3699" t="s">
        <v>1683</v>
      </c>
      <c r="Z8" s="3700"/>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31"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31"/>
      <c r="Q10" s="1341" t="str">
        <f t="shared" si="6"/>
        <v>土地使用年限（年）</v>
      </c>
      <c r="R10" s="700" t="s">
        <v>14</v>
      </c>
      <c r="S10" s="701">
        <f t="shared" si="0"/>
        <v>108</v>
      </c>
      <c r="T10" s="700" t="s">
        <v>14</v>
      </c>
      <c r="U10" s="701">
        <f t="shared" si="1"/>
        <v>108</v>
      </c>
      <c r="V10" s="700" t="s">
        <v>14</v>
      </c>
      <c r="W10" s="701">
        <f t="shared" si="2"/>
        <v>108</v>
      </c>
      <c r="X10" s="702"/>
      <c r="Y10" s="3643"/>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1"/>
      <c r="Q11" s="1341" t="str">
        <f t="shared" si="6"/>
        <v>容积率</v>
      </c>
      <c r="R11" s="700" t="s">
        <v>14</v>
      </c>
      <c r="S11" s="701" t="e">
        <f t="shared" si="0"/>
        <v>#N/A</v>
      </c>
      <c r="T11" s="700" t="s">
        <v>14</v>
      </c>
      <c r="U11" s="701" t="e">
        <f t="shared" si="1"/>
        <v>#N/A</v>
      </c>
      <c r="V11" s="700" t="s">
        <v>14</v>
      </c>
      <c r="W11" s="701" t="e">
        <f t="shared" si="2"/>
        <v>#N/A</v>
      </c>
      <c r="X11" s="702"/>
      <c r="Y11" s="3643"/>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1"/>
      <c r="Q12" s="1341" t="str">
        <f t="shared" si="6"/>
        <v>配建</v>
      </c>
      <c r="R12" s="700" t="s">
        <v>14</v>
      </c>
      <c r="S12" s="701">
        <f t="shared" si="0"/>
        <v>100</v>
      </c>
      <c r="T12" s="700" t="s">
        <v>14</v>
      </c>
      <c r="U12" s="701">
        <f t="shared" si="1"/>
        <v>100</v>
      </c>
      <c r="V12" s="700" t="s">
        <v>14</v>
      </c>
      <c r="W12" s="701">
        <f t="shared" si="2"/>
        <v>100</v>
      </c>
      <c r="X12" s="702"/>
      <c r="Y12" s="364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1"/>
      <c r="Q13" s="1341">
        <f t="shared" si="6"/>
        <v>111</v>
      </c>
      <c r="R13" s="700" t="s">
        <v>14</v>
      </c>
      <c r="S13" s="701">
        <f t="shared" si="0"/>
        <v>100</v>
      </c>
      <c r="T13" s="700" t="s">
        <v>14</v>
      </c>
      <c r="U13" s="701">
        <f t="shared" si="1"/>
        <v>100</v>
      </c>
      <c r="V13" s="700" t="s">
        <v>14</v>
      </c>
      <c r="W13" s="701">
        <f t="shared" si="2"/>
        <v>100</v>
      </c>
      <c r="X13" s="702"/>
      <c r="Y13" s="364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1"/>
      <c r="Q14" s="1341">
        <f t="shared" si="6"/>
        <v>111</v>
      </c>
      <c r="R14" s="700" t="s">
        <v>14</v>
      </c>
      <c r="S14" s="701">
        <f t="shared" si="0"/>
        <v>100</v>
      </c>
      <c r="T14" s="700" t="s">
        <v>14</v>
      </c>
      <c r="U14" s="701">
        <f t="shared" si="1"/>
        <v>100</v>
      </c>
      <c r="V14" s="700" t="s">
        <v>14</v>
      </c>
      <c r="W14" s="701">
        <f t="shared" si="2"/>
        <v>100</v>
      </c>
      <c r="X14" s="702"/>
      <c r="Y14" s="3643"/>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3" t="s">
        <v>1691</v>
      </c>
      <c r="Q15" s="1350" t="str">
        <f t="shared" si="6"/>
        <v>居住社区成熟度</v>
      </c>
      <c r="R15" s="704" t="s">
        <v>14</v>
      </c>
      <c r="S15" s="705">
        <f t="shared" si="0"/>
        <v>100</v>
      </c>
      <c r="T15" s="704" t="s">
        <v>14</v>
      </c>
      <c r="U15" s="705">
        <f t="shared" si="1"/>
        <v>100</v>
      </c>
      <c r="V15" s="704" t="s">
        <v>14</v>
      </c>
      <c r="W15" s="705">
        <f t="shared" si="2"/>
        <v>100</v>
      </c>
      <c r="X15" s="1353"/>
      <c r="Y15" s="373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34"/>
      <c r="Q16" s="1350"/>
      <c r="R16" s="704"/>
      <c r="S16" s="705"/>
      <c r="T16" s="704"/>
      <c r="U16" s="705"/>
      <c r="V16" s="704"/>
      <c r="W16" s="705"/>
      <c r="X16" s="1353"/>
      <c r="Y16" s="373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4"/>
      <c r="Q17" s="1350" t="str">
        <f>B17</f>
        <v>商业繁华度</v>
      </c>
      <c r="R17" s="704" t="s">
        <v>14</v>
      </c>
      <c r="S17" s="705">
        <f>F17</f>
        <v>100</v>
      </c>
      <c r="T17" s="704" t="s">
        <v>14</v>
      </c>
      <c r="U17" s="705">
        <f>H17</f>
        <v>100</v>
      </c>
      <c r="V17" s="704" t="s">
        <v>14</v>
      </c>
      <c r="W17" s="705">
        <f>J17</f>
        <v>100</v>
      </c>
      <c r="X17" s="1353"/>
      <c r="Y17" s="373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34"/>
      <c r="Q18" s="1350"/>
      <c r="R18" s="704"/>
      <c r="S18" s="705"/>
      <c r="T18" s="704"/>
      <c r="U18" s="705"/>
      <c r="V18" s="704"/>
      <c r="W18" s="705"/>
      <c r="X18" s="1353"/>
      <c r="Y18" s="373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4"/>
      <c r="Q19" s="1350" t="str">
        <f>B19</f>
        <v>办公集聚程度</v>
      </c>
      <c r="R19" s="704" t="s">
        <v>14</v>
      </c>
      <c r="S19" s="705">
        <f>F19</f>
        <v>100</v>
      </c>
      <c r="T19" s="704" t="s">
        <v>14</v>
      </c>
      <c r="U19" s="705">
        <f>H19</f>
        <v>100</v>
      </c>
      <c r="V19" s="704" t="s">
        <v>14</v>
      </c>
      <c r="W19" s="705">
        <f>J19</f>
        <v>100</v>
      </c>
      <c r="X19" s="1353"/>
      <c r="Y19" s="373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34"/>
      <c r="Q20" s="1350"/>
      <c r="R20" s="704"/>
      <c r="S20" s="705"/>
      <c r="T20" s="704"/>
      <c r="U20" s="705"/>
      <c r="V20" s="704"/>
      <c r="W20" s="705"/>
      <c r="X20" s="1353"/>
      <c r="Y20" s="373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4"/>
      <c r="Q21" s="1350" t="str">
        <f>B21</f>
        <v>交通便捷度</v>
      </c>
      <c r="R21" s="704" t="s">
        <v>14</v>
      </c>
      <c r="S21" s="705">
        <f>F21</f>
        <v>100</v>
      </c>
      <c r="T21" s="704" t="s">
        <v>14</v>
      </c>
      <c r="U21" s="705">
        <f>H21</f>
        <v>100</v>
      </c>
      <c r="V21" s="704" t="s">
        <v>14</v>
      </c>
      <c r="W21" s="705">
        <f>J21</f>
        <v>100</v>
      </c>
      <c r="X21" s="1353"/>
      <c r="Y21" s="373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34"/>
      <c r="Q22" s="1350"/>
      <c r="R22" s="704"/>
      <c r="S22" s="705"/>
      <c r="T22" s="704"/>
      <c r="U22" s="705"/>
      <c r="V22" s="704"/>
      <c r="W22" s="705"/>
      <c r="X22" s="1353"/>
      <c r="Y22" s="373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4"/>
      <c r="Q23" s="1350" t="str">
        <f t="shared" ref="Q23:Q37" si="8">B23</f>
        <v>区域土地利用方向</v>
      </c>
      <c r="R23" s="704" t="s">
        <v>14</v>
      </c>
      <c r="S23" s="705">
        <f>F23</f>
        <v>100</v>
      </c>
      <c r="T23" s="704" t="s">
        <v>14</v>
      </c>
      <c r="U23" s="705">
        <f>H23</f>
        <v>100</v>
      </c>
      <c r="V23" s="704" t="s">
        <v>14</v>
      </c>
      <c r="W23" s="705">
        <f>J23</f>
        <v>100</v>
      </c>
      <c r="X23" s="1353"/>
      <c r="Y23" s="373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734"/>
      <c r="Q24" s="1350"/>
      <c r="R24" s="704"/>
      <c r="S24" s="705"/>
      <c r="T24" s="704"/>
      <c r="U24" s="705"/>
      <c r="V24" s="704"/>
      <c r="W24" s="705"/>
      <c r="X24" s="1353"/>
      <c r="Y24" s="373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4"/>
      <c r="Q25" s="1350" t="str">
        <f t="shared" si="8"/>
        <v>自然及人文环境状况</v>
      </c>
      <c r="R25" s="704" t="s">
        <v>14</v>
      </c>
      <c r="S25" s="705">
        <f>F25</f>
        <v>100</v>
      </c>
      <c r="T25" s="704" t="s">
        <v>14</v>
      </c>
      <c r="U25" s="705">
        <f>H25</f>
        <v>100</v>
      </c>
      <c r="V25" s="704" t="s">
        <v>14</v>
      </c>
      <c r="W25" s="705">
        <f>J25</f>
        <v>100</v>
      </c>
      <c r="X25" s="1353"/>
      <c r="Y25" s="373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34"/>
      <c r="Q26" s="1350"/>
      <c r="R26" s="704"/>
      <c r="S26" s="705"/>
      <c r="T26" s="704"/>
      <c r="U26" s="705"/>
      <c r="V26" s="704"/>
      <c r="W26" s="705"/>
      <c r="X26" s="1353"/>
      <c r="Y26" s="3734"/>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4"/>
      <c r="Q27" s="1341" t="str">
        <f t="shared" si="8"/>
        <v>公共配套设施</v>
      </c>
      <c r="R27" s="700" t="s">
        <v>14</v>
      </c>
      <c r="S27" s="701">
        <f>F27</f>
        <v>100</v>
      </c>
      <c r="T27" s="700" t="s">
        <v>14</v>
      </c>
      <c r="U27" s="701">
        <f>H27</f>
        <v>100</v>
      </c>
      <c r="V27" s="700" t="s">
        <v>14</v>
      </c>
      <c r="W27" s="701">
        <f>J27</f>
        <v>100</v>
      </c>
      <c r="X27" s="702"/>
      <c r="Y27" s="373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34"/>
      <c r="Q28" s="1341"/>
      <c r="R28" s="700"/>
      <c r="S28" s="701"/>
      <c r="T28" s="700"/>
      <c r="U28" s="701"/>
      <c r="V28" s="700"/>
      <c r="W28" s="701"/>
      <c r="X28" s="702"/>
      <c r="Y28" s="3734"/>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4"/>
      <c r="Q29" s="1341" t="str">
        <f t="shared" ref="Q29" si="9">B29</f>
        <v>基础设施水平</v>
      </c>
      <c r="R29" s="700" t="s">
        <v>14</v>
      </c>
      <c r="S29" s="701">
        <f>F29</f>
        <v>100</v>
      </c>
      <c r="T29" s="700" t="s">
        <v>14</v>
      </c>
      <c r="U29" s="701">
        <f>H29</f>
        <v>100</v>
      </c>
      <c r="V29" s="700" t="s">
        <v>14</v>
      </c>
      <c r="W29" s="701">
        <f>J29</f>
        <v>100</v>
      </c>
      <c r="X29" s="702"/>
      <c r="Y29" s="373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34"/>
      <c r="Q30" s="1341"/>
      <c r="R30" s="700"/>
      <c r="S30" s="701"/>
      <c r="T30" s="700"/>
      <c r="U30" s="701"/>
      <c r="V30" s="700"/>
      <c r="W30" s="701"/>
      <c r="X30" s="702"/>
      <c r="Y30" s="373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3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4"/>
      <c r="Q32" s="1350" t="str">
        <f t="shared" si="8"/>
        <v>毗邻道路的类型与等级</v>
      </c>
      <c r="R32" s="704" t="s">
        <v>14</v>
      </c>
      <c r="S32" s="705">
        <f t="shared" si="10"/>
        <v>100</v>
      </c>
      <c r="T32" s="704" t="s">
        <v>14</v>
      </c>
      <c r="U32" s="705">
        <f t="shared" si="11"/>
        <v>100</v>
      </c>
      <c r="V32" s="704" t="s">
        <v>14</v>
      </c>
      <c r="W32" s="705">
        <f t="shared" si="12"/>
        <v>100</v>
      </c>
      <c r="X32" s="1353"/>
      <c r="Y32" s="373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34"/>
      <c r="Q33" s="1350"/>
      <c r="R33" s="704"/>
      <c r="S33" s="705"/>
      <c r="T33" s="704"/>
      <c r="U33" s="705"/>
      <c r="V33" s="704"/>
      <c r="W33" s="705"/>
      <c r="X33" s="1353"/>
      <c r="Y33" s="373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4"/>
      <c r="Q34" s="1350" t="str">
        <f t="shared" si="8"/>
        <v>土地级别</v>
      </c>
      <c r="R34" s="704" t="s">
        <v>14</v>
      </c>
      <c r="S34" s="705">
        <f t="shared" si="10"/>
        <v>100</v>
      </c>
      <c r="T34" s="704" t="s">
        <v>14</v>
      </c>
      <c r="U34" s="705">
        <f t="shared" si="11"/>
        <v>100</v>
      </c>
      <c r="V34" s="704" t="s">
        <v>14</v>
      </c>
      <c r="W34" s="705">
        <f t="shared" si="12"/>
        <v>100</v>
      </c>
      <c r="X34" s="1353"/>
      <c r="Y34" s="373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4"/>
      <c r="Q35" s="1350">
        <f t="shared" si="8"/>
        <v>111</v>
      </c>
      <c r="R35" s="704" t="s">
        <v>14</v>
      </c>
      <c r="S35" s="705">
        <f t="shared" si="10"/>
        <v>100</v>
      </c>
      <c r="T35" s="704" t="s">
        <v>14</v>
      </c>
      <c r="U35" s="705">
        <f t="shared" si="11"/>
        <v>100</v>
      </c>
      <c r="V35" s="704" t="s">
        <v>14</v>
      </c>
      <c r="W35" s="705">
        <f t="shared" si="12"/>
        <v>100</v>
      </c>
      <c r="X35" s="1353"/>
      <c r="Y35" s="373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9" t="s">
        <v>1696</v>
      </c>
      <c r="Q36" s="1350">
        <f t="shared" si="8"/>
        <v>111</v>
      </c>
      <c r="R36" s="704" t="s">
        <v>14</v>
      </c>
      <c r="S36" s="705">
        <f t="shared" si="10"/>
        <v>100</v>
      </c>
      <c r="T36" s="704" t="s">
        <v>14</v>
      </c>
      <c r="U36" s="705">
        <f t="shared" si="11"/>
        <v>100</v>
      </c>
      <c r="V36" s="704" t="s">
        <v>14</v>
      </c>
      <c r="W36" s="705">
        <f t="shared" si="12"/>
        <v>100</v>
      </c>
      <c r="X36" s="1353"/>
      <c r="Y36" s="373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8"/>
      <c r="Q37" s="1350">
        <f t="shared" si="8"/>
        <v>111</v>
      </c>
      <c r="R37" s="707" t="s">
        <v>14</v>
      </c>
      <c r="S37" s="708">
        <f t="shared" si="10"/>
        <v>100</v>
      </c>
      <c r="T37" s="707" t="s">
        <v>14</v>
      </c>
      <c r="U37" s="708">
        <f t="shared" si="11"/>
        <v>100</v>
      </c>
      <c r="V37" s="707" t="s">
        <v>14</v>
      </c>
      <c r="W37" s="708">
        <f t="shared" si="12"/>
        <v>100</v>
      </c>
      <c r="X37" s="709"/>
      <c r="Y37" s="3738"/>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8"/>
      <c r="Q38" s="1350" t="str">
        <f>B38</f>
        <v>宗地面积</v>
      </c>
      <c r="R38" s="704" t="s">
        <v>14</v>
      </c>
      <c r="S38" s="705" t="e">
        <f t="shared" si="10"/>
        <v>#N/A</v>
      </c>
      <c r="T38" s="704" t="s">
        <v>14</v>
      </c>
      <c r="U38" s="705" t="e">
        <f t="shared" si="11"/>
        <v>#N/A</v>
      </c>
      <c r="V38" s="704" t="s">
        <v>14</v>
      </c>
      <c r="W38" s="705" t="e">
        <f t="shared" si="12"/>
        <v>#N/A</v>
      </c>
      <c r="X38" s="1353"/>
      <c r="Y38" s="373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38"/>
      <c r="Q39" s="1350" t="str">
        <f t="shared" ref="Q39:Q45" si="14">B39</f>
        <v>宗地形状</v>
      </c>
      <c r="R39" s="704" t="s">
        <v>14</v>
      </c>
      <c r="S39" s="705">
        <f t="shared" si="10"/>
        <v>100</v>
      </c>
      <c r="T39" s="704" t="s">
        <v>14</v>
      </c>
      <c r="U39" s="705">
        <f t="shared" si="11"/>
        <v>100</v>
      </c>
      <c r="V39" s="704" t="s">
        <v>14</v>
      </c>
      <c r="W39" s="705">
        <f t="shared" si="12"/>
        <v>100</v>
      </c>
      <c r="X39" s="1353"/>
      <c r="Y39" s="373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38"/>
      <c r="Q40" s="1350" t="str">
        <f t="shared" si="14"/>
        <v>临街宽度及深度</v>
      </c>
      <c r="R40" s="704" t="s">
        <v>14</v>
      </c>
      <c r="S40" s="705">
        <f t="shared" si="10"/>
        <v>100</v>
      </c>
      <c r="T40" s="704" t="s">
        <v>14</v>
      </c>
      <c r="U40" s="705">
        <f t="shared" si="11"/>
        <v>100</v>
      </c>
      <c r="V40" s="704" t="s">
        <v>14</v>
      </c>
      <c r="W40" s="705">
        <f t="shared" si="12"/>
        <v>100</v>
      </c>
      <c r="X40" s="1353"/>
      <c r="Y40" s="373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8"/>
      <c r="Q41" s="1350" t="str">
        <f t="shared" si="14"/>
        <v>宗地开发程度</v>
      </c>
      <c r="R41" s="700" t="s">
        <v>14</v>
      </c>
      <c r="S41" s="701">
        <f t="shared" si="10"/>
        <v>100</v>
      </c>
      <c r="T41" s="700" t="s">
        <v>14</v>
      </c>
      <c r="U41" s="701">
        <f t="shared" si="11"/>
        <v>100</v>
      </c>
      <c r="V41" s="700" t="s">
        <v>14</v>
      </c>
      <c r="W41" s="701">
        <f t="shared" si="12"/>
        <v>100</v>
      </c>
      <c r="X41" s="702"/>
      <c r="Y41" s="3738"/>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38" t="s">
        <v>1696</v>
      </c>
      <c r="Q42" s="1350" t="str">
        <f t="shared" si="14"/>
        <v>工程地质条件</v>
      </c>
      <c r="R42" s="704" t="s">
        <v>14</v>
      </c>
      <c r="S42" s="705">
        <f t="shared" si="10"/>
        <v>100</v>
      </c>
      <c r="T42" s="704" t="s">
        <v>14</v>
      </c>
      <c r="U42" s="705">
        <f t="shared" si="11"/>
        <v>100</v>
      </c>
      <c r="V42" s="704" t="s">
        <v>14</v>
      </c>
      <c r="W42" s="705">
        <f t="shared" si="12"/>
        <v>100</v>
      </c>
      <c r="X42" s="1353"/>
      <c r="Y42" s="373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8"/>
      <c r="Q43" s="1350">
        <f t="shared" si="14"/>
        <v>111</v>
      </c>
      <c r="R43" s="704" t="s">
        <v>14</v>
      </c>
      <c r="S43" s="705">
        <f t="shared" si="10"/>
        <v>100</v>
      </c>
      <c r="T43" s="704" t="s">
        <v>14</v>
      </c>
      <c r="U43" s="705">
        <f t="shared" si="11"/>
        <v>100</v>
      </c>
      <c r="V43" s="704" t="s">
        <v>14</v>
      </c>
      <c r="W43" s="705">
        <f t="shared" si="12"/>
        <v>100</v>
      </c>
      <c r="X43" s="1353"/>
      <c r="Y43" s="373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8"/>
      <c r="Q44" s="1350">
        <f t="shared" si="14"/>
        <v>111</v>
      </c>
      <c r="R44" s="704" t="s">
        <v>14</v>
      </c>
      <c r="S44" s="705">
        <f t="shared" si="10"/>
        <v>100</v>
      </c>
      <c r="T44" s="704" t="s">
        <v>14</v>
      </c>
      <c r="U44" s="705">
        <f t="shared" si="11"/>
        <v>100</v>
      </c>
      <c r="V44" s="704" t="s">
        <v>14</v>
      </c>
      <c r="W44" s="705">
        <f t="shared" si="12"/>
        <v>100</v>
      </c>
      <c r="X44" s="1353"/>
      <c r="Y44" s="373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8"/>
      <c r="Q45" s="1350">
        <f t="shared" si="14"/>
        <v>111</v>
      </c>
      <c r="R45" s="707" t="s">
        <v>14</v>
      </c>
      <c r="S45" s="708">
        <f t="shared" si="10"/>
        <v>100</v>
      </c>
      <c r="T45" s="707" t="s">
        <v>14</v>
      </c>
      <c r="U45" s="708">
        <f t="shared" si="11"/>
        <v>100</v>
      </c>
      <c r="V45" s="707" t="s">
        <v>14</v>
      </c>
      <c r="W45" s="708">
        <f t="shared" si="12"/>
        <v>100</v>
      </c>
      <c r="X45" s="709"/>
      <c r="Y45" s="3738"/>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731" t="str">
        <f>A46</f>
        <v>成交单价</v>
      </c>
      <c r="Q46" s="3731"/>
      <c r="R46" s="3726">
        <f>E46</f>
        <v>0</v>
      </c>
      <c r="S46" s="3726"/>
      <c r="T46" s="3726">
        <f>G46</f>
        <v>0</v>
      </c>
      <c r="U46" s="3726"/>
      <c r="V46" s="3726">
        <f>I46</f>
        <v>0</v>
      </c>
      <c r="W46" s="3726"/>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31" t="str">
        <f>A47</f>
        <v>比较价值（元/平方米）</v>
      </c>
      <c r="Q47" s="3731"/>
      <c r="R47" s="3761" t="e">
        <f>ROUND(PRODUCT(R46,AA7:AA45),0)</f>
        <v>#DIV/0!</v>
      </c>
      <c r="S47" s="3761"/>
      <c r="T47" s="3761" t="e">
        <f>ROUND(PRODUCT(T46,AB7:AB45),0)</f>
        <v>#DIV/0!</v>
      </c>
      <c r="U47" s="3761"/>
      <c r="V47" s="3761" t="e">
        <f>ROUND(PRODUCT(V46,AC7:AC45),0)</f>
        <v>#DIV/0!</v>
      </c>
      <c r="W47" s="376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28" t="str">
        <f>A48</f>
        <v>估价对象XX用房的比较价值（楼面单价，元/平方米）</v>
      </c>
      <c r="Q48" s="3729"/>
      <c r="R48" s="3762" t="e">
        <f>ROUND(IF(D47="简单平均",AVERAGE(R47:W47),R47*F47+T47*H47+V47*J47),0)</f>
        <v>#DIV/0!</v>
      </c>
      <c r="S48" s="3762"/>
      <c r="T48" s="3762"/>
      <c r="U48" s="3762"/>
      <c r="V48" s="3762"/>
      <c r="W48" s="3762"/>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4" t="s">
        <v>1887</v>
      </c>
      <c r="H55" s="3763"/>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13"/>
      <c r="H56" s="3731"/>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5" t="s">
        <v>1896</v>
      </c>
      <c r="H60" s="886" t="str">
        <f>项目基本情况!C37</f>
        <v>五级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五级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6" t="s">
        <v>1896</v>
      </c>
      <c r="H64" s="896" t="str">
        <f>项目基本情况!C37</f>
        <v>五级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01" t="s">
        <v>1771</v>
      </c>
      <c r="S4" s="3702"/>
      <c r="T4" s="3701" t="s">
        <v>1772</v>
      </c>
      <c r="U4" s="3702"/>
      <c r="V4" s="3726" t="s">
        <v>1773</v>
      </c>
      <c r="W4" s="3726"/>
      <c r="X4" s="1353"/>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3"/>
      <c r="M5" s="2714"/>
      <c r="N5" s="2714"/>
      <c r="O5" s="2714"/>
      <c r="P5" s="3720"/>
      <c r="Q5" s="3721"/>
      <c r="R5" s="3703"/>
      <c r="S5" s="3704"/>
      <c r="T5" s="3703"/>
      <c r="U5" s="3704"/>
      <c r="V5" s="3726"/>
      <c r="W5" s="3726"/>
      <c r="X5" s="1353"/>
      <c r="Y5" s="3703"/>
      <c r="Z5" s="3704"/>
      <c r="AA5" s="3697"/>
      <c r="AB5" s="3697"/>
      <c r="AC5" s="3697"/>
    </row>
    <row r="6" spans="1:29" ht="15.75" thickBot="1">
      <c r="A6" s="360"/>
      <c r="B6" s="361"/>
      <c r="C6" s="3764" t="s">
        <v>1919</v>
      </c>
      <c r="D6" s="3765"/>
      <c r="E6" s="3766" t="s">
        <v>1919</v>
      </c>
      <c r="F6" s="3767"/>
      <c r="G6" s="3764" t="s">
        <v>1919</v>
      </c>
      <c r="H6" s="3765"/>
      <c r="I6" s="3764" t="s">
        <v>1919</v>
      </c>
      <c r="J6" s="3765"/>
      <c r="K6" s="559" t="s">
        <v>1678</v>
      </c>
      <c r="L6" s="2713"/>
      <c r="M6" s="2714"/>
      <c r="N6" s="2714"/>
      <c r="O6" s="2714"/>
      <c r="P6" s="3722"/>
      <c r="Q6" s="3723"/>
      <c r="R6" s="3703"/>
      <c r="S6" s="3704"/>
      <c r="T6" s="3724"/>
      <c r="U6" s="3725"/>
      <c r="V6" s="3726"/>
      <c r="W6" s="3726"/>
      <c r="X6" s="1353"/>
      <c r="Y6" s="3724"/>
      <c r="Z6" s="3725"/>
      <c r="AA6" s="3698"/>
      <c r="AB6" s="3698"/>
      <c r="AC6" s="3698"/>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9" t="s">
        <v>1680</v>
      </c>
      <c r="Q7" s="3727"/>
      <c r="R7" s="700" t="s">
        <v>14</v>
      </c>
      <c r="S7" s="701">
        <f t="shared" ref="S7:S15" si="0">F7</f>
        <v>0</v>
      </c>
      <c r="T7" s="700" t="s">
        <v>14</v>
      </c>
      <c r="U7" s="701">
        <f t="shared" ref="U7:U15" si="1">H7</f>
        <v>0</v>
      </c>
      <c r="V7" s="700" t="s">
        <v>14</v>
      </c>
      <c r="W7" s="701">
        <f t="shared" ref="W7:W15" si="2">J7</f>
        <v>0</v>
      </c>
      <c r="X7" s="702"/>
      <c r="Y7" s="3699" t="s">
        <v>1680</v>
      </c>
      <c r="Z7" s="370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1683</v>
      </c>
      <c r="Q8" s="3700"/>
      <c r="R8" s="700" t="s">
        <v>14</v>
      </c>
      <c r="S8" s="701">
        <f t="shared" si="0"/>
        <v>0</v>
      </c>
      <c r="T8" s="700" t="s">
        <v>14</v>
      </c>
      <c r="U8" s="701">
        <f t="shared" si="1"/>
        <v>0</v>
      </c>
      <c r="V8" s="700" t="s">
        <v>14</v>
      </c>
      <c r="W8" s="701">
        <f t="shared" si="2"/>
        <v>0</v>
      </c>
      <c r="X8" s="702"/>
      <c r="Y8" s="3699" t="s">
        <v>1683</v>
      </c>
      <c r="Z8" s="3700"/>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31" t="s">
        <v>1686</v>
      </c>
      <c r="Q9" s="1341" t="str">
        <f t="shared" ref="Q9:Q15" si="6">B9</f>
        <v>用途</v>
      </c>
      <c r="R9" s="700" t="s">
        <v>14</v>
      </c>
      <c r="S9" s="701">
        <f t="shared" si="0"/>
        <v>100</v>
      </c>
      <c r="T9" s="700" t="s">
        <v>14</v>
      </c>
      <c r="U9" s="701">
        <f t="shared" si="1"/>
        <v>100</v>
      </c>
      <c r="V9" s="700" t="s">
        <v>14</v>
      </c>
      <c r="W9" s="701">
        <f t="shared" si="2"/>
        <v>100</v>
      </c>
      <c r="X9" s="702"/>
      <c r="Y9" s="364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31"/>
      <c r="Q10" s="1341" t="str">
        <f t="shared" si="6"/>
        <v>土地使用年限（年）</v>
      </c>
      <c r="R10" s="700" t="s">
        <v>14</v>
      </c>
      <c r="S10" s="701">
        <f t="shared" si="0"/>
        <v>108</v>
      </c>
      <c r="T10" s="700" t="s">
        <v>14</v>
      </c>
      <c r="U10" s="701">
        <f t="shared" si="1"/>
        <v>108</v>
      </c>
      <c r="V10" s="700" t="s">
        <v>14</v>
      </c>
      <c r="W10" s="701">
        <f t="shared" si="2"/>
        <v>108</v>
      </c>
      <c r="X10" s="702"/>
      <c r="Y10" s="3643"/>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1"/>
      <c r="Q11" s="1341" t="str">
        <f t="shared" si="6"/>
        <v>容积率</v>
      </c>
      <c r="R11" s="700" t="s">
        <v>14</v>
      </c>
      <c r="S11" s="701" t="e">
        <f t="shared" si="0"/>
        <v>#N/A</v>
      </c>
      <c r="T11" s="700" t="s">
        <v>14</v>
      </c>
      <c r="U11" s="701" t="e">
        <f t="shared" si="1"/>
        <v>#N/A</v>
      </c>
      <c r="V11" s="700" t="s">
        <v>14</v>
      </c>
      <c r="W11" s="701" t="e">
        <f t="shared" si="2"/>
        <v>#N/A</v>
      </c>
      <c r="X11" s="702"/>
      <c r="Y11" s="364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1"/>
      <c r="Q12" s="1341">
        <f t="shared" si="6"/>
        <v>111</v>
      </c>
      <c r="R12" s="700" t="s">
        <v>14</v>
      </c>
      <c r="S12" s="701">
        <f t="shared" si="0"/>
        <v>100</v>
      </c>
      <c r="T12" s="700" t="s">
        <v>14</v>
      </c>
      <c r="U12" s="701">
        <f t="shared" si="1"/>
        <v>100</v>
      </c>
      <c r="V12" s="700" t="s">
        <v>14</v>
      </c>
      <c r="W12" s="701">
        <f t="shared" si="2"/>
        <v>100</v>
      </c>
      <c r="X12" s="702"/>
      <c r="Y12" s="364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1"/>
      <c r="Q13" s="1341">
        <f t="shared" si="6"/>
        <v>111</v>
      </c>
      <c r="R13" s="700" t="s">
        <v>14</v>
      </c>
      <c r="S13" s="701">
        <f t="shared" si="0"/>
        <v>100</v>
      </c>
      <c r="T13" s="700" t="s">
        <v>14</v>
      </c>
      <c r="U13" s="701">
        <f t="shared" si="1"/>
        <v>100</v>
      </c>
      <c r="V13" s="700" t="s">
        <v>14</v>
      </c>
      <c r="W13" s="701">
        <f t="shared" si="2"/>
        <v>100</v>
      </c>
      <c r="X13" s="702"/>
      <c r="Y13" s="364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1"/>
      <c r="Q14" s="1341">
        <f t="shared" si="6"/>
        <v>111</v>
      </c>
      <c r="R14" s="700" t="s">
        <v>14</v>
      </c>
      <c r="S14" s="701">
        <f t="shared" si="0"/>
        <v>100</v>
      </c>
      <c r="T14" s="700" t="s">
        <v>14</v>
      </c>
      <c r="U14" s="701">
        <f t="shared" si="1"/>
        <v>100</v>
      </c>
      <c r="V14" s="700" t="s">
        <v>14</v>
      </c>
      <c r="W14" s="701">
        <f t="shared" si="2"/>
        <v>100</v>
      </c>
      <c r="X14" s="702"/>
      <c r="Y14" s="3643"/>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3" t="s">
        <v>1691</v>
      </c>
      <c r="Q15" s="1350" t="str">
        <f t="shared" si="6"/>
        <v>产业集聚程度</v>
      </c>
      <c r="R15" s="704" t="s">
        <v>14</v>
      </c>
      <c r="S15" s="705">
        <f t="shared" si="0"/>
        <v>100</v>
      </c>
      <c r="T15" s="704" t="s">
        <v>14</v>
      </c>
      <c r="U15" s="705">
        <f t="shared" si="1"/>
        <v>100</v>
      </c>
      <c r="V15" s="704" t="s">
        <v>14</v>
      </c>
      <c r="W15" s="705">
        <f t="shared" si="2"/>
        <v>100</v>
      </c>
      <c r="X15" s="1353"/>
      <c r="Y15" s="373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34"/>
      <c r="Q16" s="1350"/>
      <c r="R16" s="704"/>
      <c r="S16" s="705"/>
      <c r="T16" s="704"/>
      <c r="U16" s="705"/>
      <c r="V16" s="704"/>
      <c r="W16" s="705"/>
      <c r="X16" s="1353"/>
      <c r="Y16" s="373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4"/>
      <c r="Q17" s="1350" t="str">
        <f>B17</f>
        <v>交通便捷度</v>
      </c>
      <c r="R17" s="704" t="s">
        <v>14</v>
      </c>
      <c r="S17" s="705">
        <f>F17</f>
        <v>100</v>
      </c>
      <c r="T17" s="704" t="s">
        <v>14</v>
      </c>
      <c r="U17" s="705">
        <f>H17</f>
        <v>100</v>
      </c>
      <c r="V17" s="704" t="s">
        <v>14</v>
      </c>
      <c r="W17" s="705">
        <f>J17</f>
        <v>100</v>
      </c>
      <c r="X17" s="1353"/>
      <c r="Y17" s="373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34"/>
      <c r="Q18" s="1350"/>
      <c r="R18" s="704"/>
      <c r="S18" s="705"/>
      <c r="T18" s="704"/>
      <c r="U18" s="705"/>
      <c r="V18" s="704"/>
      <c r="W18" s="705"/>
      <c r="X18" s="1353"/>
      <c r="Y18" s="373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4"/>
      <c r="Q19" s="1350" t="str">
        <f t="shared" ref="Q19:Q33" si="8">B19</f>
        <v>区域土地利用方向</v>
      </c>
      <c r="R19" s="704" t="s">
        <v>14</v>
      </c>
      <c r="S19" s="705">
        <f>F19</f>
        <v>100</v>
      </c>
      <c r="T19" s="704" t="s">
        <v>14</v>
      </c>
      <c r="U19" s="705">
        <f>H19</f>
        <v>100</v>
      </c>
      <c r="V19" s="704" t="s">
        <v>14</v>
      </c>
      <c r="W19" s="705">
        <f>J19</f>
        <v>100</v>
      </c>
      <c r="X19" s="1353"/>
      <c r="Y19" s="373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34"/>
      <c r="Q20" s="1350"/>
      <c r="R20" s="704"/>
      <c r="S20" s="705"/>
      <c r="T20" s="704"/>
      <c r="U20" s="705"/>
      <c r="V20" s="704"/>
      <c r="W20" s="705"/>
      <c r="X20" s="1353"/>
      <c r="Y20" s="373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4"/>
      <c r="Q21" s="1350" t="str">
        <f t="shared" si="8"/>
        <v>环境状况</v>
      </c>
      <c r="R21" s="704" t="s">
        <v>14</v>
      </c>
      <c r="S21" s="705">
        <f>F21</f>
        <v>100</v>
      </c>
      <c r="T21" s="704" t="s">
        <v>14</v>
      </c>
      <c r="U21" s="705">
        <f>H21</f>
        <v>100</v>
      </c>
      <c r="V21" s="704" t="s">
        <v>14</v>
      </c>
      <c r="W21" s="705">
        <f>J21</f>
        <v>100</v>
      </c>
      <c r="X21" s="1353"/>
      <c r="Y21" s="373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34"/>
      <c r="Q22" s="1350"/>
      <c r="R22" s="704"/>
      <c r="S22" s="705"/>
      <c r="T22" s="704"/>
      <c r="U22" s="705"/>
      <c r="V22" s="704"/>
      <c r="W22" s="705"/>
      <c r="X22" s="1353"/>
      <c r="Y22" s="373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4"/>
      <c r="Q23" s="1341" t="str">
        <f t="shared" si="8"/>
        <v>公共配套设施</v>
      </c>
      <c r="R23" s="700" t="s">
        <v>14</v>
      </c>
      <c r="S23" s="701">
        <f>F23</f>
        <v>100</v>
      </c>
      <c r="T23" s="700" t="s">
        <v>14</v>
      </c>
      <c r="U23" s="701">
        <f>H23</f>
        <v>100</v>
      </c>
      <c r="V23" s="700" t="s">
        <v>14</v>
      </c>
      <c r="W23" s="701">
        <f>J23</f>
        <v>100</v>
      </c>
      <c r="X23" s="702"/>
      <c r="Y23" s="373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34"/>
      <c r="Q24" s="1341"/>
      <c r="R24" s="700"/>
      <c r="S24" s="701"/>
      <c r="T24" s="700"/>
      <c r="U24" s="701"/>
      <c r="V24" s="700"/>
      <c r="W24" s="701"/>
      <c r="X24" s="702"/>
      <c r="Y24" s="3734"/>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4"/>
      <c r="Q25" s="1341" t="str">
        <f t="shared" ref="Q25" si="9">B25</f>
        <v>基础设施水平</v>
      </c>
      <c r="R25" s="700" t="s">
        <v>14</v>
      </c>
      <c r="S25" s="701">
        <f>F25</f>
        <v>100</v>
      </c>
      <c r="T25" s="700" t="s">
        <v>14</v>
      </c>
      <c r="U25" s="701">
        <f>H25</f>
        <v>100</v>
      </c>
      <c r="V25" s="700" t="s">
        <v>14</v>
      </c>
      <c r="W25" s="701">
        <f>J25</f>
        <v>100</v>
      </c>
      <c r="X25" s="702"/>
      <c r="Y25" s="373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34"/>
      <c r="Q26" s="1341"/>
      <c r="R26" s="700"/>
      <c r="S26" s="701"/>
      <c r="T26" s="700"/>
      <c r="U26" s="701"/>
      <c r="V26" s="700"/>
      <c r="W26" s="701"/>
      <c r="X26" s="702"/>
      <c r="Y26" s="373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4"/>
      <c r="Q28" s="1350" t="str">
        <f t="shared" si="8"/>
        <v>毗邻道路的类型与等级</v>
      </c>
      <c r="R28" s="704" t="s">
        <v>14</v>
      </c>
      <c r="S28" s="705">
        <f t="shared" si="10"/>
        <v>100</v>
      </c>
      <c r="T28" s="704" t="s">
        <v>14</v>
      </c>
      <c r="U28" s="705">
        <f t="shared" si="11"/>
        <v>100</v>
      </c>
      <c r="V28" s="704" t="s">
        <v>14</v>
      </c>
      <c r="W28" s="705">
        <f t="shared" si="12"/>
        <v>100</v>
      </c>
      <c r="X28" s="1353"/>
      <c r="Y28" s="373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34"/>
      <c r="Q29" s="1350"/>
      <c r="R29" s="704"/>
      <c r="S29" s="705"/>
      <c r="T29" s="704"/>
      <c r="U29" s="705"/>
      <c r="V29" s="704"/>
      <c r="W29" s="705"/>
      <c r="X29" s="1353"/>
      <c r="Y29" s="373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4"/>
      <c r="Q30" s="1350" t="str">
        <f t="shared" si="8"/>
        <v>土地级别</v>
      </c>
      <c r="R30" s="704" t="s">
        <v>14</v>
      </c>
      <c r="S30" s="705">
        <f t="shared" si="10"/>
        <v>100</v>
      </c>
      <c r="T30" s="704" t="s">
        <v>14</v>
      </c>
      <c r="U30" s="705">
        <f t="shared" si="11"/>
        <v>100</v>
      </c>
      <c r="V30" s="704" t="s">
        <v>14</v>
      </c>
      <c r="W30" s="705">
        <f t="shared" si="12"/>
        <v>100</v>
      </c>
      <c r="X30" s="1353"/>
      <c r="Y30" s="373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4"/>
      <c r="Q31" s="1350">
        <f t="shared" si="8"/>
        <v>111</v>
      </c>
      <c r="R31" s="704" t="s">
        <v>14</v>
      </c>
      <c r="S31" s="705">
        <f t="shared" si="10"/>
        <v>100</v>
      </c>
      <c r="T31" s="704" t="s">
        <v>14</v>
      </c>
      <c r="U31" s="705">
        <f t="shared" si="11"/>
        <v>100</v>
      </c>
      <c r="V31" s="704" t="s">
        <v>14</v>
      </c>
      <c r="W31" s="705">
        <f t="shared" si="12"/>
        <v>100</v>
      </c>
      <c r="X31" s="1353"/>
      <c r="Y31" s="373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9" t="s">
        <v>1696</v>
      </c>
      <c r="Q32" s="1350">
        <f t="shared" si="8"/>
        <v>111</v>
      </c>
      <c r="R32" s="704" t="s">
        <v>14</v>
      </c>
      <c r="S32" s="705">
        <f t="shared" si="10"/>
        <v>100</v>
      </c>
      <c r="T32" s="704" t="s">
        <v>14</v>
      </c>
      <c r="U32" s="705">
        <f t="shared" si="11"/>
        <v>100</v>
      </c>
      <c r="V32" s="704" t="s">
        <v>14</v>
      </c>
      <c r="W32" s="705">
        <f t="shared" si="12"/>
        <v>100</v>
      </c>
      <c r="X32" s="1353"/>
      <c r="Y32" s="373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8"/>
      <c r="Q33" s="1350">
        <f t="shared" si="8"/>
        <v>111</v>
      </c>
      <c r="R33" s="707" t="s">
        <v>14</v>
      </c>
      <c r="S33" s="708">
        <f t="shared" si="10"/>
        <v>100</v>
      </c>
      <c r="T33" s="707" t="s">
        <v>14</v>
      </c>
      <c r="U33" s="708">
        <f t="shared" si="11"/>
        <v>100</v>
      </c>
      <c r="V33" s="707" t="s">
        <v>14</v>
      </c>
      <c r="W33" s="708">
        <f t="shared" si="12"/>
        <v>100</v>
      </c>
      <c r="X33" s="709"/>
      <c r="Y33" s="3738"/>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8"/>
      <c r="Q34" s="1350" t="str">
        <f>B34</f>
        <v>宗地面积</v>
      </c>
      <c r="R34" s="704" t="s">
        <v>14</v>
      </c>
      <c r="S34" s="705" t="e">
        <f t="shared" si="10"/>
        <v>#N/A</v>
      </c>
      <c r="T34" s="704" t="s">
        <v>14</v>
      </c>
      <c r="U34" s="705" t="e">
        <f t="shared" si="11"/>
        <v>#N/A</v>
      </c>
      <c r="V34" s="704" t="s">
        <v>14</v>
      </c>
      <c r="W34" s="705" t="e">
        <f t="shared" si="12"/>
        <v>#N/A</v>
      </c>
      <c r="X34" s="1353"/>
      <c r="Y34" s="373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38"/>
      <c r="Q35" s="1350" t="str">
        <f t="shared" ref="Q35:Q40" si="14">B35</f>
        <v>宗地形状</v>
      </c>
      <c r="R35" s="704" t="s">
        <v>14</v>
      </c>
      <c r="S35" s="705">
        <f t="shared" si="10"/>
        <v>100</v>
      </c>
      <c r="T35" s="704" t="s">
        <v>14</v>
      </c>
      <c r="U35" s="705">
        <f t="shared" si="11"/>
        <v>100</v>
      </c>
      <c r="V35" s="704" t="s">
        <v>14</v>
      </c>
      <c r="W35" s="705">
        <f t="shared" si="12"/>
        <v>100</v>
      </c>
      <c r="X35" s="1353"/>
      <c r="Y35" s="373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8"/>
      <c r="Q36" s="1350" t="str">
        <f t="shared" si="14"/>
        <v>宗地开发程度</v>
      </c>
      <c r="R36" s="700" t="s">
        <v>14</v>
      </c>
      <c r="S36" s="701">
        <f t="shared" si="10"/>
        <v>100</v>
      </c>
      <c r="T36" s="700" t="s">
        <v>14</v>
      </c>
      <c r="U36" s="701">
        <f t="shared" si="11"/>
        <v>100</v>
      </c>
      <c r="V36" s="700" t="s">
        <v>14</v>
      </c>
      <c r="W36" s="701">
        <f t="shared" si="12"/>
        <v>100</v>
      </c>
      <c r="X36" s="702"/>
      <c r="Y36" s="3738"/>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38" t="s">
        <v>1696</v>
      </c>
      <c r="Q37" s="1350" t="str">
        <f t="shared" si="14"/>
        <v>工程地质条件</v>
      </c>
      <c r="R37" s="704" t="s">
        <v>14</v>
      </c>
      <c r="S37" s="705">
        <f t="shared" si="10"/>
        <v>100</v>
      </c>
      <c r="T37" s="704" t="s">
        <v>14</v>
      </c>
      <c r="U37" s="705">
        <f t="shared" si="11"/>
        <v>100</v>
      </c>
      <c r="V37" s="704" t="s">
        <v>14</v>
      </c>
      <c r="W37" s="705">
        <f t="shared" si="12"/>
        <v>100</v>
      </c>
      <c r="X37" s="1353"/>
      <c r="Y37" s="373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8"/>
      <c r="Q38" s="1350">
        <f t="shared" si="14"/>
        <v>111</v>
      </c>
      <c r="R38" s="704" t="s">
        <v>14</v>
      </c>
      <c r="S38" s="705">
        <f t="shared" si="10"/>
        <v>100</v>
      </c>
      <c r="T38" s="704" t="s">
        <v>14</v>
      </c>
      <c r="U38" s="705">
        <f t="shared" si="11"/>
        <v>100</v>
      </c>
      <c r="V38" s="704" t="s">
        <v>14</v>
      </c>
      <c r="W38" s="705">
        <f t="shared" si="12"/>
        <v>100</v>
      </c>
      <c r="X38" s="1353"/>
      <c r="Y38" s="373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8"/>
      <c r="Q39" s="1350">
        <f t="shared" si="14"/>
        <v>111</v>
      </c>
      <c r="R39" s="704" t="s">
        <v>14</v>
      </c>
      <c r="S39" s="705">
        <f t="shared" si="10"/>
        <v>100</v>
      </c>
      <c r="T39" s="704" t="s">
        <v>14</v>
      </c>
      <c r="U39" s="705">
        <f t="shared" si="11"/>
        <v>100</v>
      </c>
      <c r="V39" s="704" t="s">
        <v>14</v>
      </c>
      <c r="W39" s="705">
        <f t="shared" si="12"/>
        <v>100</v>
      </c>
      <c r="X39" s="1353"/>
      <c r="Y39" s="373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8"/>
      <c r="Q40" s="1350">
        <f t="shared" si="14"/>
        <v>111</v>
      </c>
      <c r="R40" s="707" t="s">
        <v>14</v>
      </c>
      <c r="S40" s="708">
        <f t="shared" si="10"/>
        <v>100</v>
      </c>
      <c r="T40" s="707" t="s">
        <v>14</v>
      </c>
      <c r="U40" s="708">
        <f t="shared" si="11"/>
        <v>100</v>
      </c>
      <c r="V40" s="707" t="s">
        <v>14</v>
      </c>
      <c r="W40" s="708">
        <f t="shared" si="12"/>
        <v>100</v>
      </c>
      <c r="X40" s="709"/>
      <c r="Y40" s="3738"/>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731" t="str">
        <f>A41</f>
        <v>成交单价</v>
      </c>
      <c r="Q41" s="3731"/>
      <c r="R41" s="3726">
        <f>E41</f>
        <v>0</v>
      </c>
      <c r="S41" s="3726"/>
      <c r="T41" s="3726">
        <f>G41</f>
        <v>0</v>
      </c>
      <c r="U41" s="3726"/>
      <c r="V41" s="3726">
        <f>I41</f>
        <v>0</v>
      </c>
      <c r="W41" s="3726"/>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31" t="str">
        <f>A42</f>
        <v>比较价值（元/平方米）</v>
      </c>
      <c r="Q42" s="3731"/>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28" t="str">
        <f>A43</f>
        <v>估价对象XX用房的比较价值（楼面单价，元/平方米）</v>
      </c>
      <c r="Q43" s="3729"/>
      <c r="R43" s="3762" t="e">
        <f>ROUND(IF(D42="简单平均",AVERAGE(R42:W42),R42*F42+T42*H42+V42*J42),0)</f>
        <v>#DIV/0!</v>
      </c>
      <c r="S43" s="3762"/>
      <c r="T43" s="3762"/>
      <c r="U43" s="3762"/>
      <c r="V43" s="3762"/>
      <c r="W43" s="3762"/>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4" t="s">
        <v>1887</v>
      </c>
      <c r="H50" s="3763"/>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13"/>
      <c r="H51" s="3731"/>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5" t="s">
        <v>1896</v>
      </c>
      <c r="H56" s="886" t="str">
        <f>项目基本情况!C37</f>
        <v>五级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五级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6" t="s">
        <v>1896</v>
      </c>
      <c r="H60" s="896" t="str">
        <f>项目基本情况!C37</f>
        <v>五级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0" zoomScaleNormal="80" workbookViewId="0">
      <pane ySplit="24" topLeftCell="A25" activePane="bottomLeft" state="frozen"/>
      <selection activeCell="E1" sqref="E1"/>
      <selection pane="bottomLeft" activeCell="U32" sqref="U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20" width="9" style="724"/>
    <col min="21" max="21" width="11.875" style="724" bestFit="1" customWidth="1"/>
    <col min="22" max="45" width="9" style="724"/>
    <col min="46" max="16384" width="9" style="130"/>
  </cols>
  <sheetData>
    <row r="1" spans="1:45" ht="14.25" customHeight="1" thickBot="1">
      <c r="A1" s="146"/>
      <c r="B1" s="982" t="s">
        <v>2083</v>
      </c>
      <c r="C1" s="3771" t="s">
        <v>2084</v>
      </c>
      <c r="D1" s="3772"/>
      <c r="E1" s="3772"/>
      <c r="F1" s="3772"/>
      <c r="G1" s="3772"/>
      <c r="H1" s="3772"/>
      <c r="I1" s="3772"/>
      <c r="J1" s="3772"/>
      <c r="K1" s="3772"/>
      <c r="L1" s="3772"/>
      <c r="M1" s="3772"/>
      <c r="N1" s="3772"/>
      <c r="O1" s="3772"/>
      <c r="P1" s="3772"/>
      <c r="Q1" s="3772"/>
      <c r="R1" s="3772"/>
      <c r="S1" s="3773"/>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56147.770000000004</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37232</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8" t="s">
        <v>27</v>
      </c>
      <c r="D22" s="3769"/>
      <c r="E22" s="3769"/>
      <c r="F22" s="3769"/>
      <c r="G22" s="3769"/>
      <c r="H22" s="3769"/>
      <c r="I22" s="3769"/>
      <c r="J22" s="3769"/>
      <c r="K22" s="3769"/>
      <c r="L22" s="3769"/>
      <c r="M22" s="3769"/>
      <c r="N22" s="3769"/>
      <c r="O22" s="3769"/>
      <c r="P22" s="3769"/>
      <c r="Q22" s="3770"/>
      <c r="R22" s="662">
        <f>ROUND(S22/B22,2)</f>
        <v>3.72</v>
      </c>
      <c r="S22" s="21">
        <f>SUM(S24:S10000)</f>
        <v>56147.770000000004</v>
      </c>
      <c r="U22" s="2541">
        <f>ROUND(R22*1.1,2)</f>
        <v>4.09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3480">
        <f>ROUND(R22*0.9,2)</f>
        <v>3.35</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3500</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3.7</v>
      </c>
      <c r="S24" s="665">
        <f>ROUND(R24*B24,2)</f>
        <v>5134.79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3501</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3488</v>
      </c>
      <c r="Q25" s="21">
        <f>(SUMIF($17:$17,P25,$18:$18)-SUMIF($17:$17,$P$24,$18:$18)+100)/100</f>
        <v>0.97</v>
      </c>
      <c r="R25" s="662">
        <f t="shared" ref="R25:R36" si="11">IF(B25="",0,ROUND($R$24*C25*E25*G25*I25*K25*M25*O25*Q25,2))</f>
        <v>3.59</v>
      </c>
      <c r="S25" s="665">
        <f t="shared" ref="S25:S36" si="12">ROUND(R25*B25,2)</f>
        <v>4976.71</v>
      </c>
    </row>
    <row r="26" spans="1:45">
      <c r="A26" s="150" t="s">
        <v>3502</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3488</v>
      </c>
      <c r="Q26" s="21">
        <f t="shared" ref="Q26:Q89" si="20">(SUMIF($17:$17,P26,$18:$18)-SUMIF($17:$17,$P$24,$18:$18)+100)/100</f>
        <v>0.97</v>
      </c>
      <c r="R26" s="662">
        <f t="shared" si="11"/>
        <v>3.59</v>
      </c>
      <c r="S26" s="665">
        <f t="shared" si="12"/>
        <v>4976.71</v>
      </c>
    </row>
    <row r="27" spans="1:45">
      <c r="A27" s="150" t="s">
        <v>3503</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3.7</v>
      </c>
      <c r="S27" s="665">
        <f t="shared" si="12"/>
        <v>5129.2</v>
      </c>
    </row>
    <row r="28" spans="1:45">
      <c r="A28" s="150" t="s">
        <v>3504</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3.7</v>
      </c>
      <c r="S28" s="665">
        <f>ROUND(R28*B28,2)</f>
        <v>5129.2</v>
      </c>
    </row>
    <row r="29" spans="1:45">
      <c r="A29" s="3476" t="s">
        <v>3505</v>
      </c>
      <c r="B29" s="3477"/>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3506</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3.7</v>
      </c>
      <c r="S30" s="665">
        <f t="shared" si="12"/>
        <v>5134.79</v>
      </c>
    </row>
    <row r="31" spans="1:45">
      <c r="A31" s="150" t="s">
        <v>3507</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3.7</v>
      </c>
      <c r="S31" s="665">
        <f t="shared" si="12"/>
        <v>5132.71</v>
      </c>
    </row>
    <row r="32" spans="1:45">
      <c r="A32" s="150" t="s">
        <v>3508</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3485</v>
      </c>
      <c r="Q32" s="21">
        <f t="shared" si="20"/>
        <v>1.03</v>
      </c>
      <c r="R32" s="662">
        <f t="shared" si="11"/>
        <v>3.81</v>
      </c>
      <c r="S32" s="665">
        <f t="shared" si="12"/>
        <v>5287.44</v>
      </c>
    </row>
    <row r="33" spans="1:19">
      <c r="A33" s="150" t="s">
        <v>3509</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3485</v>
      </c>
      <c r="Q33" s="21">
        <f t="shared" si="20"/>
        <v>1.03</v>
      </c>
      <c r="R33" s="662">
        <f t="shared" si="11"/>
        <v>3.81</v>
      </c>
      <c r="S33" s="665">
        <f t="shared" si="12"/>
        <v>4559.2700000000004</v>
      </c>
    </row>
    <row r="34" spans="1:19">
      <c r="A34" s="150" t="s">
        <v>3510</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3485</v>
      </c>
      <c r="Q34" s="21">
        <f t="shared" si="20"/>
        <v>1.03</v>
      </c>
      <c r="R34" s="662">
        <f t="shared" si="11"/>
        <v>3.81</v>
      </c>
      <c r="S34" s="665">
        <f t="shared" si="12"/>
        <v>4555.05</v>
      </c>
    </row>
    <row r="35" spans="1:19">
      <c r="A35" s="150" t="s">
        <v>3511</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3485</v>
      </c>
      <c r="Q35" s="21">
        <f t="shared" si="20"/>
        <v>1.03</v>
      </c>
      <c r="R35" s="662">
        <f t="shared" si="11"/>
        <v>3.85</v>
      </c>
      <c r="S35" s="665">
        <f t="shared" si="12"/>
        <v>3065.95</v>
      </c>
    </row>
    <row r="36" spans="1:19">
      <c r="A36" s="150" t="s">
        <v>3512</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3485</v>
      </c>
      <c r="Q36" s="21">
        <f t="shared" si="20"/>
        <v>1.03</v>
      </c>
      <c r="R36" s="662">
        <f t="shared" si="11"/>
        <v>3.85</v>
      </c>
      <c r="S36" s="665">
        <f t="shared" si="12"/>
        <v>3065.95</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0</v>
      </c>
      <c r="C2" s="1997" t="s">
        <v>1935</v>
      </c>
      <c r="D2" s="1998" t="s">
        <v>1936</v>
      </c>
      <c r="E2" s="3420" t="s">
        <v>21</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Ⅴ-14</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1.5019</v>
      </c>
      <c r="T2" s="3359">
        <f t="shared" ref="T2:T16" si="0">ROUND($C$5*$C$22*$C$23*$C$24*S2*$C$28,0)</f>
        <v>-181</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t="s">
        <v>3576</v>
      </c>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1.1838</v>
      </c>
      <c r="T3" s="3359">
        <f t="shared" si="0"/>
        <v>-143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81"/>
      <c r="B4" s="3782"/>
      <c r="C4" s="3782"/>
      <c r="D4" s="3783"/>
      <c r="E4" s="3783"/>
      <c r="F4" s="3783"/>
      <c r="G4" s="3783"/>
      <c r="H4" s="3783"/>
      <c r="I4" s="3783"/>
      <c r="J4" s="3784"/>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1.0004999999999999</v>
      </c>
      <c r="T4" s="3359">
        <f t="shared" si="0"/>
        <v>-121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-126</v>
      </c>
      <c r="D5" s="1337">
        <f>ROUND(C6*C17+C20,0)</f>
        <v>15134</v>
      </c>
      <c r="E5" s="1337"/>
      <c r="F5" s="2005"/>
      <c r="G5" s="2006"/>
      <c r="H5" s="2006"/>
      <c r="I5" s="2006"/>
      <c r="J5" s="2007"/>
      <c r="K5" s="2008"/>
      <c r="L5" s="2001" t="s">
        <v>1948</v>
      </c>
      <c r="M5" s="863">
        <f>SUMPRODUCT((区片价!B87:B126=I2)*(区片价!C3:G3=E2)*(区片价!C87:G126))</f>
        <v>15260</v>
      </c>
      <c r="N5" s="865">
        <f>SUMPRODUCT((因素修正幅度!B87:B126=I2)*(因素修正幅度!C3:G3=E2)*(因素修正幅度!C87:G126))</f>
        <v>0.1</v>
      </c>
      <c r="O5" s="1117"/>
      <c r="P5" s="1117"/>
      <c r="Q5" s="1117"/>
      <c r="R5" s="1210">
        <v>4</v>
      </c>
      <c r="S5" s="3359">
        <f>ROUND(SUMPRODUCT((B106:B110=R5)*(C105:N105=G2)*(C106:N110)),4)</f>
        <v>0.88239999999999996</v>
      </c>
      <c r="T5" s="3359">
        <f t="shared" si="0"/>
        <v>-106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15260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0.84799999999999998</v>
      </c>
      <c r="T6" s="3359">
        <f t="shared" si="0"/>
        <v>-102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五级</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f t="shared" si="0"/>
        <v>0</v>
      </c>
      <c r="U8" s="1211"/>
      <c r="V8" s="3359">
        <f t="shared" si="1"/>
        <v>0</v>
      </c>
      <c r="W8" s="3778" t="s">
        <v>1960</v>
      </c>
      <c r="X8" s="377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f t="shared" si="0"/>
        <v>0</v>
      </c>
      <c r="U9" s="1211"/>
      <c r="V9" s="3359">
        <f t="shared" si="1"/>
        <v>0</v>
      </c>
      <c r="W9" s="378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f t="shared" si="0"/>
        <v>0</v>
      </c>
      <c r="U10" s="1211"/>
      <c r="V10" s="3359">
        <f t="shared" si="1"/>
        <v>0</v>
      </c>
      <c r="W10" s="378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5" t="s">
        <v>3259</v>
      </c>
      <c r="B20" s="167" t="s">
        <v>1994</v>
      </c>
      <c r="C20" s="3323">
        <f>ROUND(IF(F21="与级别开发程度一致",0,(G21-E21)/C21),0)</f>
        <v>-126</v>
      </c>
      <c r="D20" s="3339" t="s">
        <v>1998</v>
      </c>
      <c r="E20" s="3340"/>
      <c r="F20" s="3791" t="s">
        <v>1995</v>
      </c>
      <c r="G20" s="3792"/>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6"/>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350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f>ROUND(POWER(1+G24,J24-I24)*(POWER(1+G24,I24)-1)/(POWER(1+G24,J24)-1),4)</f>
        <v>0.9335</v>
      </c>
      <c r="D24" s="2058" t="s">
        <v>2007</v>
      </c>
      <c r="E24" s="1333">
        <f>存贷款利率!E24/100</f>
        <v>4.3499999999999997E-2</v>
      </c>
      <c r="F24" s="2058" t="s">
        <v>1999</v>
      </c>
      <c r="G24" s="767">
        <f>SUMIF(M30:Q30,E2,M33:Q33)</f>
        <v>5.5E-2</v>
      </c>
      <c r="H24" s="2058" t="s">
        <v>2008</v>
      </c>
      <c r="I24" s="768">
        <f>SUMIF('数据-取费表'!C6:C15,E2,'数据-取费表'!F6:F15)/COUNTIF('数据-取费表'!C6:C15,E2)</f>
        <v>38</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0</v>
      </c>
      <c r="D33" s="2096"/>
      <c r="E33" s="772">
        <f>ROUND(C33*D33/10000,0)</f>
        <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0</v>
      </c>
      <c r="D34" s="2101"/>
      <c r="E34" s="772">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9"/>
      <c r="B37" s="2111" t="s">
        <v>2036</v>
      </c>
      <c r="C37" s="175">
        <f>ROUND(D5*C22*C23*C24*C28*F37,0)</f>
        <v>8689</v>
      </c>
      <c r="D37" s="2096"/>
      <c r="E37" s="171">
        <f>ROUND(C37*D37/10000,0)</f>
        <v>0</v>
      </c>
      <c r="F37" s="171">
        <f>SUMIF(修正!A57:A68,G2,修正!B57:B68)</f>
        <v>0.6</v>
      </c>
      <c r="G37" s="171">
        <f>ROUND(IF(E2="工业",C37*$M$42,C37*$M$41),0)</f>
        <v>2172</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90"/>
      <c r="B38" s="2039" t="s">
        <v>2037</v>
      </c>
      <c r="C38" s="175">
        <f>ROUND(D5*C22*C23*C24*C28*F38,0)</f>
        <v>4345</v>
      </c>
      <c r="D38" s="2096"/>
      <c r="E38" s="171">
        <f t="shared" ref="E38:E42" si="4">ROUND(C38*D38/10000,0)</f>
        <v>0</v>
      </c>
      <c r="F38" s="171">
        <f>SUMIF(修正!A57:A68,G2,修正!C57:C68)</f>
        <v>0.3</v>
      </c>
      <c r="G38" s="171">
        <f>ROUND(IF(E2="工业",C38*$M$42,C38*$M$41),0)</f>
        <v>1086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90"/>
      <c r="B39" s="2039" t="s">
        <v>3264</v>
      </c>
      <c r="C39" s="175">
        <f>ROUND(D5*C22*C23*C24*C28*F39,0)</f>
        <v>3621</v>
      </c>
      <c r="D39" s="2096"/>
      <c r="E39" s="171">
        <f t="shared" si="4"/>
        <v>0</v>
      </c>
      <c r="F39" s="171">
        <f>SUMIF(修正!A57:A68,G2,修正!D57:D68)</f>
        <v>0.25</v>
      </c>
      <c r="G39" s="171">
        <f>ROUND(IF(E2="工业",C39*$M$42,C39*$M$41),0)</f>
        <v>905</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3621</v>
      </c>
      <c r="D40" s="2096"/>
      <c r="E40" s="171">
        <f t="shared" si="4"/>
        <v>0</v>
      </c>
      <c r="F40" s="175">
        <f>SUMIF(修正!A57:A68,G2,修正!E57:E68)</f>
        <v>0.25</v>
      </c>
      <c r="G40" s="171">
        <f>ROUND(IF(E2="工业",C40*$M$42,C40*$M$41),0)</f>
        <v>905</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f>IF(E2="办公",SUMIF(L1:L12,G2,N1:N12),"——")</f>
        <v>0.1</v>
      </c>
      <c r="G61" s="1061"/>
      <c r="H61" s="1064">
        <f t="shared" ref="H61:H69" si="13">IFERROR(ROUNDDOWN($F$61*I61/2,4),"——")</f>
        <v>1.2500000000000001E-2</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f t="shared" si="13"/>
        <v>1.2999999999999999E-2</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f t="shared" si="13"/>
        <v>5.4999999999999997E-3</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f t="shared" si="13"/>
        <v>2.5000000000000001E-3</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f t="shared" si="13"/>
        <v>2.5000000000000001E-3</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f t="shared" si="13"/>
        <v>3.0000000000000001E-3</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f t="shared" si="13"/>
        <v>3.0000000000000001E-3</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f t="shared" si="13"/>
        <v>4.4999999999999997E-3</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f t="shared" si="13"/>
        <v>3.5000000000000001E-3</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7" t="s">
        <v>3299</v>
      </c>
      <c r="B103" s="3787"/>
      <c r="C103" s="3787"/>
      <c r="D103" s="3787"/>
      <c r="E103" s="3787"/>
      <c r="F103" s="3787"/>
      <c r="G103" s="3787"/>
      <c r="H103" s="3787"/>
      <c r="I103" s="3787"/>
      <c r="J103" s="3787"/>
      <c r="K103" s="3388"/>
      <c r="L103" s="3388"/>
      <c r="M103" s="3388"/>
      <c r="N103" s="3388"/>
    </row>
    <row r="104" spans="1:14">
      <c r="A104" s="3788" t="s">
        <v>3300</v>
      </c>
      <c r="B104" s="3788" t="s">
        <v>3301</v>
      </c>
      <c r="C104" s="3389" t="s">
        <v>3302</v>
      </c>
      <c r="D104" s="3390"/>
      <c r="E104" s="3390"/>
      <c r="F104" s="3390"/>
      <c r="G104" s="3390"/>
      <c r="H104" s="3390"/>
      <c r="I104" s="3390"/>
      <c r="J104" s="3391"/>
      <c r="K104" s="3392"/>
      <c r="L104" s="3392"/>
      <c r="M104" s="3392"/>
      <c r="N104" s="3392"/>
    </row>
    <row r="105" spans="1:14">
      <c r="A105" s="3788"/>
      <c r="B105" s="378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7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7" t="s">
        <v>3316</v>
      </c>
      <c r="B113" s="3777"/>
      <c r="C113" s="3777"/>
      <c r="D113" s="3777"/>
      <c r="E113" s="3777"/>
      <c r="F113" s="3777"/>
      <c r="G113" s="3777"/>
      <c r="H113" s="3777"/>
      <c r="I113" s="3777"/>
      <c r="J113" s="377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0.9415</v>
      </c>
      <c r="E116" s="1998" t="s">
        <v>3319</v>
      </c>
      <c r="F116" s="3400" t="str">
        <f>E2</f>
        <v>办公</v>
      </c>
      <c r="G116" s="1998" t="s">
        <v>3320</v>
      </c>
      <c r="H116" s="3400" t="str">
        <f>G2</f>
        <v>五级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00" t="s">
        <v>2610</v>
      </c>
      <c r="B20" s="3793" t="s">
        <v>2631</v>
      </c>
      <c r="C20" s="3101" t="s">
        <v>2442</v>
      </c>
      <c r="D20" s="3102"/>
      <c r="E20" s="3103">
        <v>1</v>
      </c>
      <c r="F20" s="3104" t="s">
        <v>2443</v>
      </c>
      <c r="G20" s="3104"/>
    </row>
    <row r="21" spans="1:13" ht="19.5" customHeight="1">
      <c r="A21" s="3801"/>
      <c r="B21" s="3794"/>
      <c r="C21" s="3105" t="s">
        <v>2444</v>
      </c>
      <c r="D21" s="3106"/>
      <c r="E21" s="3107">
        <v>1</v>
      </c>
      <c r="F21" s="3104" t="s">
        <v>2445</v>
      </c>
      <c r="G21" s="3104"/>
    </row>
    <row r="22" spans="1:13" ht="19.5" customHeight="1">
      <c r="A22" s="3801"/>
      <c r="B22" s="3794"/>
      <c r="C22" s="3105" t="s">
        <v>2446</v>
      </c>
      <c r="D22" s="3106"/>
      <c r="E22" s="3107">
        <v>0.9</v>
      </c>
      <c r="F22" s="3104" t="s">
        <v>2447</v>
      </c>
      <c r="G22" s="3104"/>
    </row>
    <row r="23" spans="1:13" ht="19.5" customHeight="1">
      <c r="A23" s="3801"/>
      <c r="B23" s="3794"/>
      <c r="C23" s="3105" t="s">
        <v>2448</v>
      </c>
      <c r="D23" s="3106"/>
      <c r="E23" s="3107">
        <v>0.9</v>
      </c>
      <c r="F23" s="3104" t="s">
        <v>2449</v>
      </c>
      <c r="G23" s="3104"/>
    </row>
    <row r="24" spans="1:13" ht="19.5" customHeight="1">
      <c r="A24" s="3801"/>
      <c r="B24" s="3794"/>
      <c r="C24" s="3105" t="s">
        <v>2450</v>
      </c>
      <c r="D24" s="3106"/>
      <c r="E24" s="3107">
        <v>0.8</v>
      </c>
      <c r="F24" s="3104" t="s">
        <v>2451</v>
      </c>
      <c r="G24" s="3104"/>
    </row>
    <row r="25" spans="1:13" ht="19.5" customHeight="1" thickBot="1">
      <c r="A25" s="3802"/>
      <c r="B25" s="3795"/>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6" t="s">
        <v>2634</v>
      </c>
      <c r="B27" s="3793" t="s">
        <v>2615</v>
      </c>
      <c r="C27" s="3101" t="s">
        <v>2455</v>
      </c>
      <c r="D27" s="3102"/>
      <c r="E27" s="3103">
        <v>1</v>
      </c>
      <c r="F27" s="3104" t="s">
        <v>2456</v>
      </c>
      <c r="G27" s="3104"/>
    </row>
    <row r="28" spans="1:13" ht="19.5" customHeight="1">
      <c r="A28" s="3797"/>
      <c r="B28" s="3794"/>
      <c r="C28" s="3105" t="s">
        <v>2457</v>
      </c>
      <c r="D28" s="3106"/>
      <c r="E28" s="3107">
        <v>1</v>
      </c>
      <c r="F28" s="3104" t="s">
        <v>2458</v>
      </c>
      <c r="G28" s="3104"/>
    </row>
    <row r="29" spans="1:13" ht="19.5" customHeight="1">
      <c r="A29" s="3797"/>
      <c r="B29" s="3794"/>
      <c r="C29" s="3105" t="s">
        <v>2459</v>
      </c>
      <c r="D29" s="3106"/>
      <c r="E29" s="3107">
        <v>0.8</v>
      </c>
      <c r="F29" s="3104" t="s">
        <v>2460</v>
      </c>
      <c r="G29" s="3104"/>
    </row>
    <row r="30" spans="1:13" ht="19.5" customHeight="1">
      <c r="A30" s="3797"/>
      <c r="B30" s="3794"/>
      <c r="C30" s="3105" t="s">
        <v>2461</v>
      </c>
      <c r="D30" s="3106"/>
      <c r="E30" s="3107">
        <v>0.8</v>
      </c>
      <c r="F30" s="3104" t="s">
        <v>2462</v>
      </c>
      <c r="G30" s="3104"/>
    </row>
    <row r="31" spans="1:13" ht="19.5" customHeight="1">
      <c r="A31" s="3797"/>
      <c r="B31" s="3794"/>
      <c r="C31" s="3105" t="s">
        <v>2463</v>
      </c>
      <c r="D31" s="3106"/>
      <c r="E31" s="3107">
        <v>0.8</v>
      </c>
      <c r="F31" s="3104" t="s">
        <v>2464</v>
      </c>
      <c r="G31" s="3104"/>
    </row>
    <row r="32" spans="1:13" ht="19.5" customHeight="1">
      <c r="A32" s="3797"/>
      <c r="B32" s="3794"/>
      <c r="C32" s="3105" t="s">
        <v>2465</v>
      </c>
      <c r="D32" s="3106"/>
      <c r="E32" s="3107">
        <v>0.7</v>
      </c>
      <c r="F32" s="3104" t="s">
        <v>2466</v>
      </c>
      <c r="G32" s="3104"/>
    </row>
    <row r="33" spans="1:7" ht="19.5" customHeight="1">
      <c r="A33" s="3797"/>
      <c r="B33" s="3794"/>
      <c r="C33" s="3105" t="s">
        <v>2467</v>
      </c>
      <c r="D33" s="3106"/>
      <c r="E33" s="3107">
        <v>0.8</v>
      </c>
      <c r="F33" s="3104" t="s">
        <v>2468</v>
      </c>
      <c r="G33" s="3104"/>
    </row>
    <row r="34" spans="1:7" ht="19.5" customHeight="1">
      <c r="A34" s="3797"/>
      <c r="B34" s="3794"/>
      <c r="C34" s="3105" t="s">
        <v>2469</v>
      </c>
      <c r="D34" s="3106"/>
      <c r="E34" s="3107">
        <v>0.6</v>
      </c>
      <c r="F34" s="3104" t="s">
        <v>2470</v>
      </c>
      <c r="G34" s="3104"/>
    </row>
    <row r="35" spans="1:7" ht="19.5" customHeight="1">
      <c r="A35" s="3797"/>
      <c r="B35" s="3794"/>
      <c r="C35" s="3105" t="s">
        <v>2471</v>
      </c>
      <c r="D35" s="3106"/>
      <c r="E35" s="3107">
        <v>0.2</v>
      </c>
      <c r="F35" s="3104" t="s">
        <v>2472</v>
      </c>
      <c r="G35" s="3104"/>
    </row>
    <row r="36" spans="1:7" ht="19.5" customHeight="1">
      <c r="A36" s="3797"/>
      <c r="B36" s="3794"/>
      <c r="C36" s="3105" t="s">
        <v>2473</v>
      </c>
      <c r="D36" s="3106"/>
      <c r="E36" s="3107">
        <v>0.2</v>
      </c>
      <c r="F36" s="3104" t="s">
        <v>2474</v>
      </c>
      <c r="G36" s="3104"/>
    </row>
    <row r="37" spans="1:7" ht="19.5" customHeight="1">
      <c r="A37" s="3797"/>
      <c r="B37" s="3799" t="s">
        <v>2635</v>
      </c>
      <c r="C37" s="3105" t="s">
        <v>2475</v>
      </c>
      <c r="D37" s="3106"/>
      <c r="E37" s="3107">
        <v>0.6</v>
      </c>
      <c r="F37" s="3104" t="s">
        <v>2476</v>
      </c>
      <c r="G37" s="3104"/>
    </row>
    <row r="38" spans="1:7" ht="19.5" customHeight="1">
      <c r="A38" s="3797"/>
      <c r="B38" s="3794"/>
      <c r="C38" s="3105" t="s">
        <v>2477</v>
      </c>
      <c r="D38" s="3106"/>
      <c r="E38" s="3107">
        <v>0.6</v>
      </c>
      <c r="F38" s="3104" t="s">
        <v>2478</v>
      </c>
      <c r="G38" s="3104"/>
    </row>
    <row r="39" spans="1:7" ht="19.5" customHeight="1" thickBot="1">
      <c r="A39" s="3798"/>
      <c r="B39" s="3795"/>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00" t="s">
        <v>2613</v>
      </c>
      <c r="B41" s="3793" t="s">
        <v>2637</v>
      </c>
      <c r="C41" s="3101" t="s">
        <v>2482</v>
      </c>
      <c r="D41" s="3102"/>
      <c r="E41" s="3103">
        <v>1</v>
      </c>
      <c r="F41" s="3104" t="s">
        <v>2483</v>
      </c>
      <c r="G41" s="3104"/>
    </row>
    <row r="42" spans="1:7" ht="19.5" customHeight="1">
      <c r="A42" s="3801"/>
      <c r="B42" s="3794"/>
      <c r="C42" s="3105" t="s">
        <v>2484</v>
      </c>
      <c r="D42" s="3106"/>
      <c r="E42" s="3107">
        <v>1</v>
      </c>
      <c r="F42" s="3104" t="s">
        <v>2485</v>
      </c>
      <c r="G42" s="3104"/>
    </row>
    <row r="43" spans="1:7" ht="19.5" customHeight="1">
      <c r="A43" s="3801"/>
      <c r="B43" s="3803"/>
      <c r="C43" s="3105" t="s">
        <v>2486</v>
      </c>
      <c r="D43" s="3106"/>
      <c r="E43" s="3107">
        <v>1.5</v>
      </c>
      <c r="F43" s="3104" t="s">
        <v>2487</v>
      </c>
      <c r="G43" s="3104"/>
    </row>
    <row r="44" spans="1:7" ht="19.5" customHeight="1">
      <c r="A44" s="3801"/>
      <c r="B44" s="3116" t="s">
        <v>2638</v>
      </c>
      <c r="C44" s="3105" t="s">
        <v>2639</v>
      </c>
      <c r="D44" s="3106"/>
      <c r="E44" s="3107">
        <v>2</v>
      </c>
      <c r="F44" s="3104" t="s">
        <v>2488</v>
      </c>
      <c r="G44" s="3104"/>
    </row>
    <row r="45" spans="1:7" ht="19.5" customHeight="1">
      <c r="A45" s="3801"/>
      <c r="B45" s="3799" t="s">
        <v>2640</v>
      </c>
      <c r="C45" s="3105" t="s">
        <v>2489</v>
      </c>
      <c r="D45" s="3106"/>
      <c r="E45" s="3107">
        <v>1</v>
      </c>
      <c r="F45" s="3104" t="s">
        <v>2490</v>
      </c>
      <c r="G45" s="3104"/>
    </row>
    <row r="46" spans="1:7" ht="19.5" customHeight="1">
      <c r="A46" s="3801"/>
      <c r="B46" s="3794"/>
      <c r="C46" s="3105" t="s">
        <v>2491</v>
      </c>
      <c r="D46" s="3106"/>
      <c r="E46" s="3107">
        <v>1</v>
      </c>
      <c r="F46" s="3104" t="s">
        <v>2492</v>
      </c>
      <c r="G46" s="3104"/>
    </row>
    <row r="47" spans="1:7" ht="19.5" customHeight="1">
      <c r="A47" s="3801"/>
      <c r="B47" s="3794"/>
      <c r="C47" s="3105" t="s">
        <v>2493</v>
      </c>
      <c r="D47" s="3106"/>
      <c r="E47" s="3107">
        <v>1</v>
      </c>
      <c r="F47" s="3104" t="s">
        <v>2494</v>
      </c>
      <c r="G47" s="3104"/>
    </row>
    <row r="48" spans="1:7" ht="19.5" customHeight="1">
      <c r="A48" s="3801"/>
      <c r="B48" s="3794"/>
      <c r="C48" s="3105" t="s">
        <v>2495</v>
      </c>
      <c r="D48" s="3106"/>
      <c r="E48" s="3107">
        <v>1</v>
      </c>
      <c r="F48" s="3104" t="s">
        <v>2496</v>
      </c>
      <c r="G48" s="3104"/>
    </row>
    <row r="49" spans="1:7" ht="19.5" customHeight="1">
      <c r="A49" s="3801"/>
      <c r="B49" s="3794"/>
      <c r="C49" s="3105" t="s">
        <v>2497</v>
      </c>
      <c r="D49" s="3106"/>
      <c r="E49" s="3107">
        <v>1</v>
      </c>
      <c r="F49" s="3104" t="s">
        <v>2498</v>
      </c>
      <c r="G49" s="3104"/>
    </row>
    <row r="50" spans="1:7" ht="19.5" customHeight="1">
      <c r="A50" s="3801"/>
      <c r="B50" s="3794"/>
      <c r="C50" s="3105" t="s">
        <v>2499</v>
      </c>
      <c r="D50" s="3106"/>
      <c r="E50" s="3107">
        <v>1</v>
      </c>
      <c r="F50" s="3104" t="s">
        <v>2500</v>
      </c>
      <c r="G50" s="3104"/>
    </row>
    <row r="51" spans="1:7" ht="19.5" customHeight="1" thickBot="1">
      <c r="A51" s="3802"/>
      <c r="B51" s="3795"/>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9" t="s">
        <v>2654</v>
      </c>
      <c r="C73" s="3090" t="s">
        <v>2655</v>
      </c>
      <c r="D73" s="3090" t="s">
        <v>2656</v>
      </c>
      <c r="E73" s="3116">
        <v>0.2</v>
      </c>
      <c r="F73" s="3116">
        <v>25</v>
      </c>
    </row>
    <row r="74" spans="1:7" ht="24">
      <c r="A74" s="3116">
        <v>2</v>
      </c>
      <c r="B74" s="3794"/>
      <c r="C74" s="3090" t="s">
        <v>2657</v>
      </c>
      <c r="D74" s="3090" t="s">
        <v>2658</v>
      </c>
      <c r="E74" s="3116">
        <v>0.2</v>
      </c>
      <c r="F74" s="3116">
        <v>25</v>
      </c>
    </row>
    <row r="75" spans="1:7" ht="24">
      <c r="A75" s="3116">
        <v>3</v>
      </c>
      <c r="B75" s="3794"/>
      <c r="C75" s="3090" t="s">
        <v>2659</v>
      </c>
      <c r="D75" s="3090" t="s">
        <v>2660</v>
      </c>
      <c r="E75" s="3116">
        <v>0.2</v>
      </c>
      <c r="F75" s="3116">
        <v>25</v>
      </c>
    </row>
    <row r="76" spans="1:7" ht="13.5">
      <c r="A76" s="3116">
        <v>4</v>
      </c>
      <c r="B76" s="3794"/>
      <c r="C76" s="3090" t="s">
        <v>2661</v>
      </c>
      <c r="D76" s="3090" t="s">
        <v>2662</v>
      </c>
      <c r="E76" s="3116">
        <v>0.15</v>
      </c>
      <c r="F76" s="3116">
        <v>20</v>
      </c>
    </row>
    <row r="77" spans="1:7" ht="24">
      <c r="A77" s="3116">
        <v>5</v>
      </c>
      <c r="B77" s="3794"/>
      <c r="C77" s="3090" t="s">
        <v>2663</v>
      </c>
      <c r="D77" s="3090" t="s">
        <v>2664</v>
      </c>
      <c r="E77" s="3116">
        <v>0.15</v>
      </c>
      <c r="F77" s="3116">
        <v>20</v>
      </c>
    </row>
    <row r="78" spans="1:7" ht="24">
      <c r="A78" s="3116">
        <v>6</v>
      </c>
      <c r="B78" s="3794"/>
      <c r="C78" s="3090" t="s">
        <v>2665</v>
      </c>
      <c r="D78" s="3090" t="s">
        <v>2666</v>
      </c>
      <c r="E78" s="3116">
        <v>0.15</v>
      </c>
      <c r="F78" s="3116">
        <v>20</v>
      </c>
    </row>
    <row r="79" spans="1:7" ht="24">
      <c r="A79" s="3116">
        <v>7</v>
      </c>
      <c r="B79" s="3794"/>
      <c r="C79" s="3090" t="s">
        <v>2667</v>
      </c>
      <c r="D79" s="3090" t="s">
        <v>2668</v>
      </c>
      <c r="E79" s="3116">
        <v>0.15</v>
      </c>
      <c r="F79" s="3116">
        <v>20</v>
      </c>
    </row>
    <row r="80" spans="1:7" ht="24">
      <c r="A80" s="3116">
        <v>8</v>
      </c>
      <c r="B80" s="3794"/>
      <c r="C80" s="3090" t="s">
        <v>2669</v>
      </c>
      <c r="D80" s="3090" t="s">
        <v>2670</v>
      </c>
      <c r="E80" s="3116">
        <v>0.1</v>
      </c>
      <c r="F80" s="3116">
        <v>15</v>
      </c>
    </row>
    <row r="81" spans="1:6" ht="24">
      <c r="A81" s="3116">
        <v>9</v>
      </c>
      <c r="B81" s="3794"/>
      <c r="C81" s="3090" t="s">
        <v>2671</v>
      </c>
      <c r="D81" s="3090" t="s">
        <v>2672</v>
      </c>
      <c r="E81" s="3116">
        <v>0.1</v>
      </c>
      <c r="F81" s="3116">
        <v>15</v>
      </c>
    </row>
    <row r="82" spans="1:6" ht="24">
      <c r="A82" s="3116">
        <v>10</v>
      </c>
      <c r="B82" s="3794"/>
      <c r="C82" s="3090" t="s">
        <v>2673</v>
      </c>
      <c r="D82" s="3090" t="s">
        <v>2674</v>
      </c>
      <c r="E82" s="3116">
        <v>0.1</v>
      </c>
      <c r="F82" s="3116">
        <v>15</v>
      </c>
    </row>
    <row r="83" spans="1:6" ht="24">
      <c r="A83" s="3116">
        <v>11</v>
      </c>
      <c r="B83" s="3794"/>
      <c r="C83" s="3090" t="s">
        <v>2675</v>
      </c>
      <c r="D83" s="3090" t="s">
        <v>2676</v>
      </c>
      <c r="E83" s="3116">
        <v>0.1</v>
      </c>
      <c r="F83" s="3116">
        <v>15</v>
      </c>
    </row>
    <row r="84" spans="1:6" ht="24">
      <c r="A84" s="3116">
        <v>12</v>
      </c>
      <c r="B84" s="3794"/>
      <c r="C84" s="3090" t="s">
        <v>2677</v>
      </c>
      <c r="D84" s="3090" t="s">
        <v>2678</v>
      </c>
      <c r="E84" s="3116">
        <v>0.1</v>
      </c>
      <c r="F84" s="3116">
        <v>15</v>
      </c>
    </row>
    <row r="85" spans="1:6" ht="13.5">
      <c r="A85" s="3116">
        <v>13</v>
      </c>
      <c r="B85" s="3794"/>
      <c r="C85" s="3090" t="s">
        <v>2679</v>
      </c>
      <c r="D85" s="3090" t="s">
        <v>2680</v>
      </c>
      <c r="E85" s="3116">
        <v>0.1</v>
      </c>
      <c r="F85" s="3116">
        <v>15</v>
      </c>
    </row>
    <row r="86" spans="1:6" ht="13.5">
      <c r="A86" s="3116">
        <v>14</v>
      </c>
      <c r="B86" s="3794"/>
      <c r="C86" s="3090" t="s">
        <v>2681</v>
      </c>
      <c r="D86" s="3090" t="s">
        <v>2682</v>
      </c>
      <c r="E86" s="3116">
        <v>0.1</v>
      </c>
      <c r="F86" s="3116">
        <v>15</v>
      </c>
    </row>
    <row r="87" spans="1:6" ht="13.5">
      <c r="A87" s="3116">
        <v>15</v>
      </c>
      <c r="B87" s="3794"/>
      <c r="C87" s="3090" t="s">
        <v>2683</v>
      </c>
      <c r="D87" s="3090" t="s">
        <v>2684</v>
      </c>
      <c r="E87" s="3116">
        <v>0.1</v>
      </c>
      <c r="F87" s="3116">
        <v>15</v>
      </c>
    </row>
    <row r="88" spans="1:6" ht="24">
      <c r="A88" s="3116">
        <v>16</v>
      </c>
      <c r="B88" s="3794"/>
      <c r="C88" s="3090" t="s">
        <v>2685</v>
      </c>
      <c r="D88" s="3090" t="s">
        <v>2686</v>
      </c>
      <c r="E88" s="3116">
        <v>0.1</v>
      </c>
      <c r="F88" s="3116">
        <v>15</v>
      </c>
    </row>
    <row r="89" spans="1:6" ht="24">
      <c r="A89" s="3116">
        <v>17</v>
      </c>
      <c r="B89" s="3803"/>
      <c r="C89" s="3090" t="s">
        <v>2687</v>
      </c>
      <c r="D89" s="3090" t="s">
        <v>2688</v>
      </c>
      <c r="E89" s="3116">
        <v>0.1</v>
      </c>
      <c r="F89" s="3116">
        <v>15</v>
      </c>
    </row>
    <row r="90" spans="1:6" ht="13.5">
      <c r="A90" s="3116">
        <v>18</v>
      </c>
      <c r="B90" s="3799" t="s">
        <v>2689</v>
      </c>
      <c r="C90" s="3090" t="s">
        <v>2690</v>
      </c>
      <c r="D90" s="3090" t="s">
        <v>2691</v>
      </c>
      <c r="E90" s="3116">
        <v>0.2</v>
      </c>
      <c r="F90" s="3116">
        <v>25</v>
      </c>
    </row>
    <row r="91" spans="1:6" ht="24">
      <c r="A91" s="3116">
        <v>19</v>
      </c>
      <c r="B91" s="3794"/>
      <c r="C91" s="3090" t="s">
        <v>2692</v>
      </c>
      <c r="D91" s="3090" t="s">
        <v>2693</v>
      </c>
      <c r="E91" s="3116">
        <v>0.2</v>
      </c>
      <c r="F91" s="3116">
        <v>25</v>
      </c>
    </row>
    <row r="92" spans="1:6" ht="13.5">
      <c r="A92" s="3116">
        <v>20</v>
      </c>
      <c r="B92" s="3794"/>
      <c r="C92" s="3090" t="s">
        <v>2694</v>
      </c>
      <c r="D92" s="3090" t="s">
        <v>2695</v>
      </c>
      <c r="E92" s="3116">
        <v>0.15</v>
      </c>
      <c r="F92" s="3116">
        <v>20</v>
      </c>
    </row>
    <row r="93" spans="1:6" ht="13.5">
      <c r="A93" s="3116">
        <v>21</v>
      </c>
      <c r="B93" s="3794"/>
      <c r="C93" s="3090" t="s">
        <v>2696</v>
      </c>
      <c r="D93" s="3090" t="s">
        <v>2697</v>
      </c>
      <c r="E93" s="3116">
        <v>0.15</v>
      </c>
      <c r="F93" s="3116">
        <v>20</v>
      </c>
    </row>
    <row r="94" spans="1:6" ht="13.5">
      <c r="A94" s="3116">
        <v>22</v>
      </c>
      <c r="B94" s="3794"/>
      <c r="C94" s="3090" t="s">
        <v>2698</v>
      </c>
      <c r="D94" s="3090" t="s">
        <v>2699</v>
      </c>
      <c r="E94" s="3116">
        <v>0.15</v>
      </c>
      <c r="F94" s="3116">
        <v>20</v>
      </c>
    </row>
    <row r="95" spans="1:6" ht="36">
      <c r="A95" s="3116">
        <v>23</v>
      </c>
      <c r="B95" s="3794"/>
      <c r="C95" s="3090" t="s">
        <v>2700</v>
      </c>
      <c r="D95" s="3090" t="s">
        <v>2701</v>
      </c>
      <c r="E95" s="3116">
        <v>0.15</v>
      </c>
      <c r="F95" s="3116">
        <v>20</v>
      </c>
    </row>
    <row r="96" spans="1:6" ht="13.5">
      <c r="A96" s="3116">
        <v>24</v>
      </c>
      <c r="B96" s="3794"/>
      <c r="C96" s="3090" t="s">
        <v>2702</v>
      </c>
      <c r="D96" s="3090" t="s">
        <v>2703</v>
      </c>
      <c r="E96" s="3116">
        <v>0.1</v>
      </c>
      <c r="F96" s="3116">
        <v>15</v>
      </c>
    </row>
    <row r="97" spans="1:6" ht="13.5">
      <c r="A97" s="3116">
        <v>25</v>
      </c>
      <c r="B97" s="3794"/>
      <c r="C97" s="3090" t="s">
        <v>2704</v>
      </c>
      <c r="D97" s="3090" t="s">
        <v>2705</v>
      </c>
      <c r="E97" s="3116">
        <v>0.1</v>
      </c>
      <c r="F97" s="3116">
        <v>15</v>
      </c>
    </row>
    <row r="98" spans="1:6" ht="24">
      <c r="A98" s="3116">
        <v>26</v>
      </c>
      <c r="B98" s="3794"/>
      <c r="C98" s="3090" t="s">
        <v>2706</v>
      </c>
      <c r="D98" s="3090" t="s">
        <v>2707</v>
      </c>
      <c r="E98" s="3116">
        <v>0.1</v>
      </c>
      <c r="F98" s="3116">
        <v>15</v>
      </c>
    </row>
    <row r="99" spans="1:6" ht="24">
      <c r="A99" s="3116">
        <v>27</v>
      </c>
      <c r="B99" s="3794"/>
      <c r="C99" s="3090" t="s">
        <v>2708</v>
      </c>
      <c r="D99" s="3090" t="s">
        <v>2709</v>
      </c>
      <c r="E99" s="3116">
        <v>0.1</v>
      </c>
      <c r="F99" s="3116">
        <v>15</v>
      </c>
    </row>
    <row r="100" spans="1:6" ht="13.5">
      <c r="A100" s="3116">
        <v>28</v>
      </c>
      <c r="B100" s="3794"/>
      <c r="C100" s="3090" t="s">
        <v>2710</v>
      </c>
      <c r="D100" s="3090" t="s">
        <v>2711</v>
      </c>
      <c r="E100" s="3116">
        <v>0.1</v>
      </c>
      <c r="F100" s="3116">
        <v>15</v>
      </c>
    </row>
    <row r="101" spans="1:6" ht="13.5">
      <c r="A101" s="3116">
        <v>29</v>
      </c>
      <c r="B101" s="3794"/>
      <c r="C101" s="3090" t="s">
        <v>2712</v>
      </c>
      <c r="D101" s="3090" t="s">
        <v>2713</v>
      </c>
      <c r="E101" s="3116">
        <v>0.1</v>
      </c>
      <c r="F101" s="3116">
        <v>15</v>
      </c>
    </row>
    <row r="102" spans="1:6" ht="13.5">
      <c r="A102" s="3116">
        <v>30</v>
      </c>
      <c r="B102" s="3794"/>
      <c r="C102" s="3090" t="s">
        <v>2714</v>
      </c>
      <c r="D102" s="3090" t="s">
        <v>2715</v>
      </c>
      <c r="E102" s="3116">
        <v>0.1</v>
      </c>
      <c r="F102" s="3116">
        <v>15</v>
      </c>
    </row>
    <row r="103" spans="1:6" ht="24">
      <c r="A103" s="3116">
        <v>31</v>
      </c>
      <c r="B103" s="3794"/>
      <c r="C103" s="3090" t="s">
        <v>2716</v>
      </c>
      <c r="D103" s="3090" t="s">
        <v>2717</v>
      </c>
      <c r="E103" s="3116">
        <v>0.1</v>
      </c>
      <c r="F103" s="3116">
        <v>15</v>
      </c>
    </row>
    <row r="104" spans="1:6" ht="24">
      <c r="A104" s="3116">
        <v>32</v>
      </c>
      <c r="B104" s="3794"/>
      <c r="C104" s="3090" t="s">
        <v>2718</v>
      </c>
      <c r="D104" s="3090" t="s">
        <v>2719</v>
      </c>
      <c r="E104" s="3116">
        <v>0.1</v>
      </c>
      <c r="F104" s="3116">
        <v>15</v>
      </c>
    </row>
    <row r="105" spans="1:6" ht="24">
      <c r="A105" s="3116">
        <v>33</v>
      </c>
      <c r="B105" s="3794"/>
      <c r="C105" s="3090" t="s">
        <v>2720</v>
      </c>
      <c r="D105" s="3090" t="s">
        <v>2721</v>
      </c>
      <c r="E105" s="3116">
        <v>0.1</v>
      </c>
      <c r="F105" s="3116">
        <v>15</v>
      </c>
    </row>
    <row r="106" spans="1:6" ht="24">
      <c r="A106" s="3116">
        <v>34</v>
      </c>
      <c r="B106" s="3803"/>
      <c r="C106" s="3090" t="s">
        <v>2722</v>
      </c>
      <c r="D106" s="3090" t="s">
        <v>2723</v>
      </c>
      <c r="E106" s="3116">
        <v>0.1</v>
      </c>
      <c r="F106" s="3116">
        <v>15</v>
      </c>
    </row>
    <row r="107" spans="1:6" ht="24">
      <c r="A107" s="3116">
        <v>35</v>
      </c>
      <c r="B107" s="3799" t="s">
        <v>2724</v>
      </c>
      <c r="C107" s="3116" t="s">
        <v>2725</v>
      </c>
      <c r="D107" s="3090" t="s">
        <v>2726</v>
      </c>
      <c r="E107" s="3116">
        <v>0.15</v>
      </c>
      <c r="F107" s="3116">
        <v>20</v>
      </c>
    </row>
    <row r="108" spans="1:6" ht="13.5">
      <c r="A108" s="3116">
        <v>36</v>
      </c>
      <c r="B108" s="3794"/>
      <c r="C108" s="3116" t="s">
        <v>2727</v>
      </c>
      <c r="D108" s="3090" t="s">
        <v>2728</v>
      </c>
      <c r="E108" s="3116">
        <v>0.15</v>
      </c>
      <c r="F108" s="3116">
        <v>20</v>
      </c>
    </row>
    <row r="109" spans="1:6" ht="13.5">
      <c r="A109" s="3116">
        <v>37</v>
      </c>
      <c r="B109" s="3794"/>
      <c r="C109" s="3116" t="s">
        <v>2729</v>
      </c>
      <c r="D109" s="3090" t="s">
        <v>2730</v>
      </c>
      <c r="E109" s="3116">
        <v>0.15</v>
      </c>
      <c r="F109" s="3116">
        <v>20</v>
      </c>
    </row>
    <row r="110" spans="1:6" ht="13.5">
      <c r="A110" s="3116">
        <v>38</v>
      </c>
      <c r="B110" s="3794"/>
      <c r="C110" s="3116" t="s">
        <v>2731</v>
      </c>
      <c r="D110" s="3090" t="s">
        <v>2732</v>
      </c>
      <c r="E110" s="3116">
        <v>0.1</v>
      </c>
      <c r="F110" s="3116">
        <v>15</v>
      </c>
    </row>
    <row r="111" spans="1:6" ht="24">
      <c r="A111" s="3116">
        <v>39</v>
      </c>
      <c r="B111" s="3794"/>
      <c r="C111" s="3116" t="s">
        <v>2733</v>
      </c>
      <c r="D111" s="3090" t="s">
        <v>2734</v>
      </c>
      <c r="E111" s="3116">
        <v>0.1</v>
      </c>
      <c r="F111" s="3116">
        <v>15</v>
      </c>
    </row>
    <row r="112" spans="1:6" ht="24">
      <c r="A112" s="3116">
        <v>40</v>
      </c>
      <c r="B112" s="3803"/>
      <c r="C112" s="3116" t="s">
        <v>2735</v>
      </c>
      <c r="D112" s="3090" t="s">
        <v>2736</v>
      </c>
      <c r="E112" s="3116">
        <v>0.1</v>
      </c>
      <c r="F112" s="3116">
        <v>15</v>
      </c>
    </row>
    <row r="113" spans="1:6" ht="13.5">
      <c r="A113" s="3116">
        <v>41</v>
      </c>
      <c r="B113" s="3804" t="s">
        <v>2737</v>
      </c>
      <c r="C113" s="3116" t="s">
        <v>2738</v>
      </c>
      <c r="D113" s="3090" t="s">
        <v>2739</v>
      </c>
      <c r="E113" s="3116">
        <v>0.1</v>
      </c>
      <c r="F113" s="3116">
        <v>15</v>
      </c>
    </row>
    <row r="114" spans="1:6" ht="13.5">
      <c r="A114" s="3116">
        <v>42</v>
      </c>
      <c r="B114" s="3804"/>
      <c r="C114" s="3116" t="s">
        <v>2740</v>
      </c>
      <c r="D114" s="3090" t="s">
        <v>2741</v>
      </c>
      <c r="E114" s="3116">
        <v>0.1</v>
      </c>
      <c r="F114" s="3116">
        <v>15</v>
      </c>
    </row>
    <row r="115" spans="1:6" ht="24">
      <c r="A115" s="3116">
        <v>43</v>
      </c>
      <c r="B115" s="3804"/>
      <c r="C115" s="3116" t="s">
        <v>2742</v>
      </c>
      <c r="D115" s="3090" t="s">
        <v>2743</v>
      </c>
      <c r="E115" s="3116">
        <v>0.1</v>
      </c>
      <c r="F115" s="3116">
        <v>15</v>
      </c>
    </row>
    <row r="116" spans="1:6" ht="13.5">
      <c r="A116" s="3116">
        <v>44</v>
      </c>
      <c r="B116" s="3799" t="s">
        <v>2744</v>
      </c>
      <c r="C116" s="3116" t="s">
        <v>2745</v>
      </c>
      <c r="D116" s="3090" t="s">
        <v>2746</v>
      </c>
      <c r="E116" s="3116">
        <v>0.1</v>
      </c>
      <c r="F116" s="3116">
        <v>15</v>
      </c>
    </row>
    <row r="117" spans="1:6" ht="24">
      <c r="A117" s="3116">
        <v>45</v>
      </c>
      <c r="B117" s="3803"/>
      <c r="C117" s="3090" t="s">
        <v>2747</v>
      </c>
      <c r="D117" s="3090" t="s">
        <v>2748</v>
      </c>
      <c r="E117" s="3116">
        <v>0.1</v>
      </c>
      <c r="F117" s="3116">
        <v>15</v>
      </c>
    </row>
    <row r="118" spans="1:6" ht="24">
      <c r="A118" s="3116">
        <v>46</v>
      </c>
      <c r="B118" s="3799" t="s">
        <v>2749</v>
      </c>
      <c r="C118" s="3116" t="s">
        <v>2750</v>
      </c>
      <c r="D118" s="3090" t="s">
        <v>2751</v>
      </c>
      <c r="E118" s="3116">
        <v>0.1</v>
      </c>
      <c r="F118" s="3116">
        <v>15</v>
      </c>
    </row>
    <row r="119" spans="1:6" ht="24">
      <c r="A119" s="3116">
        <v>47</v>
      </c>
      <c r="B119" s="3803"/>
      <c r="C119" s="3116" t="s">
        <v>2752</v>
      </c>
      <c r="D119" s="3090" t="s">
        <v>2753</v>
      </c>
      <c r="E119" s="3116">
        <v>0.1</v>
      </c>
      <c r="F119" s="3116">
        <v>15</v>
      </c>
    </row>
    <row r="120" spans="1:6" ht="13.5">
      <c r="A120" s="3116">
        <v>48</v>
      </c>
      <c r="B120" s="3799" t="s">
        <v>2754</v>
      </c>
      <c r="C120" s="3116" t="s">
        <v>2755</v>
      </c>
      <c r="D120" s="3090" t="s">
        <v>2756</v>
      </c>
      <c r="E120" s="3116">
        <v>0.1</v>
      </c>
      <c r="F120" s="3116">
        <v>15</v>
      </c>
    </row>
    <row r="121" spans="1:6" ht="13.5">
      <c r="A121" s="3116">
        <v>49</v>
      </c>
      <c r="B121" s="3803"/>
      <c r="C121" s="3116" t="s">
        <v>2757</v>
      </c>
      <c r="D121" s="3090" t="s">
        <v>2758</v>
      </c>
      <c r="E121" s="3116">
        <v>0.1</v>
      </c>
      <c r="F121" s="3116">
        <v>15</v>
      </c>
    </row>
    <row r="122" spans="1:6" ht="24">
      <c r="A122" s="3116">
        <v>50</v>
      </c>
      <c r="B122" s="3804" t="s">
        <v>2759</v>
      </c>
      <c r="C122" s="3116" t="s">
        <v>2760</v>
      </c>
      <c r="D122" s="3090" t="s">
        <v>2761</v>
      </c>
      <c r="E122" s="3116">
        <v>0.1</v>
      </c>
      <c r="F122" s="3116">
        <v>15</v>
      </c>
    </row>
    <row r="123" spans="1:6" ht="24">
      <c r="A123" s="3116">
        <v>51</v>
      </c>
      <c r="B123" s="3804"/>
      <c r="C123" s="3116" t="s">
        <v>2762</v>
      </c>
      <c r="D123" s="3090" t="s">
        <v>2763</v>
      </c>
      <c r="E123" s="3116">
        <v>0.1</v>
      </c>
      <c r="F123" s="3116">
        <v>15</v>
      </c>
    </row>
    <row r="124" spans="1:6" ht="24">
      <c r="A124" s="3116">
        <v>52</v>
      </c>
      <c r="B124" s="3804" t="s">
        <v>2764</v>
      </c>
      <c r="C124" s="3116" t="s">
        <v>2765</v>
      </c>
      <c r="D124" s="3090" t="s">
        <v>2766</v>
      </c>
      <c r="E124" s="3116">
        <v>0.1</v>
      </c>
      <c r="F124" s="3116">
        <v>15</v>
      </c>
    </row>
    <row r="125" spans="1:6" ht="24">
      <c r="A125" s="3116">
        <v>53</v>
      </c>
      <c r="B125" s="380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04" t="s">
        <v>2772</v>
      </c>
      <c r="C127" s="3116" t="s">
        <v>2773</v>
      </c>
      <c r="D127" s="3090" t="s">
        <v>2774</v>
      </c>
      <c r="E127" s="3116">
        <v>0.1</v>
      </c>
      <c r="F127" s="3116">
        <v>15</v>
      </c>
    </row>
    <row r="128" spans="1:6" ht="13.5">
      <c r="A128" s="3116">
        <v>56</v>
      </c>
      <c r="B128" s="3804"/>
      <c r="C128" s="3116" t="s">
        <v>2775</v>
      </c>
      <c r="D128" s="3090" t="s">
        <v>2776</v>
      </c>
      <c r="E128" s="3116">
        <v>0.1</v>
      </c>
      <c r="F128" s="3116">
        <v>15</v>
      </c>
    </row>
    <row r="129" spans="1:6" ht="24">
      <c r="A129" s="3116">
        <v>57</v>
      </c>
      <c r="B129" s="3804"/>
      <c r="C129" s="3116" t="s">
        <v>2777</v>
      </c>
      <c r="D129" s="3090" t="s">
        <v>2778</v>
      </c>
      <c r="E129" s="3116">
        <v>0.1</v>
      </c>
      <c r="F129" s="3116">
        <v>15</v>
      </c>
    </row>
    <row r="130" spans="1:6" ht="24">
      <c r="A130" s="3116">
        <v>58</v>
      </c>
      <c r="B130" s="3804" t="s">
        <v>2779</v>
      </c>
      <c r="C130" s="3116" t="s">
        <v>2780</v>
      </c>
      <c r="D130" s="3090" t="s">
        <v>2781</v>
      </c>
      <c r="E130" s="3116">
        <v>0.1</v>
      </c>
      <c r="F130" s="3116">
        <v>15</v>
      </c>
    </row>
    <row r="131" spans="1:6" ht="13.5">
      <c r="A131" s="3116">
        <v>59</v>
      </c>
      <c r="B131" s="3804"/>
      <c r="C131" s="3116" t="s">
        <v>2782</v>
      </c>
      <c r="D131" s="3090" t="s">
        <v>2783</v>
      </c>
      <c r="E131" s="3116">
        <v>0.1</v>
      </c>
      <c r="F131" s="3116">
        <v>15</v>
      </c>
    </row>
    <row r="132" spans="1:6" ht="13.5">
      <c r="A132" s="3116">
        <v>60</v>
      </c>
      <c r="B132" s="3799" t="s">
        <v>2784</v>
      </c>
      <c r="C132" s="3116" t="s">
        <v>2785</v>
      </c>
      <c r="D132" s="3090" t="s">
        <v>2786</v>
      </c>
      <c r="E132" s="3116">
        <v>0.1</v>
      </c>
      <c r="F132" s="3116">
        <v>15</v>
      </c>
    </row>
    <row r="133" spans="1:6" ht="13.5">
      <c r="A133" s="3116">
        <v>61</v>
      </c>
      <c r="B133" s="380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04" t="s">
        <v>2792</v>
      </c>
      <c r="C135" s="3116" t="s">
        <v>2793</v>
      </c>
      <c r="D135" s="3090" t="s">
        <v>2794</v>
      </c>
      <c r="E135" s="3116">
        <v>0.1</v>
      </c>
      <c r="F135" s="3116">
        <v>15</v>
      </c>
    </row>
    <row r="136" spans="1:6" ht="13.5">
      <c r="A136" s="3116">
        <v>64</v>
      </c>
      <c r="B136" s="380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估价结果一览表（市场价值不需“结果表-1”）</v>
      </c>
      <c r="B3" s="3489"/>
      <c r="C3" s="3489"/>
      <c r="D3" s="3489"/>
      <c r="E3" s="3489"/>
    </row>
    <row r="4" spans="1:5" ht="19.5" thickBot="1">
      <c r="A4" s="1491"/>
      <c r="B4" s="3487" t="s">
        <v>917</v>
      </c>
      <c r="C4" s="3487"/>
      <c r="D4" s="3487"/>
      <c r="E4" s="1491"/>
    </row>
    <row r="5" spans="1:5" ht="16.5" thickTop="1">
      <c r="A5" s="1489"/>
      <c r="B5" s="3485" t="s">
        <v>909</v>
      </c>
      <c r="C5" s="1492" t="s">
        <v>910</v>
      </c>
      <c r="D5" s="849" t="e">
        <f ca="1">结果表!H101</f>
        <v>#REF!</v>
      </c>
      <c r="E5" s="1489"/>
    </row>
    <row r="6" spans="1:5" ht="15.75">
      <c r="A6" s="1489"/>
      <c r="B6" s="3485"/>
      <c r="C6" s="1492" t="s">
        <v>911</v>
      </c>
      <c r="D6" s="849" t="e">
        <f ca="1">NUMBERSTRING(INT(D5*10000),2)&amp;"元整"</f>
        <v>#REF!</v>
      </c>
      <c r="E6" s="1489"/>
    </row>
    <row r="7" spans="1:5" ht="15.75">
      <c r="A7" s="1489"/>
      <c r="B7" s="3490"/>
      <c r="C7" s="1493" t="s">
        <v>912</v>
      </c>
      <c r="D7" s="850" t="e">
        <f ca="1">结果表!H102</f>
        <v>#REF!</v>
      </c>
      <c r="E7" s="1489"/>
    </row>
    <row r="8" spans="1:5" ht="15.75">
      <c r="A8" s="1489"/>
      <c r="B8" s="3491" t="str">
        <f>结果表!E103</f>
        <v>2.估价师知悉的法定优先受偿款</v>
      </c>
      <c r="C8" s="1494" t="s">
        <v>913</v>
      </c>
      <c r="D8" s="850">
        <f>结果表!H103</f>
        <v>0</v>
      </c>
      <c r="E8" s="1489"/>
    </row>
    <row r="9" spans="1:5" ht="15.75">
      <c r="A9" s="1489"/>
      <c r="B9" s="349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4" t="str">
        <f>结果表!E107</f>
        <v>3.房地产抵押价值</v>
      </c>
      <c r="C13" s="1497" t="s">
        <v>910</v>
      </c>
      <c r="D13" s="852" t="e">
        <f ca="1">结果表!H107</f>
        <v>#REF!</v>
      </c>
      <c r="E13" s="1489"/>
    </row>
    <row r="14" spans="1:5" ht="15.75">
      <c r="A14" s="1489"/>
      <c r="B14" s="3485"/>
      <c r="C14" s="1492" t="s">
        <v>911</v>
      </c>
      <c r="D14" s="849" t="e">
        <f ca="1">NUMBERSTRING(INT(D13*10000),2)&amp;"元整"</f>
        <v>#REF!</v>
      </c>
      <c r="E14" s="1489"/>
    </row>
    <row r="15" spans="1:5" ht="15">
      <c r="A15" s="1489"/>
      <c r="B15" s="3490"/>
      <c r="C15" s="1493" t="s">
        <v>921</v>
      </c>
      <c r="D15" s="858" t="e">
        <f ca="1">结果表!H108</f>
        <v>#REF!</v>
      </c>
      <c r="E15" s="1489"/>
    </row>
    <row r="16" spans="1:5" ht="15">
      <c r="A16" s="1489"/>
      <c r="B16" s="3491" t="str">
        <f>结果表!E109</f>
        <v>——</v>
      </c>
      <c r="C16" s="1497" t="s">
        <v>922</v>
      </c>
      <c r="D16" s="1498" t="str">
        <f>结果表!H109</f>
        <v>——</v>
      </c>
      <c r="E16" s="1489"/>
    </row>
    <row r="17" spans="1:5" ht="15.75">
      <c r="A17" s="1489"/>
      <c r="B17" s="3492"/>
      <c r="C17" s="1492" t="s">
        <v>923</v>
      </c>
      <c r="D17" s="849" t="e">
        <f>NUMBERSTRING(INT(D16*10000),2)&amp;"元整"</f>
        <v>#VALUE!</v>
      </c>
      <c r="E17" s="1489"/>
    </row>
    <row r="18" spans="1:5" ht="15">
      <c r="A18" s="1489"/>
      <c r="B18" s="3493"/>
      <c r="C18" s="1493" t="s">
        <v>912</v>
      </c>
      <c r="D18" s="858" t="str">
        <f>结果表!H110</f>
        <v>——</v>
      </c>
      <c r="E18" s="1489"/>
    </row>
    <row r="19" spans="1:5" ht="15.75">
      <c r="A19" s="1489"/>
      <c r="B19" s="3484" t="str">
        <f>结果表!E111</f>
        <v>——</v>
      </c>
      <c r="C19" s="1497" t="s">
        <v>910</v>
      </c>
      <c r="D19" s="850" t="str">
        <f>结果表!H111</f>
        <v>——</v>
      </c>
      <c r="E19" s="1489"/>
    </row>
    <row r="20" spans="1:5" ht="15.75">
      <c r="A20" s="1489"/>
      <c r="B20" s="3485"/>
      <c r="C20" s="1492" t="s">
        <v>923</v>
      </c>
      <c r="D20" s="849" t="e">
        <f>NUMBERSTRING(INT(D19*10000),2)&amp;"元整"</f>
        <v>#VALUE!</v>
      </c>
      <c r="E20" s="1489"/>
    </row>
    <row r="21" spans="1:5" ht="15.75" thickBot="1">
      <c r="A21" s="1489"/>
      <c r="B21" s="348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34772</v>
      </c>
      <c r="C2" s="2" t="s">
        <v>106</v>
      </c>
      <c r="D2" s="199"/>
      <c r="E2" s="199"/>
      <c r="F2" s="199"/>
      <c r="G2" s="199"/>
    </row>
    <row r="3" spans="1:7" s="200" customFormat="1" ht="18" customHeight="1" thickBot="1">
      <c r="A3" s="203" t="s">
        <v>58</v>
      </c>
      <c r="B3" s="204">
        <f ca="1">ROUND(B2*10000/'数据-汇总表'!E3,0)</f>
        <v>23058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67" t="s">
        <v>94</v>
      </c>
    </row>
    <row r="43" spans="1:7" ht="13.5" customHeight="1">
      <c r="A43" s="779" t="s">
        <v>347</v>
      </c>
      <c r="B43" s="215" t="s">
        <v>426</v>
      </c>
      <c r="C43" s="238">
        <f ca="1">ROUND(IF('数据-取费表'!B22&lt;=1,C39*F22*'数据-取费表'!B21/2,C39*(POWER((1+F22),'数据-取费表'!B21/2)-1)),0)</f>
        <v>4</v>
      </c>
      <c r="D43" s="238"/>
      <c r="E43" s="238"/>
      <c r="F43" s="239"/>
      <c r="G43" s="3668"/>
    </row>
    <row r="44" spans="1:7" ht="13.5" customHeight="1">
      <c r="A44" s="779"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6589</v>
      </c>
      <c r="D51" s="232"/>
      <c r="E51" s="232"/>
      <c r="F51" s="264"/>
      <c r="G51" s="234" t="s">
        <v>37</v>
      </c>
    </row>
    <row r="52" spans="1:7" s="208" customFormat="1" ht="16.5" thickBot="1">
      <c r="A52" s="265" t="s">
        <v>38</v>
      </c>
      <c r="B52" s="266"/>
      <c r="C52" s="267">
        <f ca="1">C31+C51</f>
        <v>34772</v>
      </c>
      <c r="D52" s="266"/>
      <c r="E52" s="266"/>
      <c r="F52" s="266"/>
      <c r="G52" s="268"/>
    </row>
    <row r="55" spans="1:7" ht="15">
      <c r="B55" s="270" t="s">
        <v>39</v>
      </c>
      <c r="C55" s="271"/>
    </row>
    <row r="56" spans="1:7">
      <c r="B56" s="273" t="s">
        <v>40</v>
      </c>
      <c r="C56" s="274">
        <f ca="1">ROUND(C51/C52,3)</f>
        <v>0.189</v>
      </c>
    </row>
    <row r="57" spans="1:7">
      <c r="B57" s="273" t="s">
        <v>41</v>
      </c>
      <c r="C57" s="275">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7" t="s">
        <v>2844</v>
      </c>
      <c r="B1" s="3807"/>
      <c r="C1" s="3807"/>
      <c r="D1" s="3807"/>
      <c r="E1" s="3807"/>
      <c r="F1" s="3807"/>
      <c r="G1" s="3808"/>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5"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6"/>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9" t="s">
        <v>3186</v>
      </c>
      <c r="B1" s="3809"/>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10" t="s">
        <v>3237</v>
      </c>
      <c r="B1" s="3810"/>
      <c r="C1" s="3810"/>
      <c r="D1" s="3810"/>
      <c r="E1" s="3810"/>
      <c r="F1" s="3811"/>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12" t="s">
        <v>456</v>
      </c>
      <c r="S1" s="3813"/>
      <c r="T1" s="3813"/>
      <c r="U1" s="3813"/>
      <c r="V1" s="3813"/>
      <c r="W1" s="3813"/>
      <c r="X1" s="3163"/>
      <c r="Y1" s="3812" t="s">
        <v>457</v>
      </c>
      <c r="Z1" s="3813"/>
      <c r="AA1" s="3813"/>
      <c r="AB1" s="3813"/>
      <c r="AC1" s="3813"/>
      <c r="AD1" s="3813"/>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12" t="s">
        <v>2831</v>
      </c>
      <c r="S21" s="3813"/>
      <c r="T21" s="3813"/>
      <c r="U21" s="3813"/>
      <c r="V21" s="3813"/>
      <c r="W21" s="3813"/>
      <c r="X21" s="3163"/>
      <c r="Y21" s="3812" t="s">
        <v>2832</v>
      </c>
      <c r="Z21" s="3813"/>
      <c r="AA21" s="3813"/>
      <c r="AB21" s="3813"/>
      <c r="AC21" s="3813"/>
      <c r="AD21" s="3813"/>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2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E1" workbookViewId="0">
      <selection activeCell="S5" sqref="S5"/>
    </sheetView>
  </sheetViews>
  <sheetFormatPr defaultRowHeight="13.5"/>
  <cols>
    <col min="3" max="3" width="9.875" customWidth="1"/>
  </cols>
  <sheetData>
    <row r="35" spans="3:3">
      <c r="C35" s="3472" t="s">
        <v>3492</v>
      </c>
    </row>
    <row r="36" spans="3:3">
      <c r="C36" s="3472" t="s">
        <v>3489</v>
      </c>
    </row>
    <row r="71" spans="4:4">
      <c r="D71" s="3472" t="s">
        <v>3490</v>
      </c>
    </row>
    <row r="72" spans="4:4">
      <c r="D72" s="3472" t="s">
        <v>3493</v>
      </c>
    </row>
    <row r="73" spans="4:4">
      <c r="D73" s="3472" t="s">
        <v>3491</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34"/>
  <sheetViews>
    <sheetView topLeftCell="E13" zoomScale="110" zoomScaleNormal="110" workbookViewId="0">
      <selection activeCell="J21" sqref="J21:P34"/>
    </sheetView>
  </sheetViews>
  <sheetFormatPr defaultRowHeight="14.25"/>
  <cols>
    <col min="1" max="2" width="9" style="3478"/>
    <col min="3" max="3" width="6.375" style="3478" customWidth="1"/>
    <col min="4" max="4" width="32.125" style="3478" customWidth="1"/>
    <col min="5" max="5" width="29.125" style="3478" customWidth="1"/>
    <col min="6" max="6" width="9" style="3478"/>
    <col min="7" max="7" width="5.875" style="3478" customWidth="1"/>
    <col min="8" max="8" width="7.375" style="3478" customWidth="1"/>
    <col min="9" max="9" width="6" style="3478" customWidth="1"/>
    <col min="10" max="10" width="6.875" style="3478" customWidth="1"/>
    <col min="11" max="12" width="9" style="3478"/>
    <col min="13" max="13" width="8" style="3478" customWidth="1"/>
    <col min="14" max="14" width="6.375" style="3478" customWidth="1"/>
    <col min="15" max="15" width="8.125" style="3478" customWidth="1"/>
    <col min="16" max="16384" width="9" style="3478"/>
  </cols>
  <sheetData>
    <row r="3" spans="3:10">
      <c r="C3" s="3479" t="s">
        <v>3526</v>
      </c>
      <c r="D3" s="3479" t="s">
        <v>3527</v>
      </c>
      <c r="E3" s="3479" t="s">
        <v>3528</v>
      </c>
      <c r="F3" s="3479" t="s">
        <v>3529</v>
      </c>
      <c r="G3" s="3479" t="s">
        <v>3530</v>
      </c>
      <c r="H3" s="3479" t="s">
        <v>3531</v>
      </c>
      <c r="I3" s="3479" t="s">
        <v>3558</v>
      </c>
      <c r="J3" s="3479" t="s">
        <v>3534</v>
      </c>
    </row>
    <row r="4" spans="3:10">
      <c r="C4" s="3479">
        <v>1</v>
      </c>
      <c r="D4" s="3479" t="s">
        <v>3532</v>
      </c>
      <c r="E4" s="3479" t="s">
        <v>3533</v>
      </c>
      <c r="F4" s="3479">
        <v>1386.27</v>
      </c>
      <c r="G4" s="3479">
        <v>15</v>
      </c>
      <c r="H4" s="3479">
        <v>4</v>
      </c>
      <c r="I4" s="3479">
        <v>5</v>
      </c>
      <c r="J4" s="3479" t="s">
        <v>3535</v>
      </c>
    </row>
    <row r="5" spans="3:10">
      <c r="C5" s="3479">
        <v>2</v>
      </c>
      <c r="D5" s="3479" t="s">
        <v>3536</v>
      </c>
      <c r="E5" s="3479" t="s">
        <v>3537</v>
      </c>
      <c r="F5" s="3479">
        <v>1386.27</v>
      </c>
      <c r="G5" s="3479">
        <v>15</v>
      </c>
      <c r="H5" s="3479">
        <v>5</v>
      </c>
      <c r="I5" s="3479">
        <v>6</v>
      </c>
      <c r="J5" s="3479" t="s">
        <v>3535</v>
      </c>
    </row>
    <row r="6" spans="3:10">
      <c r="C6" s="3479">
        <v>3</v>
      </c>
      <c r="D6" s="3479" t="s">
        <v>3538</v>
      </c>
      <c r="E6" s="3479" t="s">
        <v>3539</v>
      </c>
      <c r="F6" s="3479">
        <v>1386.27</v>
      </c>
      <c r="G6" s="3479">
        <v>15</v>
      </c>
      <c r="H6" s="3479">
        <v>6</v>
      </c>
      <c r="I6" s="3479">
        <v>7</v>
      </c>
      <c r="J6" s="3479" t="s">
        <v>3535</v>
      </c>
    </row>
    <row r="7" spans="3:10">
      <c r="C7" s="3479">
        <v>4</v>
      </c>
      <c r="D7" s="3479" t="s">
        <v>3540</v>
      </c>
      <c r="E7" s="3479" t="s">
        <v>3541</v>
      </c>
      <c r="F7" s="3479">
        <v>1386.27</v>
      </c>
      <c r="G7" s="3479">
        <v>15</v>
      </c>
      <c r="H7" s="3479">
        <v>7</v>
      </c>
      <c r="I7" s="3479">
        <v>8</v>
      </c>
      <c r="J7" s="3479" t="s">
        <v>3535</v>
      </c>
    </row>
    <row r="8" spans="3:10">
      <c r="C8" s="3479">
        <v>5</v>
      </c>
      <c r="D8" s="3479" t="s">
        <v>3542</v>
      </c>
      <c r="E8" s="3479" t="s">
        <v>3543</v>
      </c>
      <c r="F8" s="3479">
        <v>1387.78</v>
      </c>
      <c r="G8" s="3479">
        <v>15</v>
      </c>
      <c r="H8" s="3479">
        <v>8</v>
      </c>
      <c r="I8" s="3479">
        <v>9</v>
      </c>
      <c r="J8" s="3479" t="s">
        <v>3535</v>
      </c>
    </row>
    <row r="9" spans="3:10">
      <c r="C9" s="3479">
        <v>6</v>
      </c>
      <c r="D9" s="3479" t="s">
        <v>3544</v>
      </c>
      <c r="E9" s="3479" t="s">
        <v>3545</v>
      </c>
      <c r="F9" s="3479">
        <v>1387.78</v>
      </c>
      <c r="G9" s="3479">
        <v>15</v>
      </c>
      <c r="H9" s="3479">
        <v>9</v>
      </c>
      <c r="I9" s="3479">
        <v>10</v>
      </c>
      <c r="J9" s="3479" t="s">
        <v>3535</v>
      </c>
    </row>
    <row r="10" spans="3:10">
      <c r="C10" s="3479">
        <v>7</v>
      </c>
      <c r="D10" s="3479" t="s">
        <v>3546</v>
      </c>
      <c r="E10" s="3479" t="s">
        <v>3551</v>
      </c>
      <c r="F10" s="3479">
        <v>1387.22</v>
      </c>
      <c r="G10" s="3479">
        <v>15</v>
      </c>
      <c r="H10" s="3479">
        <v>10</v>
      </c>
      <c r="I10" s="3479">
        <v>11</v>
      </c>
      <c r="J10" s="3479" t="s">
        <v>3535</v>
      </c>
    </row>
    <row r="11" spans="3:10">
      <c r="C11" s="3479">
        <v>8</v>
      </c>
      <c r="D11" s="3479" t="s">
        <v>3547</v>
      </c>
      <c r="E11" s="3479" t="s">
        <v>3552</v>
      </c>
      <c r="F11" s="3479">
        <v>1387.78</v>
      </c>
      <c r="G11" s="3479">
        <v>15</v>
      </c>
      <c r="H11" s="3479">
        <v>11</v>
      </c>
      <c r="I11" s="3479">
        <v>12</v>
      </c>
      <c r="J11" s="3479" t="s">
        <v>3535</v>
      </c>
    </row>
    <row r="12" spans="3:10">
      <c r="C12" s="3479">
        <v>9</v>
      </c>
      <c r="D12" s="3479" t="s">
        <v>3548</v>
      </c>
      <c r="E12" s="3479" t="s">
        <v>3553</v>
      </c>
      <c r="F12" s="3479">
        <v>1196.6600000000001</v>
      </c>
      <c r="G12" s="3479">
        <v>15</v>
      </c>
      <c r="H12" s="3479">
        <v>12</v>
      </c>
      <c r="I12" s="3479">
        <v>15</v>
      </c>
      <c r="J12" s="3479" t="s">
        <v>3535</v>
      </c>
    </row>
    <row r="13" spans="3:10">
      <c r="C13" s="3479">
        <v>10</v>
      </c>
      <c r="D13" s="3479" t="s">
        <v>3549</v>
      </c>
      <c r="E13" s="3479" t="s">
        <v>3554</v>
      </c>
      <c r="F13" s="3479">
        <v>1195.55</v>
      </c>
      <c r="G13" s="3479">
        <v>15</v>
      </c>
      <c r="H13" s="3479">
        <v>13</v>
      </c>
      <c r="I13" s="3479">
        <v>16</v>
      </c>
      <c r="J13" s="3479" t="s">
        <v>3535</v>
      </c>
    </row>
    <row r="14" spans="3:10">
      <c r="C14" s="3479">
        <v>11</v>
      </c>
      <c r="D14" s="3479" t="s">
        <v>3550</v>
      </c>
      <c r="E14" s="3479" t="s">
        <v>3555</v>
      </c>
      <c r="F14" s="3479">
        <v>796.35</v>
      </c>
      <c r="G14" s="3479">
        <v>15</v>
      </c>
      <c r="H14" s="3479">
        <v>14</v>
      </c>
      <c r="I14" s="3479">
        <v>18</v>
      </c>
      <c r="J14" s="3479" t="s">
        <v>3535</v>
      </c>
    </row>
    <row r="15" spans="3:10">
      <c r="C15" s="3479">
        <v>12</v>
      </c>
      <c r="D15" s="3479" t="s">
        <v>3566</v>
      </c>
      <c r="E15" s="3479" t="s">
        <v>3556</v>
      </c>
      <c r="F15" s="3479">
        <v>796.35</v>
      </c>
      <c r="G15" s="3479">
        <v>15</v>
      </c>
      <c r="H15" s="3479">
        <v>15</v>
      </c>
      <c r="I15" s="3479">
        <v>19</v>
      </c>
      <c r="J15" s="3479" t="s">
        <v>3535</v>
      </c>
    </row>
    <row r="16" spans="3:10">
      <c r="C16" s="3479" t="s">
        <v>3557</v>
      </c>
      <c r="D16" s="3479"/>
      <c r="E16" s="3479"/>
      <c r="F16" s="3479">
        <f>SUM(F4:F15)</f>
        <v>15080.55</v>
      </c>
      <c r="G16" s="3479"/>
      <c r="H16" s="3479"/>
      <c r="I16" s="3479"/>
      <c r="J16" s="3479"/>
    </row>
    <row r="19" spans="5:16">
      <c r="E19" s="3482"/>
      <c r="F19" s="3482"/>
    </row>
    <row r="20" spans="5:16">
      <c r="E20" s="3482"/>
      <c r="F20" s="3482"/>
    </row>
    <row r="21" spans="5:16">
      <c r="E21" s="3482"/>
      <c r="F21" s="3482"/>
      <c r="J21" s="3481" t="s">
        <v>3575</v>
      </c>
      <c r="K21" s="3481" t="s">
        <v>3574</v>
      </c>
      <c r="L21" s="3481" t="s">
        <v>3398</v>
      </c>
      <c r="M21" s="3481" t="s">
        <v>3580</v>
      </c>
      <c r="N21" s="3481" t="s">
        <v>3568</v>
      </c>
      <c r="O21" s="3481" t="s">
        <v>3580</v>
      </c>
      <c r="P21" s="3481" t="s">
        <v>3572</v>
      </c>
    </row>
    <row r="22" spans="5:16">
      <c r="E22" s="3482"/>
      <c r="F22" s="3482"/>
      <c r="J22" s="3479">
        <v>1</v>
      </c>
      <c r="K22" s="3479" t="s">
        <v>3414</v>
      </c>
      <c r="L22" s="3479">
        <v>1387.78</v>
      </c>
      <c r="M22" s="3479">
        <v>1</v>
      </c>
      <c r="N22" s="3479" t="s">
        <v>3448</v>
      </c>
      <c r="O22" s="3479">
        <v>1</v>
      </c>
      <c r="P22" s="3479">
        <f>典型户型修正!R24</f>
        <v>3.7</v>
      </c>
    </row>
    <row r="23" spans="5:16">
      <c r="J23" s="3479">
        <v>2</v>
      </c>
      <c r="K23" s="3479" t="s">
        <v>3569</v>
      </c>
      <c r="L23" s="3479">
        <v>1386.27</v>
      </c>
      <c r="M23" s="3479">
        <v>1</v>
      </c>
      <c r="N23" s="3479" t="s">
        <v>3488</v>
      </c>
      <c r="O23" s="3479">
        <v>0.97</v>
      </c>
      <c r="P23" s="3479">
        <f>典型户型修正!R25</f>
        <v>3.59</v>
      </c>
    </row>
    <row r="24" spans="5:16">
      <c r="J24" s="3479">
        <v>3</v>
      </c>
      <c r="K24" s="3479" t="s">
        <v>3404</v>
      </c>
      <c r="L24" s="3479">
        <v>1386.27</v>
      </c>
      <c r="M24" s="3479">
        <v>1</v>
      </c>
      <c r="N24" s="3479" t="s">
        <v>3488</v>
      </c>
      <c r="O24" s="3479">
        <v>0.97</v>
      </c>
      <c r="P24" s="3479">
        <f>典型户型修正!R26</f>
        <v>3.59</v>
      </c>
    </row>
    <row r="25" spans="5:16">
      <c r="J25" s="3479">
        <v>4</v>
      </c>
      <c r="K25" s="3479" t="s">
        <v>3408</v>
      </c>
      <c r="L25" s="3479">
        <v>1386.27</v>
      </c>
      <c r="M25" s="3479">
        <v>1</v>
      </c>
      <c r="N25" s="3479" t="s">
        <v>3448</v>
      </c>
      <c r="O25" s="3479">
        <v>1</v>
      </c>
      <c r="P25" s="3479">
        <f>典型户型修正!R27</f>
        <v>3.7</v>
      </c>
    </row>
    <row r="26" spans="5:16">
      <c r="J26" s="3479">
        <v>5</v>
      </c>
      <c r="K26" s="3479" t="s">
        <v>3411</v>
      </c>
      <c r="L26" s="3479">
        <v>1386.27</v>
      </c>
      <c r="M26" s="3479">
        <v>1</v>
      </c>
      <c r="N26" s="3479" t="s">
        <v>3448</v>
      </c>
      <c r="O26" s="3479">
        <v>1</v>
      </c>
      <c r="P26" s="3479">
        <f>典型户型修正!R28</f>
        <v>3.7</v>
      </c>
    </row>
    <row r="27" spans="5:16">
      <c r="J27" s="3479">
        <v>6</v>
      </c>
      <c r="K27" s="3479" t="s">
        <v>3417</v>
      </c>
      <c r="L27" s="3479">
        <v>1387.78</v>
      </c>
      <c r="M27" s="3479">
        <v>1</v>
      </c>
      <c r="N27" s="3479" t="s">
        <v>3448</v>
      </c>
      <c r="O27" s="3479">
        <v>1</v>
      </c>
      <c r="P27" s="3479">
        <f>典型户型修正!R30</f>
        <v>3.7</v>
      </c>
    </row>
    <row r="28" spans="5:16">
      <c r="J28" s="3479">
        <v>7</v>
      </c>
      <c r="K28" s="3479" t="s">
        <v>3420</v>
      </c>
      <c r="L28" s="3479">
        <v>1387.22</v>
      </c>
      <c r="M28" s="3479">
        <v>1</v>
      </c>
      <c r="N28" s="3479" t="s">
        <v>3448</v>
      </c>
      <c r="O28" s="3479">
        <v>1</v>
      </c>
      <c r="P28" s="3479">
        <f>典型户型修正!R31</f>
        <v>3.7</v>
      </c>
    </row>
    <row r="29" spans="5:16">
      <c r="J29" s="3479">
        <v>8</v>
      </c>
      <c r="K29" s="3479" t="s">
        <v>3423</v>
      </c>
      <c r="L29" s="3479">
        <v>1387.78</v>
      </c>
      <c r="M29" s="3479">
        <v>1</v>
      </c>
      <c r="N29" s="3479" t="s">
        <v>3485</v>
      </c>
      <c r="O29" s="3479">
        <v>1.03</v>
      </c>
      <c r="P29" s="3479">
        <f>典型户型修正!R32</f>
        <v>3.81</v>
      </c>
    </row>
    <row r="30" spans="5:16">
      <c r="J30" s="3479">
        <v>9</v>
      </c>
      <c r="K30" s="3479" t="s">
        <v>3426</v>
      </c>
      <c r="L30" s="3479">
        <v>1196.6600000000001</v>
      </c>
      <c r="M30" s="3479">
        <v>1</v>
      </c>
      <c r="N30" s="3479" t="s">
        <v>3485</v>
      </c>
      <c r="O30" s="3479">
        <v>1.03</v>
      </c>
      <c r="P30" s="3479">
        <f>典型户型修正!R33</f>
        <v>3.81</v>
      </c>
    </row>
    <row r="31" spans="5:16">
      <c r="J31" s="3479">
        <v>10</v>
      </c>
      <c r="K31" s="3479" t="s">
        <v>3570</v>
      </c>
      <c r="L31" s="3479">
        <v>1195.55</v>
      </c>
      <c r="M31" s="3479">
        <v>1</v>
      </c>
      <c r="N31" s="3479" t="s">
        <v>3485</v>
      </c>
      <c r="O31" s="3479">
        <v>1.03</v>
      </c>
      <c r="P31" s="3479">
        <f>典型户型修正!R34</f>
        <v>3.81</v>
      </c>
    </row>
    <row r="32" spans="5:16">
      <c r="J32" s="3479">
        <v>11</v>
      </c>
      <c r="K32" s="3479" t="s">
        <v>3571</v>
      </c>
      <c r="L32" s="3479">
        <v>796.35</v>
      </c>
      <c r="M32" s="3479">
        <v>1.01</v>
      </c>
      <c r="N32" s="3479" t="s">
        <v>3485</v>
      </c>
      <c r="O32" s="3479">
        <v>1.03</v>
      </c>
      <c r="P32" s="3479">
        <f>典型户型修正!R35</f>
        <v>3.85</v>
      </c>
    </row>
    <row r="33" spans="10:16">
      <c r="J33" s="3479">
        <v>12</v>
      </c>
      <c r="K33" s="3479" t="s">
        <v>3429</v>
      </c>
      <c r="L33" s="3479">
        <v>796.35</v>
      </c>
      <c r="M33" s="3479">
        <v>1.01</v>
      </c>
      <c r="N33" s="3479" t="s">
        <v>3485</v>
      </c>
      <c r="O33" s="3479">
        <v>1.03</v>
      </c>
      <c r="P33" s="3479">
        <f>典型户型修正!R36</f>
        <v>3.85</v>
      </c>
    </row>
    <row r="34" spans="10:16">
      <c r="J34" s="3825" t="s">
        <v>3567</v>
      </c>
      <c r="K34" s="3826"/>
      <c r="L34" s="3479">
        <v>15080.550000000001</v>
      </c>
      <c r="M34" s="3479" t="s">
        <v>43</v>
      </c>
      <c r="N34" s="3479" t="s">
        <v>3573</v>
      </c>
      <c r="O34" s="3479" t="s">
        <v>3573</v>
      </c>
      <c r="P34" s="3479">
        <f>典型户型修正!R22</f>
        <v>3.72</v>
      </c>
    </row>
  </sheetData>
  <mergeCells count="1">
    <mergeCell ref="J34:K34"/>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
      <c r="A3" s="3496"/>
      <c r="B3" s="3496"/>
      <c r="C3" s="3496"/>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75">
      <c r="A6" s="3497" t="str">
        <f>结果表!A120</f>
        <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3" t="s">
        <v>949</v>
      </c>
      <c r="B1" s="3503"/>
      <c r="C1" s="3503"/>
      <c r="D1" s="3503"/>
    </row>
    <row r="2" spans="1:4" ht="18">
      <c r="A2" s="3504" t="s">
        <v>933</v>
      </c>
      <c r="B2" s="3504"/>
      <c r="C2" s="3504"/>
      <c r="D2" s="3504"/>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04" t="s">
        <v>939</v>
      </c>
      <c r="B6" s="3504"/>
      <c r="C6" s="3504"/>
      <c r="D6" s="3504"/>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7" t="s">
        <v>956</v>
      </c>
      <c r="B15" s="3512" t="s">
        <v>109</v>
      </c>
      <c r="C15" s="3513"/>
    </row>
    <row r="16" spans="1:7" ht="13.5">
      <c r="A16" s="3518"/>
      <c r="B16" s="3512" t="s">
        <v>42</v>
      </c>
      <c r="C16" s="3513"/>
    </row>
    <row r="17" spans="1:3" ht="13.5">
      <c r="A17" s="3518"/>
      <c r="B17" s="3515" t="s">
        <v>957</v>
      </c>
      <c r="C17" s="1530" t="s">
        <v>956</v>
      </c>
    </row>
    <row r="18" spans="1:3" ht="13.5">
      <c r="A18" s="3518"/>
      <c r="B18" s="3515"/>
      <c r="C18" s="1530" t="s">
        <v>958</v>
      </c>
    </row>
    <row r="19" spans="1:3" ht="13.5">
      <c r="A19" s="3518"/>
      <c r="B19" s="3515"/>
      <c r="C19" s="1530" t="s">
        <v>959</v>
      </c>
    </row>
    <row r="20" spans="1:3" ht="13.5">
      <c r="A20" s="3519"/>
      <c r="B20" s="3514" t="s">
        <v>960</v>
      </c>
      <c r="C20" s="3513"/>
    </row>
    <row r="21" spans="1:3" ht="13.5">
      <c r="A21" s="1531" t="s">
        <v>961</v>
      </c>
      <c r="B21" s="1532"/>
      <c r="C21" s="1533"/>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0" t="s">
        <v>967</v>
      </c>
    </row>
    <row r="26" spans="1:3" ht="13.5">
      <c r="A26" s="3516"/>
      <c r="B26" s="3515"/>
      <c r="C26" s="1530" t="s">
        <v>968</v>
      </c>
    </row>
    <row r="27" spans="1:3" ht="13.5">
      <c r="A27" s="3516"/>
      <c r="B27" s="3515"/>
      <c r="C27" s="1530" t="s">
        <v>969</v>
      </c>
    </row>
    <row r="28" spans="1:3" ht="13.5">
      <c r="A28" s="3516"/>
      <c r="B28" s="3515"/>
      <c r="C28" s="1530" t="s">
        <v>970</v>
      </c>
    </row>
    <row r="29" spans="1:3" ht="13.5">
      <c r="A29" s="3516"/>
      <c r="B29" s="3515"/>
      <c r="C29" s="1530" t="s">
        <v>971</v>
      </c>
    </row>
    <row r="30" spans="1:3" ht="13.5">
      <c r="A30" s="3516"/>
      <c r="B30" s="3515"/>
      <c r="C30" s="1530" t="s">
        <v>972</v>
      </c>
    </row>
    <row r="31" spans="1:3" ht="13.5">
      <c r="A31" s="3516"/>
      <c r="B31" s="3515"/>
      <c r="C31" s="1530" t="s">
        <v>973</v>
      </c>
    </row>
    <row r="32" spans="1:3" ht="13.5">
      <c r="A32" s="3516"/>
      <c r="B32" s="3515"/>
      <c r="C32" s="1530" t="s">
        <v>974</v>
      </c>
    </row>
    <row r="33" spans="1:3" ht="13.5">
      <c r="A33" s="3516"/>
      <c r="B33" s="351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1"/>
      <c r="E18" s="3522" t="s">
        <v>2161</v>
      </c>
      <c r="F18" s="3521"/>
      <c r="G18" s="352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清单及结果表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2023-10-27T06:33:55Z</dcterms:modified>
</cp:coreProperties>
</file>