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state="hidden" r:id="rId20"/>
    <sheet name="案例" sheetId="77" r:id="rId21"/>
    <sheet name="成本法 (元)" sheetId="69" r:id="rId22"/>
    <sheet name="假设开发法" sheetId="12" state="hidden" r:id="rId23"/>
    <sheet name="基准地价修正" sheetId="43" r:id="rId24"/>
    <sheet name="典型户型修正" sheetId="31" r:id="rId25"/>
    <sheet name="收益法" sheetId="15" state="hidden"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1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5" i="74" l="1"/>
  <c r="D125" i="77" l="1"/>
  <c r="C11" i="21"/>
  <c r="C37" i="21"/>
  <c r="F8" i="21"/>
  <c r="AA8" i="21"/>
  <c r="R47" i="21"/>
  <c r="F7" i="21"/>
  <c r="AA7" i="21"/>
  <c r="C63" i="21"/>
  <c r="F9" i="21"/>
  <c r="AA9" i="21"/>
  <c r="D66" i="21"/>
  <c r="F10" i="21"/>
  <c r="AA10" i="21"/>
  <c r="F33" i="21"/>
  <c r="AA33" i="21" s="1"/>
  <c r="D69" i="21"/>
  <c r="E69" i="21" s="1"/>
  <c r="F69" i="21" s="1"/>
  <c r="G69" i="21" s="1"/>
  <c r="D113" i="21"/>
  <c r="E113" i="21" s="1"/>
  <c r="F113" i="21" s="1"/>
  <c r="F15" i="21"/>
  <c r="AA15" i="21"/>
  <c r="F17" i="21"/>
  <c r="AA17" i="21"/>
  <c r="F19" i="21"/>
  <c r="AA19" i="21"/>
  <c r="F21" i="21"/>
  <c r="AA21" i="21"/>
  <c r="D85" i="21"/>
  <c r="F23" i="21"/>
  <c r="AA23" i="21" s="1"/>
  <c r="F32" i="21"/>
  <c r="AA32" i="21"/>
  <c r="F34" i="21"/>
  <c r="AA34" i="21"/>
  <c r="F35" i="21"/>
  <c r="AA35" i="21"/>
  <c r="F36" i="21"/>
  <c r="AA36" i="21"/>
  <c r="F38" i="21"/>
  <c r="AA38" i="21"/>
  <c r="F39" i="21"/>
  <c r="AA39" i="21"/>
  <c r="F40" i="21"/>
  <c r="AA40" i="21"/>
  <c r="D123" i="21"/>
  <c r="E123" i="21" s="1"/>
  <c r="F123" i="21" s="1"/>
  <c r="D125" i="21"/>
  <c r="F43" i="21"/>
  <c r="AA43" i="21" s="1"/>
  <c r="F87" i="21"/>
  <c r="K87" i="21"/>
  <c r="F25" i="21"/>
  <c r="AA25" i="21" s="1"/>
  <c r="B126" i="21"/>
  <c r="F44" i="21"/>
  <c r="AA44" i="21"/>
  <c r="B90" i="21"/>
  <c r="F27" i="21"/>
  <c r="AA27" i="21" s="1"/>
  <c r="F26" i="21"/>
  <c r="AA26" i="21" s="1"/>
  <c r="B92" i="21"/>
  <c r="F28" i="21"/>
  <c r="AA28" i="21"/>
  <c r="B94" i="21"/>
  <c r="F29" i="21"/>
  <c r="AA29" i="21"/>
  <c r="B96" i="21"/>
  <c r="F30" i="21"/>
  <c r="AA30" i="21"/>
  <c r="B98" i="21"/>
  <c r="F31" i="21"/>
  <c r="AA31" i="21"/>
  <c r="F41" i="21"/>
  <c r="AA41" i="21"/>
  <c r="B128" i="21"/>
  <c r="F45" i="21"/>
  <c r="AA45" i="21"/>
  <c r="B130" i="21"/>
  <c r="F46" i="21"/>
  <c r="AA46" i="21"/>
  <c r="B70" i="21"/>
  <c r="F12" i="21"/>
  <c r="AA12" i="21"/>
  <c r="B72" i="21"/>
  <c r="F13" i="21"/>
  <c r="AA13" i="21"/>
  <c r="B74" i="21"/>
  <c r="F14" i="21"/>
  <c r="AA14" i="21"/>
  <c r="H7" i="21"/>
  <c r="AB7" i="21"/>
  <c r="T47" i="21"/>
  <c r="H9" i="21"/>
  <c r="AB9" i="21"/>
  <c r="H10" i="21"/>
  <c r="AB10" i="21"/>
  <c r="H33" i="21"/>
  <c r="AB33" i="21" s="1"/>
  <c r="H15" i="21"/>
  <c r="AB15" i="21"/>
  <c r="H17" i="21"/>
  <c r="AB17" i="21"/>
  <c r="H19" i="21"/>
  <c r="AB19" i="21"/>
  <c r="H21" i="21"/>
  <c r="AB21" i="21"/>
  <c r="H23" i="21"/>
  <c r="AB23" i="21" s="1"/>
  <c r="H32" i="21"/>
  <c r="AB32" i="21"/>
  <c r="H34" i="21"/>
  <c r="AB34" i="21"/>
  <c r="H35" i="21"/>
  <c r="AB35" i="21"/>
  <c r="H36" i="21"/>
  <c r="AB36" i="21"/>
  <c r="H38" i="21"/>
  <c r="AB38" i="21"/>
  <c r="H39" i="21"/>
  <c r="AB39" i="21"/>
  <c r="H40" i="21"/>
  <c r="AB40" i="21"/>
  <c r="H43" i="21"/>
  <c r="AB43" i="21" s="1"/>
  <c r="J87" i="21"/>
  <c r="H25" i="21"/>
  <c r="AB25" i="21" s="1"/>
  <c r="H44" i="21"/>
  <c r="AB44" i="21"/>
  <c r="H27" i="21"/>
  <c r="AB27" i="21"/>
  <c r="H26" i="21"/>
  <c r="AB26" i="21"/>
  <c r="H28" i="21"/>
  <c r="AB28" i="21"/>
  <c r="H29" i="21"/>
  <c r="AB29" i="21"/>
  <c r="H30" i="21"/>
  <c r="AB30" i="21"/>
  <c r="H31" i="21"/>
  <c r="AB31" i="21"/>
  <c r="H41" i="21"/>
  <c r="AB41" i="21"/>
  <c r="H45" i="21"/>
  <c r="AB45" i="21"/>
  <c r="H46" i="21"/>
  <c r="AB46" i="21"/>
  <c r="H12" i="21"/>
  <c r="AB12" i="21"/>
  <c r="H13" i="21"/>
  <c r="AB13" i="21"/>
  <c r="H14" i="21"/>
  <c r="AB14" i="21"/>
  <c r="V47" i="21"/>
  <c r="J7" i="21"/>
  <c r="AC7" i="21"/>
  <c r="J9" i="21"/>
  <c r="AC9" i="21"/>
  <c r="J10" i="21"/>
  <c r="AC10" i="21"/>
  <c r="J33" i="21"/>
  <c r="AC33" i="21" s="1"/>
  <c r="J15" i="21"/>
  <c r="AC15" i="21"/>
  <c r="J17" i="21"/>
  <c r="AC17" i="21"/>
  <c r="J19" i="21"/>
  <c r="AC19" i="21"/>
  <c r="J21" i="21"/>
  <c r="AC21" i="21"/>
  <c r="J23" i="21"/>
  <c r="AC23" i="21" s="1"/>
  <c r="J32" i="21"/>
  <c r="AC32" i="21"/>
  <c r="J34" i="21"/>
  <c r="AC34" i="21"/>
  <c r="J35" i="21"/>
  <c r="AC35" i="21"/>
  <c r="J36" i="21"/>
  <c r="AC36" i="21"/>
  <c r="J38" i="21"/>
  <c r="AC38" i="21"/>
  <c r="J39" i="21"/>
  <c r="AC39" i="21"/>
  <c r="J40" i="21"/>
  <c r="AC40" i="21"/>
  <c r="J43" i="21"/>
  <c r="AC43" i="21" s="1"/>
  <c r="J25" i="21"/>
  <c r="AC25" i="21" s="1"/>
  <c r="J44" i="21"/>
  <c r="AC44" i="21"/>
  <c r="J27" i="21"/>
  <c r="AC27" i="21" s="1"/>
  <c r="J26" i="21"/>
  <c r="AC26" i="21" s="1"/>
  <c r="J28" i="21"/>
  <c r="AC28" i="21"/>
  <c r="J29" i="21"/>
  <c r="AC29" i="21"/>
  <c r="J30" i="21"/>
  <c r="AC30" i="21"/>
  <c r="J31" i="21"/>
  <c r="AC31" i="21"/>
  <c r="J41" i="21"/>
  <c r="AC41" i="21"/>
  <c r="J45" i="21"/>
  <c r="AC45" i="21"/>
  <c r="J46" i="21"/>
  <c r="AC46" i="21"/>
  <c r="J12" i="21"/>
  <c r="AC12" i="21"/>
  <c r="J13" i="21"/>
  <c r="AC13" i="21"/>
  <c r="J14" i="21"/>
  <c r="AC14" i="21"/>
  <c r="G3" i="43"/>
  <c r="E22" i="43"/>
  <c r="G22" i="43"/>
  <c r="F22" i="43"/>
  <c r="H22" i="43"/>
  <c r="D22" i="43"/>
  <c r="C21" i="43"/>
  <c r="N16" i="1"/>
  <c r="F50" i="69"/>
  <c r="C17" i="9"/>
  <c r="D14" i="9"/>
  <c r="D17" i="9"/>
  <c r="C18" i="9"/>
  <c r="D18" i="9"/>
  <c r="D29" i="43"/>
  <c r="F19" i="6"/>
  <c r="G2" i="43"/>
  <c r="I2" i="43"/>
  <c r="M2" i="43"/>
  <c r="C6" i="43"/>
  <c r="G17" i="43"/>
  <c r="H17" i="43"/>
  <c r="I17" i="43"/>
  <c r="J17" i="43"/>
  <c r="C17" i="43"/>
  <c r="C16" i="43"/>
  <c r="C15" i="43"/>
  <c r="D15" i="43"/>
  <c r="E15" i="43"/>
  <c r="F15" i="43"/>
  <c r="C12" i="43"/>
  <c r="C5" i="43"/>
  <c r="B2" i="1"/>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J20" i="43"/>
  <c r="F6" i="1"/>
  <c r="I20" i="43"/>
  <c r="K70" i="43"/>
  <c r="J70" i="43"/>
  <c r="D70" i="43"/>
  <c r="K71" i="43"/>
  <c r="J71" i="43"/>
  <c r="D71" i="43"/>
  <c r="K72" i="43"/>
  <c r="D72" i="43"/>
  <c r="K73" i="43"/>
  <c r="D73" i="43"/>
  <c r="K74" i="43"/>
  <c r="J74" i="43"/>
  <c r="D74" i="43"/>
  <c r="K75" i="43"/>
  <c r="J75" i="43"/>
  <c r="D75" i="43"/>
  <c r="K76" i="43"/>
  <c r="D76" i="43"/>
  <c r="K77" i="43"/>
  <c r="D77" i="43"/>
  <c r="K78" i="43"/>
  <c r="J78" i="43"/>
  <c r="D78" i="43"/>
  <c r="E70" i="43"/>
  <c r="B68" i="43"/>
  <c r="C24" i="43"/>
  <c r="F39" i="43"/>
  <c r="F38" i="43"/>
  <c r="F37" i="43"/>
  <c r="D5" i="43"/>
  <c r="F36" i="43"/>
  <c r="F35" i="43"/>
  <c r="F34" i="43"/>
  <c r="M47" i="67"/>
  <c r="J53" i="67"/>
  <c r="M47" i="15"/>
  <c r="J53" i="15"/>
  <c r="C18" i="43"/>
  <c r="AD5" i="3"/>
  <c r="AH5" i="3"/>
  <c r="AL5" i="3"/>
  <c r="AP5" i="3"/>
  <c r="I5" i="3"/>
  <c r="I4" i="6"/>
  <c r="C23" i="43"/>
  <c r="F33" i="43"/>
  <c r="H33" i="43"/>
  <c r="D1" i="43"/>
  <c r="C10" i="43"/>
  <c r="C11" i="43"/>
  <c r="E8" i="43"/>
  <c r="E9" i="43"/>
  <c r="E10" i="43"/>
  <c r="E11" i="43"/>
  <c r="C9" i="43"/>
  <c r="C7"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59" i="43"/>
  <c r="D60" i="43"/>
  <c r="D61" i="43"/>
  <c r="D62" i="43"/>
  <c r="D63" i="43"/>
  <c r="D64" i="43"/>
  <c r="D65" i="43"/>
  <c r="D66" i="43"/>
  <c r="D67"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AH5" i="71"/>
  <c r="AG5" i="71"/>
  <c r="AE5" i="71"/>
  <c r="AF5" i="71"/>
  <c r="AD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AC21" i="37"/>
  <c r="W21" i="37"/>
  <c r="AC21" i="34"/>
  <c r="W21" i="34"/>
  <c r="AC21" i="33"/>
  <c r="W21" i="33"/>
  <c r="U21" i="21"/>
  <c r="G83" i="21"/>
  <c r="C40" i="69"/>
  <c r="F38" i="68"/>
  <c r="E37" i="68"/>
  <c r="F36" i="68"/>
  <c r="F35" i="68"/>
  <c r="F21" i="68"/>
  <c r="C21" i="68"/>
  <c r="F20" i="68"/>
  <c r="E10" i="68"/>
  <c r="E9" i="68"/>
  <c r="F7" i="68"/>
  <c r="C7" i="68"/>
  <c r="W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M77" i="43"/>
  <c r="N77" i="43"/>
  <c r="J77" i="43"/>
  <c r="M76" i="43"/>
  <c r="N76" i="43"/>
  <c r="J76" i="43"/>
  <c r="M75" i="43"/>
  <c r="N75" i="43"/>
  <c r="M74" i="43"/>
  <c r="N74" i="43"/>
  <c r="M73" i="43"/>
  <c r="N73" i="43"/>
  <c r="J73" i="43"/>
  <c r="M72" i="43"/>
  <c r="N72" i="43"/>
  <c r="J72" i="43"/>
  <c r="M71" i="43"/>
  <c r="N71" i="43"/>
  <c r="M70" i="43"/>
  <c r="N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I87" i="21"/>
  <c r="H87" i="21"/>
  <c r="G87" i="21"/>
  <c r="E87" i="21"/>
  <c r="D87" i="21"/>
  <c r="X7" i="43"/>
  <c r="C26" i="31"/>
  <c r="E26" i="31"/>
  <c r="C27" i="31"/>
  <c r="E27" i="31"/>
  <c r="C28" i="31"/>
  <c r="E28" i="31"/>
  <c r="C29" i="31"/>
  <c r="E29" i="31"/>
  <c r="C30" i="31"/>
  <c r="E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s="1"/>
  <c r="B40" i="48"/>
  <c r="B3" i="72"/>
  <c r="N1" i="43"/>
  <c r="F35" i="4"/>
  <c r="J55" i="39"/>
  <c r="H34" i="43"/>
  <c r="H35" i="43"/>
  <c r="H36" i="43"/>
  <c r="H37" i="43"/>
  <c r="H38" i="43"/>
  <c r="H3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s="1"/>
  <c r="G125" i="21" s="1"/>
  <c r="D119" i="21"/>
  <c r="D117"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s="1"/>
  <c r="F89" i="21" s="1"/>
  <c r="G89" i="21" s="1"/>
  <c r="H89" i="21" s="1"/>
  <c r="I89" i="21" s="1"/>
  <c r="J89" i="21" s="1"/>
  <c r="K89" i="21" s="1"/>
  <c r="L89" i="21" s="1"/>
  <c r="M89" i="21" s="1"/>
  <c r="D67" i="21"/>
  <c r="E67" i="21"/>
  <c r="F67" i="21"/>
  <c r="G67" i="21"/>
  <c r="H67" i="21"/>
  <c r="I67" i="21"/>
  <c r="J67" i="21"/>
  <c r="K67" i="21"/>
  <c r="L67" i="21"/>
  <c r="M67" i="21"/>
  <c r="C67" i="21"/>
  <c r="E66" i="21"/>
  <c r="F66" i="21"/>
  <c r="G66" i="21"/>
  <c r="H66" i="21"/>
  <c r="I66" i="21"/>
  <c r="D111" i="21"/>
  <c r="E111" i="21"/>
  <c r="F111" i="21"/>
  <c r="C111" i="21"/>
  <c r="D79" i="21"/>
  <c r="E79" i="21"/>
  <c r="F79" i="21"/>
  <c r="G79" i="21"/>
  <c r="E81" i="21"/>
  <c r="F81" i="21"/>
  <c r="G81" i="21"/>
  <c r="D77" i="21"/>
  <c r="E77" i="21"/>
  <c r="W45" i="21"/>
  <c r="W27" i="21"/>
  <c r="S12" i="21"/>
  <c r="C19" i="21"/>
  <c r="C17" i="21"/>
  <c r="C23" i="21"/>
  <c r="Q9" i="21"/>
  <c r="Z9" i="21"/>
  <c r="Q10" i="21"/>
  <c r="Z10" i="21"/>
  <c r="Q11" i="21"/>
  <c r="Z11" i="21" s="1"/>
  <c r="Q12" i="21"/>
  <c r="Z12" i="21"/>
  <c r="Q13" i="21"/>
  <c r="Z13" i="21"/>
  <c r="Q14" i="21"/>
  <c r="Z14" i="21"/>
  <c r="Q15" i="21"/>
  <c r="Z15" i="21"/>
  <c r="Q17" i="21"/>
  <c r="Z17" i="21"/>
  <c r="Q19" i="21"/>
  <c r="Z19" i="21"/>
  <c r="Q23" i="21"/>
  <c r="Z23" i="21"/>
  <c r="Q25" i="21"/>
  <c r="Z25" i="21" s="1"/>
  <c r="Q26" i="21"/>
  <c r="Z26" i="21" s="1"/>
  <c r="Q27" i="21"/>
  <c r="Z27" i="21" s="1"/>
  <c r="Q28" i="21"/>
  <c r="Z28" i="21"/>
  <c r="Q29" i="21"/>
  <c r="Z29" i="21"/>
  <c r="Q30" i="21"/>
  <c r="Z30" i="21"/>
  <c r="Q31" i="21"/>
  <c r="Z31" i="21"/>
  <c r="Q32" i="21"/>
  <c r="Z32" i="21"/>
  <c r="Q33" i="21"/>
  <c r="Z33" i="21" s="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S43" i="21"/>
  <c r="U38" i="21"/>
  <c r="S38" i="21"/>
  <c r="S36" i="21"/>
  <c r="W40" i="21"/>
  <c r="J8" i="21"/>
  <c r="AC8" i="21"/>
  <c r="H8"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40" i="21"/>
  <c r="U34" i="21"/>
  <c r="S34" i="21"/>
  <c r="C25" i="39"/>
  <c r="C27" i="39"/>
  <c r="C21" i="39"/>
  <c r="H1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AB8" i="21"/>
  <c r="S8" i="21"/>
  <c r="M3" i="43"/>
  <c r="N10" i="43"/>
  <c r="M1" i="43"/>
  <c r="M8" i="43"/>
  <c r="N8" i="43"/>
  <c r="N9" i="43"/>
  <c r="D120"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G109" i="43"/>
  <c r="N109" i="43"/>
  <c r="F100" i="43"/>
  <c r="D9" i="53"/>
  <c r="B25" i="72"/>
  <c r="B24" i="72"/>
  <c r="G6" i="1"/>
  <c r="H85" i="43"/>
  <c r="H81" i="43"/>
  <c r="H84" i="43"/>
  <c r="H88" i="43"/>
  <c r="H53" i="43"/>
  <c r="H54" i="43"/>
  <c r="H78" i="43"/>
  <c r="H70" i="43"/>
  <c r="H71" i="43"/>
  <c r="M7" i="43"/>
  <c r="N6"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U15" i="21"/>
  <c r="W39" i="21"/>
  <c r="W30" i="21"/>
  <c r="S46" i="21"/>
  <c r="U45" i="21"/>
  <c r="S29" i="21"/>
  <c r="U17" i="21"/>
  <c r="W29" i="21"/>
  <c r="S19" i="21"/>
  <c r="S9" i="21"/>
  <c r="K141" i="21"/>
  <c r="K144" i="21"/>
  <c r="K143" i="21"/>
  <c r="U27" i="21"/>
  <c r="W13" i="21"/>
  <c r="K145" i="21"/>
  <c r="W17" i="21"/>
  <c r="W25" i="21"/>
  <c r="W31" i="21"/>
  <c r="S27" i="21"/>
  <c r="S17" i="21"/>
  <c r="S28" i="21"/>
  <c r="W10" i="21"/>
  <c r="W12" i="21"/>
  <c r="W30" i="40"/>
  <c r="C19" i="39"/>
  <c r="C15" i="40"/>
  <c r="C17" i="40"/>
  <c r="C23" i="40"/>
  <c r="C21" i="40"/>
  <c r="U30" i="40"/>
  <c r="B54" i="43"/>
  <c r="B65" i="43"/>
  <c r="B49" i="43"/>
  <c r="B52" i="43"/>
  <c r="B56" i="43"/>
  <c r="B60" i="43"/>
  <c r="B63" i="43"/>
  <c r="B67" i="43"/>
  <c r="B22" i="49"/>
  <c r="B7" i="49"/>
  <c r="B14" i="49"/>
  <c r="E22" i="49"/>
  <c r="D23" i="15"/>
  <c r="D22" i="15"/>
  <c r="B5" i="49"/>
  <c r="E4" i="4"/>
  <c r="B9" i="49"/>
  <c r="E16" i="49"/>
  <c r="E8" i="49"/>
  <c r="E10" i="49"/>
  <c r="E5" i="49"/>
  <c r="B4" i="49"/>
  <c r="C4" i="4"/>
  <c r="B8" i="49"/>
  <c r="E11" i="49"/>
  <c r="AQ13" i="1"/>
  <c r="M6" i="1"/>
  <c r="O6" i="1"/>
  <c r="P6" i="1"/>
  <c r="F30" i="68"/>
  <c r="C30" i="68"/>
  <c r="F30" i="11"/>
  <c r="C48" i="11"/>
  <c r="F28" i="67"/>
  <c r="C28" i="67"/>
  <c r="F31" i="12"/>
  <c r="F52" i="9"/>
  <c r="C31" i="12"/>
  <c r="M18" i="67"/>
  <c r="F32" i="67"/>
  <c r="F60" i="67"/>
  <c r="F30" i="69"/>
  <c r="C48" i="69"/>
  <c r="F32" i="15"/>
  <c r="F60" i="15"/>
  <c r="M18" i="15"/>
  <c r="F28" i="15"/>
  <c r="E63" i="39"/>
  <c r="T11" i="1"/>
  <c r="D19" i="12"/>
  <c r="C19" i="12"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F85" i="21"/>
  <c r="G85"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AP7" i="1"/>
  <c r="M7" i="1"/>
  <c r="O7" i="1"/>
  <c r="Q16" i="1"/>
  <c r="H16" i="1"/>
  <c r="K16" i="1"/>
  <c r="W33" i="21"/>
  <c r="S33" i="21"/>
  <c r="W32" i="21"/>
  <c r="U9" i="21"/>
  <c r="S32" i="21"/>
  <c r="W9" i="21"/>
  <c r="U32" i="21"/>
  <c r="S10" i="21"/>
  <c r="F31" i="15"/>
  <c r="M17" i="15"/>
  <c r="F59" i="67"/>
  <c r="F59" i="15"/>
  <c r="F31" i="67"/>
  <c r="M17" i="67"/>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T6" i="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P7" i="1"/>
  <c r="O16" i="1"/>
  <c r="F1" i="15"/>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I19" i="6"/>
  <c r="M27" i="6"/>
  <c r="H10" i="39"/>
  <c r="J10" i="39"/>
  <c r="M16" i="1"/>
  <c r="F27" i="11"/>
  <c r="F1" i="67"/>
  <c r="Q52" i="67"/>
  <c r="AA7" i="36"/>
  <c r="R36" i="36"/>
  <c r="E36" i="36"/>
  <c r="E40" i="36"/>
  <c r="F40" i="36"/>
  <c r="AC11" i="37"/>
  <c r="W11" i="37"/>
  <c r="AB7" i="37"/>
  <c r="T42" i="37"/>
  <c r="G42" i="37"/>
  <c r="G46" i="37"/>
  <c r="H46" i="37"/>
  <c r="W11" i="34"/>
  <c r="AC11" i="34"/>
  <c r="H20" i="6"/>
  <c r="B2" i="74"/>
  <c r="AB7" i="36"/>
  <c r="T36" i="36"/>
  <c r="E6" i="3"/>
  <c r="AA10" i="39"/>
  <c r="D10" i="68"/>
  <c r="C10" i="68" s="1"/>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5" i="12" s="1"/>
  <c r="F34" i="11"/>
  <c r="C37" i="11"/>
  <c r="F11" i="12"/>
  <c r="C14" i="12" s="1"/>
  <c r="F34" i="68"/>
  <c r="C36" i="68" s="1"/>
  <c r="AC10" i="40"/>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8"/>
  <c r="C47" i="11"/>
  <c r="D45" i="11"/>
  <c r="C29" i="11"/>
  <c r="D27" i="11"/>
  <c r="C28" i="11"/>
  <c r="C27" i="11" s="1"/>
  <c r="L16" i="1"/>
  <c r="C34" i="11"/>
  <c r="C36" i="11"/>
  <c r="G36" i="36"/>
  <c r="R37" i="36"/>
  <c r="AB7" i="34"/>
  <c r="T49" i="34"/>
  <c r="G49" i="34"/>
  <c r="G53" i="34"/>
  <c r="H53" i="34"/>
  <c r="W7" i="21"/>
  <c r="R26" i="6"/>
  <c r="R23" i="6"/>
  <c r="R24" i="6"/>
  <c r="R21" i="6"/>
  <c r="R8" i="1"/>
  <c r="R22" i="6"/>
  <c r="D30" i="6"/>
  <c r="D16" i="6"/>
  <c r="A7" i="51"/>
  <c r="B7" i="72"/>
  <c r="C4" i="52"/>
  <c r="B45" i="72"/>
  <c r="A10" i="51"/>
  <c r="B9" i="72"/>
  <c r="D27" i="6"/>
  <c r="U7" i="21"/>
  <c r="I40" i="36"/>
  <c r="J40" i="36"/>
  <c r="R43" i="37"/>
  <c r="E42" i="37"/>
  <c r="I47" i="37"/>
  <c r="J47" i="37"/>
  <c r="G43" i="35"/>
  <c r="H43" i="35"/>
  <c r="I42" i="35"/>
  <c r="J42" i="35"/>
  <c r="R39" i="35"/>
  <c r="E38" i="35"/>
  <c r="I43" i="35"/>
  <c r="J43" i="35"/>
  <c r="G47" i="37"/>
  <c r="H47" i="37"/>
  <c r="I46" i="37"/>
  <c r="J46" i="37"/>
  <c r="G63" i="40"/>
  <c r="F65" i="40"/>
  <c r="R50" i="34"/>
  <c r="E49" i="34"/>
  <c r="G70" i="39"/>
  <c r="H27" i="6"/>
  <c r="R19" i="6"/>
  <c r="C35" i="11"/>
  <c r="C38" i="11"/>
  <c r="D31" i="6"/>
  <c r="I6" i="6"/>
  <c r="G54" i="34"/>
  <c r="H54" i="34"/>
  <c r="C37" i="36"/>
  <c r="C36" i="36"/>
  <c r="G40" i="36"/>
  <c r="H40" i="36"/>
  <c r="E41" i="36"/>
  <c r="F41" i="36"/>
  <c r="G41" i="36"/>
  <c r="H41" i="36"/>
  <c r="R27" i="6"/>
  <c r="R6" i="1"/>
  <c r="E47" i="37"/>
  <c r="F47" i="37"/>
  <c r="E46" i="37"/>
  <c r="F46" i="37"/>
  <c r="C43" i="37"/>
  <c r="C42" i="37"/>
  <c r="C39" i="35"/>
  <c r="C38" i="35"/>
  <c r="E43" i="35"/>
  <c r="F43" i="35"/>
  <c r="E42" i="35"/>
  <c r="F42" i="35"/>
  <c r="E54" i="34"/>
  <c r="F54" i="34"/>
  <c r="I54" i="34"/>
  <c r="J54" i="34"/>
  <c r="E53" i="34"/>
  <c r="F53" i="34"/>
  <c r="C49" i="34"/>
  <c r="C50" i="34"/>
  <c r="H63" i="40"/>
  <c r="G65" i="40"/>
  <c r="H70" i="39"/>
  <c r="C33" i="11"/>
  <c r="I5" i="6"/>
  <c r="I63" i="40"/>
  <c r="H65" i="40"/>
  <c r="C39" i="11"/>
  <c r="I70" i="39"/>
  <c r="J63" i="40"/>
  <c r="I65" i="40"/>
  <c r="C46" i="11"/>
  <c r="C45" i="11"/>
  <c r="J70" i="39"/>
  <c r="K63" i="40"/>
  <c r="J65" i="40"/>
  <c r="K70" i="39"/>
  <c r="L63" i="40"/>
  <c r="K65" i="40"/>
  <c r="L70" i="39"/>
  <c r="E2" i="70"/>
  <c r="M63" i="40"/>
  <c r="L65" i="40"/>
  <c r="M70" i="39"/>
  <c r="N63" i="40"/>
  <c r="M65" i="40"/>
  <c r="O70" i="39"/>
  <c r="N70" i="39"/>
  <c r="O63" i="40"/>
  <c r="O65" i="40"/>
  <c r="N65" i="40"/>
  <c r="C19" i="69"/>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E6"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AO13" i="1"/>
  <c r="M24" i="15"/>
  <c r="J15" i="15"/>
  <c r="M27" i="15"/>
  <c r="F16" i="15"/>
  <c r="B13" i="76"/>
  <c r="M24" i="67"/>
  <c r="D2" i="33"/>
  <c r="F13" i="15"/>
  <c r="D2" i="35"/>
  <c r="AO10" i="1"/>
  <c r="F40" i="15"/>
  <c r="D2" i="21"/>
  <c r="M22" i="15"/>
  <c r="E11" i="76"/>
  <c r="L48" i="67"/>
  <c r="C14" i="15"/>
  <c r="B11" i="76"/>
  <c r="F35" i="15"/>
  <c r="D2" i="34"/>
  <c r="F13" i="67"/>
  <c r="F3" i="73"/>
  <c r="F43" i="67"/>
  <c r="L47" i="67"/>
  <c r="AO11" i="1"/>
  <c r="F36" i="15"/>
  <c r="E7" i="76"/>
  <c r="F43" i="15"/>
  <c r="D34" i="9"/>
  <c r="M6" i="67"/>
  <c r="F27" i="69"/>
  <c r="D10" i="69"/>
  <c r="AO12" i="1"/>
  <c r="M8" i="15"/>
  <c r="F38" i="67"/>
  <c r="F26" i="15"/>
  <c r="E2" i="68"/>
  <c r="F20" i="31"/>
  <c r="F4" i="73"/>
  <c r="D3" i="73"/>
  <c r="M9" i="67"/>
  <c r="F6" i="15"/>
  <c r="M28" i="15"/>
  <c r="AO8" i="1"/>
  <c r="B7" i="76"/>
  <c r="M26" i="67"/>
  <c r="M29" i="15"/>
  <c r="B12" i="76"/>
  <c r="B8" i="76"/>
  <c r="F38" i="15"/>
  <c r="F36" i="67"/>
  <c r="M21" i="67"/>
  <c r="M23" i="67"/>
  <c r="D2" i="36"/>
  <c r="C34" i="69"/>
  <c r="E13" i="76"/>
  <c r="F37" i="67"/>
  <c r="M27" i="67"/>
  <c r="D7" i="73"/>
  <c r="D6" i="73"/>
  <c r="L48" i="15"/>
  <c r="M8" i="67"/>
  <c r="F9" i="67"/>
  <c r="AO6" i="1"/>
  <c r="D5" i="73"/>
  <c r="D9" i="69"/>
  <c r="F42" i="15"/>
  <c r="C76" i="67"/>
  <c r="F35" i="67"/>
  <c r="C76" i="15"/>
  <c r="D2" i="37"/>
  <c r="F7" i="73"/>
  <c r="M22" i="67"/>
  <c r="F26" i="67"/>
  <c r="F41" i="15"/>
  <c r="G1" i="73"/>
  <c r="L47" i="15"/>
  <c r="F8" i="15"/>
  <c r="C36" i="69"/>
  <c r="E12" i="76"/>
  <c r="B9" i="76"/>
  <c r="F9" i="15"/>
  <c r="M6" i="15"/>
  <c r="M21" i="15"/>
  <c r="E8" i="76"/>
  <c r="E9" i="76"/>
  <c r="F6" i="67"/>
  <c r="M29" i="67"/>
  <c r="M26" i="15"/>
  <c r="F7" i="67"/>
  <c r="F42" i="67"/>
  <c r="D4" i="73"/>
  <c r="AO9" i="1"/>
  <c r="M9" i="15"/>
  <c r="J15" i="67"/>
  <c r="F41" i="67"/>
  <c r="F5" i="73"/>
  <c r="F8" i="67"/>
  <c r="E10" i="76"/>
  <c r="M23" i="15"/>
  <c r="F37" i="15"/>
  <c r="E2" i="69"/>
  <c r="B10" i="76"/>
  <c r="F16" i="67"/>
  <c r="F40" i="67"/>
  <c r="F6" i="73"/>
  <c r="F7" i="15"/>
  <c r="M28" i="67"/>
  <c r="D35" i="9"/>
  <c r="AO7" i="1"/>
  <c r="C12" i="12" l="1"/>
  <c r="E4" i="49"/>
  <c r="B6" i="49"/>
  <c r="E9" i="49"/>
  <c r="E21" i="49"/>
  <c r="B11" i="49"/>
  <c r="B13" i="49"/>
  <c r="E6" i="49"/>
  <c r="E7" i="49"/>
  <c r="B16" i="49"/>
  <c r="B10" i="49"/>
  <c r="C47" i="68"/>
  <c r="D45" i="68" s="1"/>
  <c r="G113" i="21"/>
  <c r="H37" i="21"/>
  <c r="J37" i="21"/>
  <c r="J42" i="21"/>
  <c r="F42" i="21"/>
  <c r="H42" i="21"/>
  <c r="G123" i="21"/>
  <c r="H123" i="21" s="1"/>
  <c r="I123" i="21" s="1"/>
  <c r="J123" i="21" s="1"/>
  <c r="K123" i="21" s="1"/>
  <c r="L123" i="21" s="1"/>
  <c r="M123" i="21" s="1"/>
  <c r="C34" i="68"/>
  <c r="C35" i="68" s="1"/>
  <c r="C23" i="12"/>
  <c r="D19" i="68"/>
  <c r="C16" i="12"/>
  <c r="F11" i="21"/>
  <c r="H11" i="21"/>
  <c r="J11" i="21"/>
  <c r="H69" i="21"/>
  <c r="I69" i="21" s="1"/>
  <c r="J69" i="21" s="1"/>
  <c r="K69" i="21" s="1"/>
  <c r="L69" i="21" s="1"/>
  <c r="M69" i="21" s="1"/>
  <c r="R16" i="1"/>
  <c r="B2" i="35"/>
  <c r="B3" i="35" s="1"/>
  <c r="B2" i="33"/>
  <c r="B3" i="33" s="1"/>
  <c r="B2" i="36"/>
  <c r="B3" i="36" s="1"/>
  <c r="B7" i="70"/>
  <c r="B6" i="70"/>
  <c r="F69" i="67"/>
  <c r="F69" i="15"/>
  <c r="C15" i="15"/>
  <c r="C18" i="15"/>
  <c r="B2" i="34"/>
  <c r="B3" i="34" s="1"/>
  <c r="B2" i="37"/>
  <c r="B3" i="37" s="1"/>
  <c r="B8" i="70"/>
  <c r="J20" i="15"/>
  <c r="F63" i="67"/>
  <c r="C62" i="67" s="1"/>
  <c r="C34" i="67"/>
  <c r="C27" i="15"/>
  <c r="F51" i="15"/>
  <c r="F64" i="15"/>
  <c r="J57" i="67"/>
  <c r="J55" i="67" s="1"/>
  <c r="J58" i="67" s="1"/>
  <c r="Q50" i="67" s="1"/>
  <c r="I54" i="67"/>
  <c r="L56" i="67"/>
  <c r="C27" i="67"/>
  <c r="F63" i="15"/>
  <c r="C62" i="15" s="1"/>
  <c r="C34" i="15"/>
  <c r="J20" i="67"/>
  <c r="F70" i="67"/>
  <c r="F71" i="15"/>
  <c r="F68" i="67"/>
  <c r="F66" i="67"/>
  <c r="L58" i="67"/>
  <c r="L59" i="67"/>
  <c r="N59" i="67"/>
  <c r="M59" i="67"/>
  <c r="F68" i="15"/>
  <c r="M59" i="15"/>
  <c r="N59" i="15"/>
  <c r="L58" i="15"/>
  <c r="L59" i="15"/>
  <c r="F65" i="15"/>
  <c r="C6" i="15"/>
  <c r="Q71" i="67"/>
  <c r="F64" i="67"/>
  <c r="F65" i="67"/>
  <c r="L56" i="15"/>
  <c r="I54" i="15"/>
  <c r="J57" i="15"/>
  <c r="J55" i="15" s="1"/>
  <c r="J58" i="15" s="1"/>
  <c r="Q50" i="15" s="1"/>
  <c r="Q71" i="15"/>
  <c r="F71" i="67"/>
  <c r="M7" i="67"/>
  <c r="J6" i="67" s="1"/>
  <c r="F50" i="67"/>
  <c r="F66" i="15"/>
  <c r="F51" i="67"/>
  <c r="C49" i="67" s="1"/>
  <c r="C6" i="67"/>
  <c r="M7" i="15"/>
  <c r="J6" i="15" s="1"/>
  <c r="F50" i="15"/>
  <c r="B12" i="70"/>
  <c r="B13" i="70"/>
  <c r="B9" i="70"/>
  <c r="B40" i="1"/>
  <c r="C10" i="69"/>
  <c r="C9" i="69"/>
  <c r="B29" i="1" s="1"/>
  <c r="C8" i="68" s="1"/>
  <c r="C5" i="68" s="1"/>
  <c r="D19" i="69"/>
  <c r="D37" i="69" s="1"/>
  <c r="C37" i="69" s="1"/>
  <c r="B10" i="70"/>
  <c r="B11" i="70"/>
  <c r="I1" i="73"/>
  <c r="B39" i="1" s="1"/>
  <c r="C38" i="69"/>
  <c r="C35" i="69"/>
  <c r="C47" i="69"/>
  <c r="D45" i="69" s="1"/>
  <c r="C29" i="69"/>
  <c r="D27" i="69" s="1"/>
  <c r="E20" i="43"/>
  <c r="C16" i="15"/>
  <c r="C16" i="67"/>
  <c r="C17" i="67"/>
  <c r="C14" i="67"/>
  <c r="C17" i="15"/>
  <c r="C18" i="12" l="1"/>
  <c r="C21" i="12" s="1"/>
  <c r="C22" i="12" s="1"/>
  <c r="C30" i="12" s="1"/>
  <c r="C28" i="12" s="1"/>
  <c r="AB37" i="21"/>
  <c r="U37" i="21"/>
  <c r="AC37" i="21"/>
  <c r="W37" i="21"/>
  <c r="F37" i="21"/>
  <c r="H113" i="21"/>
  <c r="AA42" i="21"/>
  <c r="S42" i="21"/>
  <c r="AB42" i="21"/>
  <c r="U42" i="21"/>
  <c r="W42" i="21"/>
  <c r="AC42" i="21"/>
  <c r="C38" i="68"/>
  <c r="C33" i="69"/>
  <c r="C39" i="69" s="1"/>
  <c r="D37" i="68"/>
  <c r="C37" i="68" s="1"/>
  <c r="C33" i="68" s="1"/>
  <c r="C39" i="68" s="1"/>
  <c r="C46" i="68" s="1"/>
  <c r="C45" i="68" s="1"/>
  <c r="C19" i="68"/>
  <c r="C20" i="68" s="1"/>
  <c r="C28" i="68" s="1"/>
  <c r="C27" i="68" s="1"/>
  <c r="AB11" i="21"/>
  <c r="U11" i="21"/>
  <c r="AC11" i="21"/>
  <c r="W11" i="21"/>
  <c r="AA11" i="21"/>
  <c r="S11" i="21"/>
  <c r="C18" i="67"/>
  <c r="C15" i="67"/>
  <c r="C19" i="15"/>
  <c r="Q73" i="15"/>
  <c r="Q60" i="15"/>
  <c r="Q61" i="67"/>
  <c r="Q74" i="67"/>
  <c r="O17" i="43"/>
  <c r="G20" i="43" s="1"/>
  <c r="C20" i="43" s="1"/>
  <c r="N17" i="43"/>
  <c r="P17" i="43"/>
  <c r="M17" i="43"/>
  <c r="M11" i="15"/>
  <c r="J10" i="15" s="1"/>
  <c r="J5" i="15" s="1"/>
  <c r="F11" i="67"/>
  <c r="M11" i="67"/>
  <c r="J10" i="67" s="1"/>
  <c r="J5" i="67" s="1"/>
  <c r="F11" i="15"/>
  <c r="C8" i="69"/>
  <c r="F22" i="69"/>
  <c r="F24" i="15"/>
  <c r="C24" i="15" s="1"/>
  <c r="F22" i="11"/>
  <c r="F24" i="67"/>
  <c r="C24" i="67" s="1"/>
  <c r="F22" i="68"/>
  <c r="F25" i="12"/>
  <c r="Q74" i="15"/>
  <c r="Q61" i="15"/>
  <c r="Q73" i="67"/>
  <c r="Q60" i="67"/>
  <c r="C49" i="15"/>
  <c r="B2" i="70"/>
  <c r="B3" i="70" s="1"/>
  <c r="V48" i="21" l="1"/>
  <c r="I48" i="21" s="1"/>
  <c r="AA37" i="21"/>
  <c r="S37" i="21"/>
  <c r="R48" i="21"/>
  <c r="E48" i="21" s="1"/>
  <c r="T48" i="21"/>
  <c r="G48" i="21" s="1"/>
  <c r="G53" i="21" s="1"/>
  <c r="H53" i="21" s="1"/>
  <c r="C19" i="67"/>
  <c r="C20" i="67" s="1"/>
  <c r="I52" i="21"/>
  <c r="J52" i="21" s="1"/>
  <c r="G52" i="21"/>
  <c r="H52" i="21" s="1"/>
  <c r="J18" i="15"/>
  <c r="J24" i="15"/>
  <c r="J26" i="15"/>
  <c r="J29" i="15" s="1"/>
  <c r="J18" i="67"/>
  <c r="J24" i="67"/>
  <c r="J26" i="67"/>
  <c r="J29" i="67" s="1"/>
  <c r="C26" i="12"/>
  <c r="D25" i="12" s="1"/>
  <c r="C27" i="12"/>
  <c r="C25" i="12" s="1"/>
  <c r="C23" i="68"/>
  <c r="C24" i="68"/>
  <c r="C26" i="68"/>
  <c r="D22" i="68" s="1"/>
  <c r="C44" i="68"/>
  <c r="D41" i="68" s="1"/>
  <c r="C43" i="68"/>
  <c r="C25" i="68"/>
  <c r="C42" i="68"/>
  <c r="C26" i="11"/>
  <c r="D22" i="11" s="1"/>
  <c r="C24" i="11"/>
  <c r="C42" i="11"/>
  <c r="C25" i="11"/>
  <c r="C44" i="11"/>
  <c r="D41" i="11" s="1"/>
  <c r="C23" i="11"/>
  <c r="C22" i="11" s="1"/>
  <c r="C43" i="11"/>
  <c r="C44" i="69"/>
  <c r="D41" i="69" s="1"/>
  <c r="C24" i="69"/>
  <c r="C26" i="69"/>
  <c r="D22" i="69" s="1"/>
  <c r="C10" i="15"/>
  <c r="C5" i="15" s="1"/>
  <c r="C53" i="15"/>
  <c r="C48" i="15" s="1"/>
  <c r="C10" i="67"/>
  <c r="C5" i="67" s="1"/>
  <c r="C53" i="67"/>
  <c r="C48" i="67" s="1"/>
  <c r="C43" i="69"/>
  <c r="C20" i="15"/>
  <c r="C23" i="15" s="1"/>
  <c r="C29" i="43"/>
  <c r="C38" i="43"/>
  <c r="C35" i="43"/>
  <c r="C33" i="43"/>
  <c r="C39" i="43"/>
  <c r="C37" i="43"/>
  <c r="C36" i="43"/>
  <c r="C34"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42" i="69"/>
  <c r="C46" i="69"/>
  <c r="C45" i="69" s="1"/>
  <c r="R49" i="21" l="1"/>
  <c r="C49" i="21" s="1"/>
  <c r="C41" i="69"/>
  <c r="C49" i="69" s="1"/>
  <c r="C51" i="69" s="1"/>
  <c r="C31" i="11"/>
  <c r="C41" i="68"/>
  <c r="C49" i="68" s="1"/>
  <c r="C51" i="68" s="1"/>
  <c r="C22" i="68"/>
  <c r="C31" i="68" s="1"/>
  <c r="E53" i="21"/>
  <c r="F53" i="21" s="1"/>
  <c r="E52" i="21"/>
  <c r="F52" i="21" s="1"/>
  <c r="I53" i="21"/>
  <c r="J53" i="21" s="1"/>
  <c r="C48" i="21"/>
  <c r="C26" i="15"/>
  <c r="C29" i="15" s="1"/>
  <c r="C32" i="12"/>
  <c r="B2" i="12" s="1"/>
  <c r="B3" i="12" s="1"/>
  <c r="C66" i="15"/>
  <c r="C60" i="15"/>
  <c r="G36" i="43"/>
  <c r="I36" i="43" s="1"/>
  <c r="E36" i="43"/>
  <c r="G39" i="43"/>
  <c r="I39" i="43" s="1"/>
  <c r="E39" i="43"/>
  <c r="E35" i="43"/>
  <c r="G35" i="43"/>
  <c r="I35" i="43" s="1"/>
  <c r="C6" i="69"/>
  <c r="E29" i="43"/>
  <c r="C30" i="43"/>
  <c r="E30" i="43" s="1"/>
  <c r="C23" i="67"/>
  <c r="C60" i="67"/>
  <c r="C66" i="67"/>
  <c r="G34" i="43"/>
  <c r="I34" i="43" s="1"/>
  <c r="E34" i="43"/>
  <c r="G37" i="43"/>
  <c r="I37" i="43" s="1"/>
  <c r="E37" i="43"/>
  <c r="E33" i="43"/>
  <c r="G33" i="43"/>
  <c r="I33" i="43" s="1"/>
  <c r="G38" i="43"/>
  <c r="I38" i="43" s="1"/>
  <c r="E38" i="43"/>
  <c r="C26" i="67"/>
  <c r="C32" i="67"/>
  <c r="C38" i="67"/>
  <c r="C32" i="15"/>
  <c r="C38" i="15"/>
  <c r="C41" i="11"/>
  <c r="C49" i="11" s="1"/>
  <c r="C51" i="11" s="1"/>
  <c r="C52" i="68" l="1"/>
  <c r="B2" i="68" s="1"/>
  <c r="B3" i="68" s="1"/>
  <c r="B3" i="21"/>
  <c r="B2" i="21"/>
  <c r="C29" i="67"/>
  <c r="Q49" i="67" s="1"/>
  <c r="C57" i="67"/>
  <c r="C52" i="11"/>
  <c r="B2" i="11" s="1"/>
  <c r="B3" i="11" s="1"/>
  <c r="C26" i="43"/>
  <c r="C57" i="15"/>
  <c r="C33" i="15"/>
  <c r="C31" i="15" s="1"/>
  <c r="C13" i="15"/>
  <c r="C36" i="15"/>
  <c r="J19" i="15"/>
  <c r="J17" i="15" s="1"/>
  <c r="Q49" i="15"/>
  <c r="J14" i="15"/>
  <c r="J59" i="15"/>
  <c r="J60" i="15" s="1"/>
  <c r="C27" i="43"/>
  <c r="C7" i="69"/>
  <c r="C5" i="69" s="1"/>
  <c r="E6" i="76"/>
  <c r="C20" i="9"/>
  <c r="C19" i="9"/>
  <c r="C36" i="67" l="1"/>
  <c r="C57" i="68"/>
  <c r="C56" i="68" s="1"/>
  <c r="C13" i="67"/>
  <c r="Q70" i="67" s="1"/>
  <c r="J59" i="67"/>
  <c r="J60" i="67" s="1"/>
  <c r="Q48" i="67" s="1"/>
  <c r="C33" i="67"/>
  <c r="C31" i="67" s="1"/>
  <c r="J19" i="67"/>
  <c r="J17" i="67" s="1"/>
  <c r="J14" i="67"/>
  <c r="J13" i="67" s="1"/>
  <c r="J23" i="67" s="1"/>
  <c r="C21" i="9"/>
  <c r="C102" i="9"/>
  <c r="C103" i="9"/>
  <c r="E2" i="76"/>
  <c r="C23" i="69"/>
  <c r="C20" i="69"/>
  <c r="C25" i="69" s="1"/>
  <c r="Q48" i="15"/>
  <c r="L46" i="15"/>
  <c r="B2" i="43"/>
  <c r="J22" i="67"/>
  <c r="J22" i="15"/>
  <c r="J13" i="15"/>
  <c r="J23" i="15" s="1"/>
  <c r="C56" i="15"/>
  <c r="C65" i="15" s="1"/>
  <c r="C75" i="15"/>
  <c r="C37" i="15"/>
  <c r="C30" i="15" s="1"/>
  <c r="C39" i="15" s="1"/>
  <c r="Q70" i="15"/>
  <c r="C64" i="15"/>
  <c r="C61" i="15"/>
  <c r="C59" i="15" s="1"/>
  <c r="C56" i="11"/>
  <c r="C57" i="11" s="1"/>
  <c r="C61" i="67"/>
  <c r="C59" i="67" s="1"/>
  <c r="C64" i="67"/>
  <c r="C56" i="67"/>
  <c r="C65" i="67" s="1"/>
  <c r="B6" i="76"/>
  <c r="C75" i="67" l="1"/>
  <c r="C37" i="67"/>
  <c r="C30" i="67" s="1"/>
  <c r="C39" i="67" s="1"/>
  <c r="C40" i="67" s="1"/>
  <c r="L46" i="67"/>
  <c r="C28" i="69"/>
  <c r="C27" i="69" s="1"/>
  <c r="C22" i="69"/>
  <c r="C58" i="67"/>
  <c r="C67" i="67" s="1"/>
  <c r="C68" i="67" s="1"/>
  <c r="C71" i="67" s="1"/>
  <c r="C58" i="15"/>
  <c r="C67" i="15" s="1"/>
  <c r="C68" i="15" s="1"/>
  <c r="C71" i="15" s="1"/>
  <c r="J16" i="15"/>
  <c r="J25" i="15" s="1"/>
  <c r="J16" i="67"/>
  <c r="J25" i="67" s="1"/>
  <c r="B2" i="76"/>
  <c r="B3" i="76" s="1"/>
  <c r="C40" i="15"/>
  <c r="C46" i="15" s="1"/>
  <c r="Q69" i="15"/>
  <c r="Q68" i="15" s="1"/>
  <c r="C80" i="15"/>
  <c r="C79" i="15" s="1"/>
  <c r="B3" i="43"/>
  <c r="L51" i="67"/>
  <c r="L51" i="15"/>
  <c r="Q69" i="67" l="1"/>
  <c r="Q68" i="67" s="1"/>
  <c r="C80" i="67"/>
  <c r="C79" i="67" s="1"/>
  <c r="C45" i="67"/>
  <c r="C46" i="67" s="1"/>
  <c r="C31" i="69"/>
  <c r="C52" i="69" s="1"/>
  <c r="C57" i="69" s="1"/>
  <c r="C56" i="69" s="1"/>
  <c r="Q67" i="15"/>
  <c r="L57" i="15"/>
  <c r="L60" i="15" s="1"/>
  <c r="Q67" i="67"/>
  <c r="L57" i="67"/>
  <c r="L60" i="67" s="1"/>
  <c r="C43" i="15"/>
  <c r="Q65" i="15"/>
  <c r="Q47" i="15"/>
  <c r="Q53" i="15" s="1"/>
  <c r="Q56" i="15"/>
  <c r="B2" i="15"/>
  <c r="B3" i="15" s="1"/>
  <c r="C83" i="15"/>
  <c r="C82" i="15" s="1"/>
  <c r="Q65" i="67"/>
  <c r="Q56" i="67"/>
  <c r="Q47" i="67"/>
  <c r="Q53" i="67" s="1"/>
  <c r="D2" i="67"/>
  <c r="C43" i="67"/>
  <c r="C83" i="67"/>
  <c r="C82" i="67" s="1"/>
  <c r="B2" i="69" l="1"/>
  <c r="B2" i="67"/>
  <c r="B3" i="67"/>
  <c r="Q57" i="67"/>
  <c r="Q62" i="67" s="1"/>
  <c r="Q66" i="67"/>
  <c r="Q75" i="67" s="1"/>
  <c r="Q66" i="15"/>
  <c r="Q75" i="15" s="1"/>
  <c r="Q57" i="15"/>
  <c r="Q62" i="15" s="1"/>
  <c r="D19" i="9"/>
  <c r="B3" i="69"/>
  <c r="G19" i="9" l="1"/>
  <c r="D22" i="9"/>
  <c r="D21" i="9"/>
  <c r="D102" i="9"/>
  <c r="D20" i="9"/>
  <c r="G20" i="9" l="1"/>
  <c r="R24" i="31" s="1"/>
  <c r="S24" i="31" s="1"/>
  <c r="D103" i="9"/>
  <c r="G21" i="9"/>
  <c r="C32" i="9"/>
  <c r="R25" i="31" l="1"/>
  <c r="S25" i="31" s="1"/>
  <c r="R26" i="31"/>
  <c r="S26" i="31" s="1"/>
  <c r="R27" i="31"/>
  <c r="S27" i="31" s="1"/>
  <c r="R29" i="31"/>
  <c r="S29" i="31" s="1"/>
  <c r="R30" i="31"/>
  <c r="S30" i="31" s="1"/>
  <c r="R28" i="31"/>
  <c r="S28" i="31" s="1"/>
  <c r="C35" i="9"/>
  <c r="F118" i="9" s="1"/>
  <c r="H118" i="9"/>
  <c r="S22" i="31" l="1"/>
  <c r="H101" i="9"/>
  <c r="I118" i="9"/>
  <c r="H4" i="52"/>
  <c r="C104" i="9"/>
  <c r="H119" i="9"/>
  <c r="H5" i="52" s="1"/>
  <c r="D14" i="74"/>
  <c r="F4" i="52"/>
  <c r="B51" i="72" s="1"/>
  <c r="G118" i="9"/>
  <c r="G4" i="52" s="1"/>
  <c r="B52" i="72" s="1"/>
  <c r="F119" i="9"/>
  <c r="F5" i="52" s="1"/>
  <c r="B53" i="72" s="1"/>
  <c r="C34" i="9"/>
  <c r="D118" i="9" s="1"/>
  <c r="R22" i="31" l="1"/>
  <c r="B21" i="31" s="1"/>
  <c r="D15" i="74"/>
  <c r="G15" i="74" s="1"/>
  <c r="B20" i="31"/>
  <c r="D45" i="9"/>
  <c r="D5" i="53"/>
  <c r="M48" i="9"/>
  <c r="H107" i="9"/>
  <c r="D119" i="9"/>
  <c r="D5" i="52" s="1"/>
  <c r="B49" i="72" s="1"/>
  <c r="D4" i="52"/>
  <c r="B47" i="72" s="1"/>
  <c r="B5" i="74"/>
  <c r="F14" i="74"/>
  <c r="E14" i="74"/>
  <c r="H102" i="9"/>
  <c r="D7" i="53" s="1"/>
  <c r="B21" i="72" s="1"/>
  <c r="I4" i="52"/>
  <c r="C105" i="9"/>
  <c r="E118" i="9"/>
  <c r="E4" i="52" s="1"/>
  <c r="B48" i="72" s="1"/>
  <c r="E15" i="74" l="1"/>
  <c r="F15" i="74"/>
  <c r="M49" i="9"/>
  <c r="D13" i="53"/>
  <c r="D122" i="9"/>
  <c r="H108" i="9"/>
  <c r="D15" i="53" s="1"/>
  <c r="B31" i="72" s="1"/>
  <c r="B20" i="72"/>
  <c r="D6" i="53"/>
  <c r="B22" i="72" s="1"/>
  <c r="C5" i="74"/>
  <c r="D5" i="74"/>
  <c r="D53" i="9"/>
  <c r="D52" i="9"/>
  <c r="C78" i="9"/>
  <c r="C73" i="9" s="1"/>
  <c r="D55" i="9"/>
  <c r="M53" i="9" s="1"/>
  <c r="C93" i="9"/>
  <c r="C86" i="9" s="1"/>
  <c r="C72" i="9"/>
  <c r="C85" i="9"/>
  <c r="C64" i="9"/>
  <c r="C63" i="9" s="1"/>
  <c r="C67" i="9" s="1"/>
  <c r="C68" i="9" s="1"/>
  <c r="D54" i="9" s="1"/>
  <c r="C95" i="9" l="1"/>
  <c r="C96" i="9" s="1"/>
  <c r="E96" i="9" s="1"/>
  <c r="E97" i="9" s="1"/>
  <c r="D123" i="9"/>
  <c r="D9" i="52" s="1"/>
  <c r="G14" i="74"/>
  <c r="B6" i="74" s="1"/>
  <c r="D8" i="52"/>
  <c r="C79" i="9"/>
  <c r="C80" i="9" s="1"/>
  <c r="E80" i="9" s="1"/>
  <c r="E81" i="9" s="1"/>
  <c r="D14" i="53"/>
  <c r="B32" i="72" s="1"/>
  <c r="B30" i="72"/>
  <c r="L68" i="9"/>
  <c r="M68" i="9" s="1"/>
  <c r="L66" i="9"/>
  <c r="M66" i="9" s="1"/>
  <c r="L63" i="9"/>
  <c r="M63" i="9" s="1"/>
  <c r="L65" i="9"/>
  <c r="M65" i="9" s="1"/>
  <c r="L64" i="9"/>
  <c r="M64" i="9" s="1"/>
  <c r="L67" i="9"/>
  <c r="M67" i="9" s="1"/>
  <c r="C97" i="9" l="1"/>
  <c r="D58" i="9" s="1"/>
  <c r="D56" i="9" s="1"/>
  <c r="M54" i="9" s="1"/>
  <c r="N57" i="9" s="1"/>
  <c r="N58" i="9" s="1"/>
  <c r="C81" i="9"/>
  <c r="M69" i="9"/>
  <c r="N69" i="9" s="1"/>
  <c r="D6" i="74"/>
  <c r="C6" i="74"/>
  <c r="N59" i="9" l="1"/>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<sst xmlns="http://schemas.openxmlformats.org/spreadsheetml/2006/main" count="7507" uniqueCount="3196">
  <si>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</si>
  <si>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</si>
  <si>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</si>
  <si>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</si>
  <si>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</si>
  <si>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</si>
  <si>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</si>
  <si>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</si>
  <si>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</si>
  <si>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</si>
  <si>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</si>
  <si>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</si>
  <si>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</si>
  <si>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</si>
  <si>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</si>
  <si>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</si>
  <si>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</si>
  <si>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</si>
  <si>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</si>
  <si>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</si>
  <si>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</si>
  <si>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</si>
  <si>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</si>
  <si>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</si>
  <si>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</si>
  <si>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</si>
  <si>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</si>
  <si>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</si>
  <si>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</si>
  <si>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</si>
  <si>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</si>
  <si>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</si>
  <si>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</si>
  <si>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</si>
  <si>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</si>
  <si>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</si>
  <si>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</si>
  <si>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</si>
  <si>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</si>
  <si>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</si>
  <si>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</si>
  <si>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</si>
  <si>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</si>
  <si>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</si>
  <si>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</si>
  <si>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</si>
  <si>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</si>
  <si>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</si>
  <si>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</si>
  <si>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</si>
  <si>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</si>
  <si>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</si>
  <si>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</si>
  <si>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</si>
  <si>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</si>
  <si>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</si>
  <si>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</si>
  <si>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</si>
  <si>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</si>
  <si>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</si>
  <si>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</si>
  <si>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</si>
  <si>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</si>
  <si>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</si>
  <si>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</si>
  <si>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</si>
  <si>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</si>
  <si>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</si>
  <si>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</si>
  <si>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</si>
  <si>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</si>
  <si>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</si>
  <si>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</si>
  <si>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</si>
  <si>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</si>
  <si>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</si>
  <si>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</si>
  <si>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</si>
  <si>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</si>
  <si>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</si>
  <si>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</si>
  <si>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</si>
  <si>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</si>
  <si>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</si>
  <si>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</si>
  <si>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</si>
  <si>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</si>
  <si>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</si>
  <si>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</si>
  <si>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</si>
  <si>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</si>
  <si>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</si>
  <si>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</si>
  <si>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</si>
  <si>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</si>
  <si>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</si>
  <si>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</si>
  <si>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</si>
  <si>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</si>
  <si>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</si>
  <si>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</si>
  <si>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</si>
  <si>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</si>
  <si>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</si>
  <si>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</si>
  <si>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</si>
  <si>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</si>
  <si>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</si>
  <si>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</si>
  <si>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</si>
  <si>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</si>
  <si>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</si>
  <si>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</si>
  <si>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</si>
  <si>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</si>
  <si>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</si>
  <si>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</si>
  <si>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</si>
  <si>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</si>
  <si>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</si>
  <si>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</si>
  <si>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</si>
  <si>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</si>
  <si>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</si>
  <si>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</si>
  <si>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</si>
  <si>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</si>
  <si>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</si>
  <si>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</si>
  <si>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</si>
  <si>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</si>
  <si>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</si>
  <si>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</si>
  <si>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</si>
  <si>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</si>
  <si>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</si>
  <si>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</si>
  <si>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</si>
  <si>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</si>
  <si>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</si>
  <si>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</si>
  <si>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</si>
  <si>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</si>
  <si>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</si>
  <si>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</si>
  <si>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</si>
  <si>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</si>
  <si>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</si>
  <si>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</si>
  <si>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</si>
  <si>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</si>
  <si>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</si>
  <si>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</si>
  <si>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</si>
  <si>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</si>
  <si>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</si>
  <si>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</si>
  <si>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</si>
  <si>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</si>
  <si>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</si>
  <si>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</si>
  <si>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</si>
  <si>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</si>
  <si>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</si>
  <si>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</si>
  <si>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</si>
  <si>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</si>
  <si>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</si>
  <si>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</si>
  <si>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</si>
  <si>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</si>
  <si>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</si>
  <si>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</si>
  <si>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</si>
  <si>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</si>
  <si>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</si>
  <si>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</si>
  <si>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</si>
  <si>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</si>
  <si>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</si>
  <si>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</si>
  <si>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</si>
  <si>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</si>
  <si>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</si>
  <si>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</si>
  <si>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</si>
  <si>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</si>
  <si>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</si>
  <si>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</si>
  <si>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</si>
  <si>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</si>
  <si>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</si>
  <si>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</si>
  <si>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</si>
  <si>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</si>
  <si>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</si>
  <si>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</si>
  <si>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</si>
  <si>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</si>
  <si>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</si>
  <si>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</si>
  <si>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</si>
  <si>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</si>
  <si>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</si>
  <si>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</si>
  <si>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</si>
  <si>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</si>
  <si>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</si>
  <si>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</si>
  <si>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</si>
  <si>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</si>
  <si>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</si>
  <si>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</si>
  <si>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</si>
  <si>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</si>
  <si>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</si>
  <si>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</si>
  <si>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</si>
  <si>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</si>
  <si>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</si>
  <si>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</si>
  <si>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</si>
  <si>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</si>
  <si>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</si>
  <si>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</si>
  <si>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</si>
  <si>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</si>
  <si>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</si>
  <si>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</si>
  <si>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</si>
  <si>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</si>
  <si>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</si>
  <si>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</si>
  <si>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</si>
  <si>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</si>
  <si>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</si>
  <si>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</si>
  <si>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</si>
  <si>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</si>
  <si>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</si>
  <si>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</si>
  <si>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</si>
  <si>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</si>
  <si>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</si>
  <si>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</si>
  <si>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</si>
  <si>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</si>
  <si>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</si>
  <si>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</si>
  <si>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</si>
  <si>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</si>
  <si>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</si>
  <si>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</si>
  <si>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</si>
  <si>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</si>
  <si>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</si>
  <si>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</si>
  <si>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</si>
  <si>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</si>
  <si>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</si>
  <si>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</si>
  <si>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</si>
  <si>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</si>
  <si>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</si>
  <si>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</si>
  <si>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</si>
  <si>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</si>
  <si>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</si>
  <si>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</si>
  <si>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</si>
  <si>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</si>
  <si>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</si>
  <si>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</si>
  <si>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</si>
  <si>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</si>
  <si>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</si>
  <si>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</si>
  <si>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</si>
  <si>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</si>
  <si>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</si>
  <si>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</si>
  <si>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</si>
  <si>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</si>
  <si>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</si>
  <si>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</si>
  <si>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</si>
  <si>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</si>
  <si>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</si>
  <si>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</si>
  <si>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</si>
  <si>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</si>
  <si>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</si>
  <si>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</si>
  <si>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</si>
  <si>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</si>
  <si>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</si>
  <si>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</si>
  <si>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</si>
  <si>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</si>
  <si>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</si>
  <si>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</si>
  <si>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</si>
  <si>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</si>
  <si>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</si>
  <si>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</si>
  <si>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</si>
  <si>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</si>
  <si>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</si>
  <si>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</si>
  <si>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</si>
  <si>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</si>
  <si>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</si>
  <si>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</si>
  <si>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</si>
  <si>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</si>
  <si>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</si>
  <si>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</si>
  <si>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</si>
  <si>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</si>
  <si>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</si>
  <si>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</si>
  <si>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</si>
  <si>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</si>
  <si>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</si>
  <si>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</si>
  <si>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</si>
  <si>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</si>
  <si>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</si>
  <si>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</si>
  <si>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</si>
  <si>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</si>
  <si>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</si>
  <si>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</si>
  <si>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</si>
  <si>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</si>
  <si>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</si>
  <si>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</si>
  <si>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</si>
  <si>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</si>
  <si>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</si>
  <si>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</si>
  <si>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</si>
  <si>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</si>
  <si>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</si>
  <si>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</si>
  <si>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</si>
  <si>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</si>
  <si>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</si>
  <si>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</si>
  <si>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</si>
  <si>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</si>
  <si>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</si>
  <si>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</si>
  <si>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</si>
  <si>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</si>
  <si>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</si>
  <si>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</si>
  <si>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</si>
  <si>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</si>
  <si>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</si>
  <si>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</si>
  <si>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</si>
  <si>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</si>
  <si>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</si>
  <si>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</si>
  <si>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</si>
  <si>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</si>
  <si>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</si>
  <si>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</si>
  <si>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</si>
  <si>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</si>
  <si>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</si>
  <si>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</si>
  <si>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</si>
  <si>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</si>
  <si>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</si>
  <si>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</si>
  <si>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</si>
  <si>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</si>
  <si>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</si>
  <si>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</si>
  <si>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</si>
  <si>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</si>
  <si>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</si>
  <si>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</si>
  <si>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</si>
  <si>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</si>
  <si>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</si>
  <si>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</si>
  <si>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</si>
  <si>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</si>
  <si>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</si>
  <si>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</si>
  <si>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</si>
  <si>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</si>
  <si>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</si>
  <si>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</si>
  <si>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</si>
  <si>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</si>
  <si>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</si>
  <si>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</si>
  <si>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</si>
  <si>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</si>
  <si>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</si>
  <si>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</si>
  <si>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</si>
  <si>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</si>
  <si>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</si>
  <si>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</si>
  <si>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</si>
  <si>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</si>
  <si>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</si>
  <si>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</si>
  <si>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</si>
  <si>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</si>
  <si>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</si>
  <si>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</si>
  <si>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</si>
  <si>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</si>
  <si>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</si>
  <si>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</si>
  <si>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</si>
  <si>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</si>
  <si>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</si>
  <si>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</si>
  <si>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</si>
  <si>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</si>
  <si>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</si>
  <si>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</si>
  <si>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</si>
  <si>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</si>
  <si>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</si>
  <si>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</si>
  <si>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</si>
  <si>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</si>
  <si>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</si>
  <si>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</si>
  <si>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</si>
  <si>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</si>
  <si>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</si>
  <si>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</si>
  <si>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</si>
  <si>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</si>
  <si>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</si>
  <si>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</si>
  <si>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</si>
  <si>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</si>
  <si>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</si>
  <si>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</si>
  <si>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</si>
  <si>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</si>
  <si>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</si>
  <si>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</si>
  <si>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</si>
  <si>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</si>
  <si>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</si>
  <si>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</si>
  <si>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</si>
  <si>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</si>
  <si>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</si>
  <si>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</si>
  <si>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</si>
  <si>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</si>
  <si>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</si>
  <si>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</si>
  <si>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</si>
  <si>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</si>
  <si>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</si>
  <si>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</si>
  <si>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</si>
  <si>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</si>
  <si>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</si>
  <si>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</si>
  <si>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</si>
  <si>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</si>
  <si>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</si>
  <si>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</si>
  <si>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</si>
  <si>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</si>
  <si>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</si>
  <si>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</si>
  <si>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</si>
  <si>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</si>
  <si>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</si>
  <si>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</si>
  <si>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</si>
  <si>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</si>
  <si>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</si>
  <si>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</si>
  <si>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</si>
  <si>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</si>
  <si>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</si>
  <si>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</si>
  <si>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</si>
  <si>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</si>
  <si>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</si>
  <si>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</si>
  <si>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</si>
  <si>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</si>
  <si>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</si>
  <si>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</si>
  <si>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</si>
  <si>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</si>
  <si>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</si>
  <si>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</si>
  <si>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</si>
  <si>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</si>
  <si>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</si>
  <si>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</si>
  <si>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</si>
  <si>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</si>
  <si>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</si>
  <si>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</si>
  <si>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</si>
  <si>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</si>
  <si>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</si>
  <si>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</si>
  <si>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</si>
  <si>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</si>
  <si>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</si>
  <si>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</si>
  <si>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</si>
  <si>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</si>
  <si>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</si>
  <si>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</si>
  <si>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</si>
  <si>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</si>
  <si>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</si>
  <si>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</si>
  <si>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</si>
  <si>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</si>
  <si>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</si>
  <si>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</si>
  <si>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</si>
  <si>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</si>
  <si>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</si>
  <si>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</si>
  <si>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</si>
  <si>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</si>
  <si>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</si>
  <si>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</si>
  <si>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</si>
  <si>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</si>
  <si>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</si>
  <si>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</si>
  <si>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</si>
  <si>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</si>
  <si>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</si>
  <si>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</si>
  <si>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</si>
  <si>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</si>
  <si>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</si>
  <si>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</si>
  <si>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</si>
  <si>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</si>
  <si>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</si>
  <si>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</si>
  <si>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</si>
  <si>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</si>
  <si>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</si>
  <si>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</si>
  <si>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</si>
  <si>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</si>
  <si>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</si>
  <si>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</si>
  <si>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</si>
  <si>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</si>
  <si>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</si>
  <si>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</si>
  <si>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</si>
  <si>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</si>
  <si>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</si>
  <si>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</si>
  <si>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</si>
  <si>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</si>
  <si>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</si>
  <si>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</si>
  <si>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</si>
  <si>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</si>
  <si>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</si>
  <si>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</si>
  <si>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</si>
  <si>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</si>
  <si>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</si>
  <si>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</si>
  <si>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</si>
  <si>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</si>
  <si>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</si>
  <si>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</si>
  <si>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</si>
  <si>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</si>
  <si>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</si>
  <si>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</si>
  <si>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</si>
  <si>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</si>
  <si>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</si>
  <si>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</si>
  <si>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</si>
  <si>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</si>
  <si>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</si>
  <si>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</si>
  <si>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</si>
  <si>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</si>
  <si>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</si>
  <si>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</si>
  <si>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</si>
  <si>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</si>
  <si>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</si>
  <si>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</si>
  <si>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</si>
  <si>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</si>
  <si>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</si>
  <si>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</si>
  <si>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</si>
  <si>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</si>
  <si>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</si>
  <si>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</si>
  <si>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</si>
  <si>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</si>
  <si>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</si>
  <si>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</si>
  <si>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</si>
  <si>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</si>
  <si>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</si>
  <si>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</si>
  <si>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</si>
  <si>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</si>
  <si>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</si>
  <si>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</si>
  <si>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</si>
  <si>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</si>
  <si>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</si>
  <si>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</si>
  <si>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</si>
  <si>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</si>
  <si>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</si>
  <si>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</si>
  <si>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</si>
  <si>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</si>
  <si>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</si>
  <si>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</si>
  <si>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</si>
  <si>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</si>
  <si>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</si>
  <si>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</si>
  <si>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</si>
  <si>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</si>
  <si>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</si>
  <si>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</si>
  <si>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</si>
  <si>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</si>
  <si>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</si>
  <si>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</si>
  <si>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</si>
  <si>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</si>
  <si>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</si>
  <si>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</si>
  <si>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</si>
  <si>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</si>
  <si>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</si>
  <si>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</si>
  <si>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</si>
  <si>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</si>
  <si>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</si>
  <si>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</si>
  <si>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</si>
  <si>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</si>
  <si>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</si>
  <si>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</si>
  <si>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</si>
  <si>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</si>
  <si>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</si>
  <si>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</si>
  <si>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</si>
  <si>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</si>
  <si>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</si>
  <si>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</si>
  <si>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</si>
  <si>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</si>
  <si>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</si>
  <si>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</si>
  <si>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</si>
  <si>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</si>
  <si>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</si>
  <si>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</si>
  <si>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</si>
  <si>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</si>
  <si>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</si>
  <si>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</si>
  <si>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</si>
  <si>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</si>
  <si>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</si>
  <si>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</si>
  <si>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</si>
  <si>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</si>
  <si>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</si>
  <si>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</si>
  <si>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</si>
  <si>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</si>
  <si>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</si>
  <si>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</si>
  <si>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</si>
  <si>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</si>
  <si>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</si>
  <si>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</si>
  <si>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</si>
  <si>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</si>
  <si>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</si>
  <si>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</si>
  <si>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</si>
  <si>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</si>
  <si>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</si>
  <si>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</si>
  <si>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</si>
  <si>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</si>
  <si>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</si>
  <si>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</si>
  <si>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</si>
  <si>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</si>
  <si>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</si>
  <si>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</si>
  <si>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</si>
  <si>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</si>
  <si>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</si>
  <si>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</si>
  <si>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</si>
  <si>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</si>
  <si>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</si>
  <si>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</si>
  <si>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</si>
  <si>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</si>
  <si>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</si>
  <si>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</si>
  <si>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</si>
  <si>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</si>
  <si>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</si>
  <si>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</si>
  <si>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</si>
  <si>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</si>
  <si>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</si>
  <si>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</si>
  <si>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</si>
  <si>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</si>
  <si>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</si>
  <si>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</si>
  <si>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</si>
  <si>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</si>
  <si>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</si>
  <si>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</si>
  <si>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</si>
  <si>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</si>
  <si>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</si>
  <si>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</si>
  <si>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</si>
  <si>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</si>
  <si>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</si>
  <si>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</si>
  <si>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</si>
  <si>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</si>
  <si>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</si>
  <si>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</si>
  <si>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</si>
  <si>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</si>
  <si>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</si>
  <si>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</si>
  <si>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</si>
  <si>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</si>
  <si>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</si>
  <si>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</si>
  <si>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</si>
  <si>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</si>
  <si>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</si>
  <si>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</si>
  <si>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</si>
  <si>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</si>
  <si>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</si>
  <si>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</si>
  <si>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</si>
  <si>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</si>
  <si>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</si>
  <si>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</si>
  <si>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</si>
  <si>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</si>
  <si>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</si>
  <si>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</si>
  <si>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</si>
  <si>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</si>
  <si>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</si>
  <si>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</si>
  <si>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</si>
  <si>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</si>
  <si>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</si>
  <si>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</si>
  <si>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</si>
  <si>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</si>
  <si>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</si>
  <si>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</si>
  <si>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</si>
  <si>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</si>
  <si>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</si>
  <si>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</si>
  <si>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</si>
  <si>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</si>
  <si>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</si>
  <si>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</si>
  <si>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</si>
  <si>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</si>
  <si>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</si>
  <si>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</si>
  <si>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</si>
  <si>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</si>
  <si>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</si>
  <si>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</si>
  <si>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</si>
  <si>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</si>
  <si>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</si>
  <si>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</si>
  <si>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</si>
  <si>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</si>
  <si>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</si>
  <si>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</si>
  <si>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</si>
  <si>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</si>
  <si>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</si>
  <si>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</si>
  <si>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</si>
  <si>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</si>
  <si>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</si>
  <si>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</si>
  <si>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</si>
  <si>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</si>
  <si>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</si>
  <si>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</si>
  <si>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</si>
  <si>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</si>
  <si>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</si>
  <si>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</si>
  <si>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</si>
  <si>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</si>
  <si>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</si>
  <si>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</si>
  <si>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</si>
  <si>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</si>
  <si>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</si>
  <si>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</si>
  <si>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</si>
  <si>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</si>
  <si>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</si>
  <si>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</si>
  <si>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</si>
  <si>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</si>
  <si>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</si>
  <si>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</si>
  <si>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</si>
  <si>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</si>
  <si>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</si>
  <si>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</si>
  <si>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</si>
  <si>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</si>
  <si>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</si>
  <si>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</si>
  <si>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</si>
  <si>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</si>
  <si>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</si>
  <si>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</si>
  <si>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</si>
  <si>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</si>
  <si>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</si>
  <si>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</si>
  <si>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</si>
  <si>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</si>
  <si>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</si>
  <si>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</si>
  <si>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</si>
  <si>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</si>
  <si>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</si>
  <si>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</si>
  <si>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</si>
  <si>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</si>
  <si>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</si>
  <si>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</si>
  <si>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</si>
  <si>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</si>
  <si>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</si>
  <si>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</si>
  <si>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</si>
  <si>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</si>
  <si>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</si>
  <si>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</si>
  <si>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</si>
  <si>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</si>
  <si>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</si>
  <si>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</si>
  <si>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</si>
  <si>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</si>
  <si>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</si>
  <si>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</si>
  <si>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</si>
  <si>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</si>
  <si>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</si>
  <si>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</si>
  <si>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</si>
  <si>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</si>
  <si>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</si>
  <si>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</si>
  <si>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</si>
  <si>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</si>
  <si>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</si>
  <si>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</si>
  <si>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</si>
  <si>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</si>
  <si>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</si>
  <si>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</si>
  <si>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</si>
  <si>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</si>
  <si>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</si>
  <si>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</si>
  <si>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</si>
  <si>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</si>
  <si>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</si>
  <si>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</si>
  <si>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</si>
  <si>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</si>
  <si>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</si>
  <si>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</si>
  <si>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</si>
  <si>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</si>
  <si>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</si>
  <si>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</si>
  <si>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</si>
  <si>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</si>
  <si>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</si>
  <si>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</si>
  <si>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</si>
  <si>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</si>
  <si>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</si>
  <si>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</si>
  <si>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</si>
  <si>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</si>
  <si>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</si>
  <si>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</si>
  <si>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</si>
  <si>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</si>
  <si>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</si>
  <si>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</si>
  <si>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</si>
  <si>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</si>
  <si>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</si>
  <si>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</si>
  <si>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</si>
  <si>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</si>
  <si>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</si>
  <si>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</si>
  <si>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</si>
  <si>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</si>
  <si>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</si>
  <si>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</si>
  <si>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</si>
  <si>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</si>
  <si>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</si>
  <si>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</si>
  <si>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</si>
  <si>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</si>
  <si>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</si>
  <si>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</si>
  <si>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</si>
  <si>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</si>
  <si>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</si>
  <si>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</si>
  <si>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</si>
  <si>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</si>
  <si>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</si>
  <si>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</si>
  <si>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</si>
  <si>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</si>
  <si>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</si>
  <si>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</si>
  <si>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</si>
  <si>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</si>
  <si>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</si>
  <si>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</si>
  <si>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</si>
  <si>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</si>
  <si>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</si>
  <si>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</si>
  <si>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</si>
  <si>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</si>
  <si>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</si>
  <si>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</si>
  <si>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</si>
  <si>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</si>
  <si>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</si>
  <si>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</si>
  <si>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</si>
  <si>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</si>
  <si>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</si>
  <si>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</si>
  <si>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</si>
  <si>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</si>
  <si>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</si>
  <si>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</si>
  <si>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</si>
  <si>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</si>
  <si>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</si>
  <si>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</si>
  <si>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</si>
  <si>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</si>
  <si>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</si>
  <si>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</si>
  <si>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</si>
  <si>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</si>
  <si>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</si>
  <si>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</si>
  <si>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</si>
  <si>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</si>
  <si>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</si>
  <si>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</si>
  <si>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</si>
  <si>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</si>
  <si>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</si>
  <si>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</si>
  <si>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</si>
  <si>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</si>
  <si>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</si>
  <si>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</si>
  <si>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</si>
  <si>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</si>
  <si>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</si>
  <si>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</si>
  <si>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</si>
  <si>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</si>
  <si>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</si>
  <si>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</si>
  <si>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</si>
  <si>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</si>
  <si>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</si>
  <si>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</si>
  <si>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</si>
  <si>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</si>
  <si>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</si>
  <si>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</si>
  <si>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</si>
  <si>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</si>
  <si>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</si>
  <si>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</si>
  <si>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</si>
  <si>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</si>
  <si>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</si>
  <si>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</si>
  <si>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</si>
  <si>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</si>
  <si>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</si>
  <si>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</si>
  <si>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</si>
  <si>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</si>
  <si>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</si>
  <si>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</si>
  <si>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</si>
  <si>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</si>
  <si>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</si>
  <si>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</si>
  <si>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</si>
  <si>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</si>
  <si>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</si>
  <si>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</si>
  <si>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</si>
  <si>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</si>
  <si>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</si>
  <si>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</si>
  <si>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</si>
  <si>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</si>
  <si>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</si>
  <si>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</si>
  <si>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</si>
  <si>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</si>
  <si>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</si>
  <si>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</si>
  <si>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</si>
  <si>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</si>
  <si>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</si>
  <si>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</si>
  <si>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</si>
  <si>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</si>
  <si>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</si>
  <si>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</si>
  <si>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</si>
  <si>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</si>
  <si>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</si>
  <si>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</si>
  <si>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</si>
  <si>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</si>
  <si>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</si>
  <si>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</si>
  <si>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</si>
  <si>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</si>
  <si>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</si>
  <si>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</si>
  <si>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</si>
  <si>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</si>
  <si>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</si>
  <si>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</si>
  <si>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</si>
  <si>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</si>
  <si>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</si>
  <si>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</si>
  <si>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</si>
  <si>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</si>
  <si>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</si>
  <si>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</si>
  <si>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</si>
  <si>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</si>
  <si>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</si>
  <si>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</si>
  <si>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</si>
  <si>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</si>
  <si>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</si>
  <si>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</si>
  <si>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</si>
  <si>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</si>
  <si>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</si>
  <si>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</si>
  <si>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</si>
  <si>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</si>
  <si>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</si>
  <si>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</si>
  <si>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</si>
  <si>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</si>
  <si>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</si>
  <si>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</si>
  <si>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</si>
  <si>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</si>
  <si>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</si>
  <si>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</si>
  <si>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</si>
  <si>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</si>
  <si>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</si>
  <si>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</si>
  <si>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</si>
  <si>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</si>
  <si>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</si>
  <si>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</si>
  <si>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</si>
  <si>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</si>
  <si>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</si>
  <si>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</si>
  <si>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</si>
  <si>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</si>
  <si>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</si>
  <si>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</si>
  <si>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</si>
  <si>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</si>
  <si>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</si>
  <si>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</si>
  <si>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</si>
  <si>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</si>
  <si>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</si>
  <si>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</si>
  <si>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</si>
  <si>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</si>
  <si>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</si>
  <si>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</si>
  <si>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</si>
  <si>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</si>
  <si>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</si>
  <si>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</si>
  <si>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</si>
  <si>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</si>
  <si>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</si>
  <si>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</si>
  <si>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</si>
  <si>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</si>
  <si>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</si>
  <si>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</si>
  <si>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</si>
  <si>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</si>
  <si>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</si>
  <si>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</si>
  <si>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</si>
  <si>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</si>
  <si>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</si>
  <si>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</si>
  <si>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</si>
  <si>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</si>
  <si>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</si>
  <si>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</si>
  <si>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</si>
  <si>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</si>
  <si>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</si>
  <si>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</si>
  <si>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</si>
  <si>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</si>
  <si>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</si>
  <si>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</si>
  <si>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</si>
  <si>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</si>
  <si>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</si>
  <si>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</si>
  <si>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</si>
  <si>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</si>
  <si>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</si>
  <si>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</si>
  <si>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</si>
  <si>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</si>
  <si>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</si>
  <si>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</si>
  <si>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</si>
  <si>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</si>
  <si>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</si>
  <si>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</si>
  <si>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</si>
  <si>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</si>
  <si>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</si>
  <si>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</si>
  <si>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</si>
  <si>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</si>
  <si>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</si>
  <si>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</si>
  <si>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</si>
  <si>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</si>
  <si>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</si>
  <si>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</si>
  <si>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</si>
  <si>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</si>
  <si>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</si>
  <si>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</si>
  <si>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</si>
  <si>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</si>
  <si>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</si>
  <si>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</si>
  <si>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</si>
  <si>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</si>
  <si>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</si>
  <si>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</si>
  <si>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</si>
  <si>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</si>
  <si>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</si>
  <si>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</si>
  <si>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</si>
  <si>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</si>
  <si>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</si>
  <si>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</si>
  <si>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</si>
  <si>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</si>
  <si>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</si>
  <si>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</si>
  <si>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</si>
  <si>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</si>
  <si>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</si>
  <si>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</si>
  <si>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</si>
  <si>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</si>
  <si>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</si>
  <si>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</si>
  <si>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</si>
  <si>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</si>
  <si>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</si>
  <si>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</si>
  <si>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</si>
  <si>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</si>
  <si>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</si>
  <si>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</si>
  <si>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</si>
  <si>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</si>
  <si>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</si>
  <si>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</si>
  <si>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</si>
  <si>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</si>
  <si>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</si>
  <si>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</si>
  <si>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</si>
  <si>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</si>
  <si>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</si>
  <si>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</si>
  <si>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</si>
  <si>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</si>
  <si>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</si>
  <si>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</si>
  <si>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</si>
  <si>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</si>
  <si>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</si>
  <si>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</si>
  <si>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</si>
  <si>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</si>
  <si>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</si>
  <si>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</si>
  <si>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</si>
  <si>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</si>
  <si>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</si>
  <si>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</si>
  <si>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</si>
  <si>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</si>
  <si>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</si>
  <si>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</si>
  <si>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</si>
  <si>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</si>
  <si>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</si>
  <si>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</si>
  <si>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</si>
  <si>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</si>
  <si>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</si>
  <si>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</si>
  <si>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</si>
  <si>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</si>
  <si>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</si>
  <si>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</si>
  <si>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</si>
  <si>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</si>
  <si>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</si>
  <si>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</si>
  <si>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</si>
  <si>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</si>
  <si>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</si>
  <si>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</si>
  <si>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</si>
  <si>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</si>
  <si>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</si>
  <si>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</si>
  <si>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</si>
  <si>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</si>
  <si>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</si>
  <si>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</si>
  <si>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</si>
  <si>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</si>
  <si>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</si>
  <si>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</si>
  <si>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</si>
  <si>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</si>
  <si>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</si>
  <si>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</si>
  <si>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</si>
  <si>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</si>
  <si>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</si>
  <si>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</si>
  <si>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</si>
  <si>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</si>
  <si>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</si>
  <si>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</si>
  <si>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</si>
  <si>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</si>
  <si>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</si>
  <si>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</si>
  <si>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</si>
  <si>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</si>
  <si>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</si>
  <si>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</si>
  <si>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</si>
  <si>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</si>
  <si>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</si>
  <si>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</si>
  <si>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</si>
  <si>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</si>
  <si>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</si>
  <si>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</si>
  <si>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</si>
  <si>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</si>
  <si>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</si>
  <si>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</si>
  <si>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</si>
  <si>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</si>
  <si>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</si>
  <si>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</si>
  <si>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</si>
  <si>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</si>
  <si>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</si>
  <si>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</si>
  <si>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</si>
  <si>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</si>
  <si>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</si>
  <si>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</si>
  <si>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</si>
  <si>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</si>
  <si>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</si>
  <si>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</si>
  <si>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</si>
  <si>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</si>
  <si>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</si>
  <si>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</si>
  <si>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</si>
  <si>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</si>
  <si>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</si>
  <si>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</si>
  <si>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</si>
  <si>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</si>
  <si>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</si>
  <si>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</si>
  <si>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</si>
  <si>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</si>
  <si>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</si>
  <si>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</si>
  <si>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</si>
  <si>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</si>
  <si>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</si>
  <si>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</si>
  <si>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</si>
  <si>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</si>
  <si>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</si>
  <si>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</si>
  <si>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</si>
  <si>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</si>
  <si>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</si>
  <si>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</si>
  <si>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</si>
  <si>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</si>
  <si>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</si>
  <si>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</si>
  <si>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</si>
  <si>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</si>
  <si>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</si>
  <si>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</si>
  <si>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</si>
  <si>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</si>
  <si>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</si>
  <si>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</si>
  <si>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</si>
  <si>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</si>
  <si>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</si>
  <si>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</si>
  <si>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</si>
  <si>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</si>
  <si>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</si>
  <si>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</si>
  <si>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</si>
  <si>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</si>
  <si>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</si>
  <si>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</si>
  <si>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</si>
  <si>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</si>
  <si>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</si>
  <si>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</si>
  <si>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</si>
  <si>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</si>
  <si>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</si>
  <si>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</si>
  <si>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</si>
  <si>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</si>
  <si>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</si>
  <si>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</si>
  <si>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</si>
  <si>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</si>
  <si>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</si>
  <si>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</si>
  <si>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</si>
  <si>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</si>
  <si>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</si>
  <si>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</si>
  <si>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</si>
  <si>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</si>
  <si>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</si>
  <si>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</si>
  <si>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</si>
  <si>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</si>
  <si>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</si>
  <si>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</si>
  <si>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</si>
  <si>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</si>
  <si>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</si>
  <si>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</si>
  <si>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</si>
  <si>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</si>
  <si>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</si>
  <si>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</si>
  <si>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</si>
  <si>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</si>
  <si>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</si>
  <si>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</si>
  <si>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</si>
  <si>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</si>
  <si>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</si>
  <si>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</si>
  <si>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</si>
  <si>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</si>
  <si>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</si>
  <si>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</si>
  <si>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</si>
  <si>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</si>
  <si>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</si>
  <si>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</si>
  <si>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</si>
  <si>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</si>
  <si>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</si>
  <si>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</si>
  <si>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</si>
  <si>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</si>
  <si>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</si>
  <si>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</si>
  <si>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</si>
  <si>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</si>
  <si>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</si>
  <si>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</si>
  <si>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</si>
  <si>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</si>
  <si>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</si>
  <si>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</si>
  <si>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</si>
  <si>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</si>
  <si>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</si>
  <si>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</si>
  <si>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</si>
  <si>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</si>
  <si>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</si>
  <si>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</si>
  <si>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</si>
  <si>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</si>
  <si>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</si>
  <si>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</si>
  <si>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</si>
  <si>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</si>
  <si>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</si>
  <si>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</si>
  <si>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</si>
  <si>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</si>
  <si>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</si>
  <si>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</si>
  <si>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</si>
  <si>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</si>
  <si>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</si>
  <si>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</si>
  <si>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</si>
  <si>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</si>
  <si>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</si>
  <si>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</si>
  <si>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</si>
  <si>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</si>
  <si>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</si>
  <si>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</si>
  <si>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</si>
  <si>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</si>
  <si>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</si>
  <si>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</si>
  <si>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</si>
  <si>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</si>
  <si>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</si>
  <si>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</si>
  <si>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</si>
  <si>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</si>
  <si>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</si>
  <si>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</si>
  <si>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</si>
  <si>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</si>
  <si>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</si>
  <si>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</si>
  <si>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</si>
  <si>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</si>
  <si>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</si>
  <si>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</si>
  <si>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</si>
  <si>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</si>
  <si>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</si>
  <si>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</si>
  <si>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</si>
  <si>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</si>
  <si>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</si>
  <si>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</si>
  <si>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</si>
  <si>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</si>
  <si>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</si>
  <si>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</si>
  <si>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</si>
  <si>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</si>
  <si>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</si>
  <si>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</si>
  <si>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</si>
  <si>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</si>
  <si>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</si>
  <si>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</si>
  <si>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</si>
  <si>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</si>
  <si>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</si>
  <si>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</si>
  <si>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</si>
  <si>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</si>
  <si>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</si>
  <si>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</si>
  <si>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</si>
  <si>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</si>
  <si>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</si>
  <si>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</si>
  <si>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</si>
  <si>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</si>
  <si>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</si>
  <si>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</si>
  <si>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</si>
  <si>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</si>
  <si>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</si>
  <si>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</si>
  <si>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</si>
  <si>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</si>
  <si>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</si>
  <si>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</si>
  <si>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</si>
  <si>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</si>
  <si>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</si>
  <si>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</si>
  <si>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</si>
  <si>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</si>
  <si>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</si>
  <si>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</si>
  <si>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</si>
  <si>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</si>
  <si>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</si>
  <si>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</si>
  <si>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</si>
  <si>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</si>
  <si>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</si>
  <si>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</si>
  <si>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</si>
  <si>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</si>
  <si>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</si>
  <si>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</si>
  <si>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</si>
  <si>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</si>
  <si>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</si>
  <si>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</si>
  <si>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</si>
  <si>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</si>
  <si>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</si>
  <si>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</si>
  <si>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</si>
  <si>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</si>
  <si>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</si>
  <si>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</si>
  <si>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</si>
  <si>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</si>
  <si>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</si>
  <si>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</si>
  <si>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</si>
  <si>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</si>
  <si>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</si>
  <si>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</si>
  <si>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</si>
  <si>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</si>
  <si>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</si>
  <si>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</si>
  <si>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</si>
  <si>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</si>
  <si>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</si>
  <si>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</si>
  <si>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</si>
  <si>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</si>
  <si>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</si>
  <si>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</si>
  <si>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</si>
  <si>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</si>
  <si>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</si>
  <si>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</si>
  <si>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</si>
  <si>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</si>
  <si>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</si>
  <si>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</si>
  <si>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</si>
  <si>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</si>
  <si>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</si>
  <si>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</si>
  <si>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</si>
  <si>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</si>
  <si>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</si>
  <si>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</si>
  <si>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</si>
  <si>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</si>
  <si>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</si>
  <si>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</si>
  <si>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</si>
  <si>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</si>
  <si>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</si>
  <si>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</si>
  <si>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</si>
  <si>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</si>
  <si>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</si>
  <si>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</si>
  <si>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</si>
  <si>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</si>
  <si>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</si>
  <si>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</si>
  <si>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</si>
  <si>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</si>
  <si>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</si>
  <si>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</si>
  <si>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</si>
  <si>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</si>
  <si>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</si>
  <si>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</si>
  <si>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</si>
  <si>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</si>
  <si>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</si>
  <si>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</si>
  <si>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</si>
  <si>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</si>
  <si>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</si>
  <si>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</si>
  <si>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</si>
  <si>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</si>
  <si>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</si>
  <si>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</si>
  <si>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</si>
  <si>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</si>
  <si>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</si>
  <si>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</si>
  <si>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</si>
  <si>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</si>
  <si>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</si>
  <si>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</si>
  <si>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</si>
  <si>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</si>
  <si>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</si>
  <si>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</si>
  <si>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</si>
  <si>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</si>
  <si>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</si>
  <si>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</si>
  <si>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</si>
  <si>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</si>
  <si>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</si>
  <si>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</si>
  <si>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</si>
  <si>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</si>
  <si>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</si>
  <si>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</si>
  <si>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</si>
  <si>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</si>
  <si>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</si>
  <si>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</si>
  <si>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</si>
  <si>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</si>
  <si>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</si>
  <si>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</si>
  <si>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</si>
  <si>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</si>
  <si>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</si>
  <si>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</si>
  <si>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</si>
  <si>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</si>
  <si>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</si>
  <si>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</si>
  <si>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</si>
  <si>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</si>
  <si>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</si>
  <si>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</si>
  <si>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</si>
  <si>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</si>
  <si>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</si>
  <si>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</si>
  <si>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</si>
  <si>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</si>
  <si>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</si>
  <si>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</si>
  <si>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</si>
  <si>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</si>
  <si>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</si>
  <si>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</si>
  <si>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</si>
  <si>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</si>
  <si>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</si>
  <si>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</si>
  <si>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</si>
  <si>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</si>
  <si>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</si>
  <si>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</si>
  <si>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</si>
  <si>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</si>
  <si>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</si>
  <si>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</si>
  <si>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</si>
  <si>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</si>
  <si>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</si>
  <si>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</si>
  <si>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</si>
  <si>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</si>
  <si>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</si>
  <si>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</si>
  <si>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</si>
  <si>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</si>
  <si>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</si>
  <si>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</si>
  <si>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</si>
  <si>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</si>
  <si>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</si>
  <si>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</si>
  <si>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</si>
  <si>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</si>
  <si>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</si>
  <si>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</si>
  <si>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</si>
  <si>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</si>
  <si>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</si>
  <si>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</si>
  <si>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</si>
  <si>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</si>
  <si>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</si>
  <si>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</si>
  <si>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</si>
  <si>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</si>
  <si>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</si>
  <si>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</si>
  <si>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</si>
  <si>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</si>
  <si>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</si>
  <si>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</si>
  <si>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</si>
  <si>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</si>
  <si>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</si>
  <si>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</si>
  <si>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</si>
  <si>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</si>
  <si>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</si>
  <si>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</si>
  <si>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</si>
  <si>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</si>
  <si>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</si>
  <si>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</si>
  <si>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</si>
  <si>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</si>
  <si>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</si>
  <si>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</si>
  <si>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</si>
  <si>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</si>
  <si>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</si>
  <si>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</si>
  <si>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</si>
  <si>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</si>
  <si>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</si>
  <si>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</si>
  <si>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</si>
  <si>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</si>
  <si>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</si>
  <si>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</si>
  <si>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</si>
  <si>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</si>
  <si>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</si>
  <si>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</si>
  <si>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</si>
  <si>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</si>
  <si>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</si>
  <si>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</si>
  <si>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</si>
  <si>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</si>
  <si>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</si>
  <si>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</si>
  <si>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</si>
  <si>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</si>
  <si>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</si>
  <si>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</si>
  <si>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</si>
  <si>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</si>
  <si>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</si>
  <si>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</si>
  <si>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</si>
  <si>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</si>
  <si>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</si>
  <si>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</si>
  <si>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</si>
  <si>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</si>
  <si>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</si>
  <si>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</si>
  <si>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</si>
  <si>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</si>
  <si>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</si>
  <si>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</si>
  <si>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</si>
  <si>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</si>
  <si>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</si>
  <si>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</si>
  <si>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</si>
  <si>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</si>
  <si>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</si>
  <si>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</si>
  <si>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</si>
  <si>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</si>
  <si>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</si>
  <si>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</si>
  <si>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</si>
  <si>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</si>
  <si>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</si>
  <si>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</si>
  <si>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</si>
  <si>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</si>
  <si>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</si>
  <si>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</si>
  <si>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</si>
  <si>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</si>
  <si>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</si>
  <si>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</si>
  <si>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</si>
  <si>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</si>
  <si>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</si>
  <si>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</si>
  <si>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</si>
  <si>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</si>
  <si>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</si>
  <si>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</si>
  <si>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</si>
  <si>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</si>
  <si>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</si>
  <si>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</si>
  <si>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</si>
  <si>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</si>
  <si>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</si>
  <si>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</si>
  <si>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</si>
  <si>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</si>
  <si>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</si>
  <si>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</si>
  <si>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</si>
  <si>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</si>
  <si>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</si>
  <si>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</si>
  <si>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</si>
  <si>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</si>
  <si>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</si>
  <si>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</si>
  <si>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</si>
  <si>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</si>
  <si>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</si>
  <si>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</si>
  <si>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</si>
  <si>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</si>
  <si>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</si>
  <si>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</si>
  <si>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</si>
  <si>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</si>
  <si>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</si>
  <si>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</si>
  <si>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</si>
  <si>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</si>
  <si>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</si>
  <si>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</si>
  <si>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</si>
  <si>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</si>
  <si>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</si>
  <si>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</si>
  <si>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</si>
  <si>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</si>
  <si>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</si>
  <si>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</si>
  <si>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</si>
  <si>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</si>
  <si>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</si>
  <si>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</si>
  <si>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</si>
  <si>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</si>
  <si>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</si>
  <si>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</si>
  <si>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</si>
  <si>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</si>
  <si>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</si>
  <si>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</si>
  <si>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</si>
  <si>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</si>
  <si>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</si>
  <si>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</si>
  <si>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</si>
  <si>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</si>
  <si>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</si>
  <si>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</si>
  <si>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</si>
  <si>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</si>
  <si>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</si>
  <si>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</si>
  <si>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</si>
  <si>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</si>
  <si>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</si>
  <si>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</si>
  <si>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</si>
  <si>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</si>
  <si>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</si>
  <si>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</si>
  <si>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</si>
  <si>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</si>
  <si>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</si>
  <si>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</si>
  <si>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</si>
  <si>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</si>
  <si>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</si>
  <si>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</si>
  <si>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</si>
  <si>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</si>
  <si>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</si>
  <si>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</si>
  <si>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</si>
  <si>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</si>
  <si>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</si>
  <si>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</si>
  <si>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</si>
  <si>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</si>
  <si>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</si>
  <si>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</si>
  <si>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</si>
  <si>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</si>
  <si>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</si>
  <si>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</si>
  <si>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</si>
  <si>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</si>
  <si>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</si>
  <si>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</si>
  <si>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</si>
  <si>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</si>
  <si>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</si>
  <si>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</si>
  <si>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</si>
  <si>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</si>
  <si>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</si>
  <si>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</si>
  <si>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</si>
  <si>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</si>
  <si>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</si>
  <si>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</si>
  <si>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</si>
  <si>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</si>
  <si>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</si>
  <si>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</si>
  <si>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</si>
  <si>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</si>
  <si>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</si>
  <si>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</si>
  <si>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</si>
  <si>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</si>
  <si>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</si>
  <si>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</si>
  <si>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</si>
  <si>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</si>
  <si>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</si>
  <si>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</si>
  <si>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</si>
  <si>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</si>
  <si>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</si>
  <si>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</si>
  <si>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</si>
  <si>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</si>
  <si>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</si>
  <si>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</si>
  <si>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</si>
  <si>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</si>
  <si>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</si>
  <si>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</si>
  <si>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</si>
  <si>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</si>
  <si>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</si>
  <si>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</si>
  <si>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</si>
  <si>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</si>
  <si>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</si>
  <si>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</si>
  <si>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</si>
  <si>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</si>
  <si>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</si>
  <si>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</si>
  <si>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</si>
  <si>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</si>
  <si>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</si>
  <si>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</si>
  <si>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</si>
  <si>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</si>
  <si>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</si>
  <si>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</si>
  <si>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</si>
  <si>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</si>
  <si>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</si>
  <si>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</si>
  <si>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</si>
  <si>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</si>
  <si>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</si>
  <si>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</si>
  <si>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</si>
  <si>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</si>
  <si>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</si>
  <si>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</si>
  <si>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</si>
  <si>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</si>
  <si>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</si>
  <si>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</si>
  <si>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</si>
  <si>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</si>
  <si>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</si>
  <si>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</si>
  <si>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</si>
  <si>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</si>
  <si>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</si>
  <si>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</si>
  <si>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</si>
  <si>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</si>
  <si>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</si>
  <si>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</si>
  <si>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</si>
  <si>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</si>
  <si>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</si>
  <si>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</si>
  <si>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</si>
  <si>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</si>
  <si>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</si>
  <si>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</si>
  <si>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</si>
  <si>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</si>
  <si>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</si>
  <si>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</si>
  <si>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</si>
  <si>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</si>
  <si>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</si>
  <si>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</si>
  <si>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</si>
  <si>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</si>
  <si>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</si>
  <si>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</si>
  <si>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</si>
  <si>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</si>
  <si>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</si>
  <si>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</si>
  <si>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</si>
  <si>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</si>
  <si>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</si>
  <si>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</si>
  <si>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</si>
  <si>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</si>
  <si>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</si>
  <si>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</si>
  <si>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</si>
  <si>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</si>
  <si>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</si>
  <si>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</si>
  <si>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</si>
  <si>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</si>
  <si>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</si>
  <si>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</si>
  <si>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</si>
  <si>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</si>
  <si>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</si>
  <si>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</si>
  <si>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</si>
  <si>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</si>
  <si>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</si>
  <si>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</si>
  <si>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</si>
  <si>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</si>
  <si>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</si>
  <si>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</si>
  <si>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</si>
  <si>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</si>
  <si>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</si>
  <si>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</si>
  <si>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</si>
  <si>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</si>
  <si>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</si>
  <si>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</si>
  <si>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</si>
  <si>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</si>
  <si>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</si>
  <si>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</si>
  <si>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</si>
  <si>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</si>
  <si>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</si>
  <si>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</si>
  <si>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</si>
  <si>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</si>
  <si>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</si>
  <si>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</si>
  <si>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</si>
  <si>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</si>
  <si>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</si>
  <si>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</si>
  <si>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</si>
  <si>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</si>
  <si>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</si>
  <si>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</si>
  <si>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</si>
  <si>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</si>
  <si>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</si>
  <si>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</si>
  <si>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</si>
  <si>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</si>
  <si>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</si>
  <si>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</si>
  <si>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</si>
  <si>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</si>
  <si>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</si>
  <si>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</si>
  <si>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</si>
  <si>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</si>
  <si>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</si>
  <si>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</si>
  <si>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</si>
  <si>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</si>
  <si>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</si>
  <si>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</si>
  <si>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</si>
  <si>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</si>
  <si>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</si>
  <si>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</si>
  <si>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</si>
  <si>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</si>
  <si>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</si>
  <si>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</si>
  <si>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</si>
  <si>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</si>
  <si>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</si>
  <si>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</si>
  <si>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</si>
  <si>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</si>
  <si>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</si>
  <si>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</si>
  <si>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</si>
  <si>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</si>
  <si>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</si>
  <si>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</si>
  <si>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</si>
  <si>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</si>
  <si>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</si>
  <si>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</si>
  <si>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</si>
  <si>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</si>
  <si>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</si>
  <si>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</si>
  <si>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</si>
  <si>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</si>
  <si>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</si>
  <si>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</si>
  <si>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</si>
  <si>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</si>
  <si>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</si>
  <si>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</si>
  <si>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</si>
  <si>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</si>
  <si>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</si>
  <si>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</si>
  <si>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</si>
  <si>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</si>
  <si>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</si>
  <si>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</si>
  <si>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</si>
  <si>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</si>
  <si>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</si>
  <si>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</si>
  <si>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</si>
  <si>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</si>
  <si>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</si>
  <si>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</si>
  <si>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</si>
  <si>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</si>
  <si>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</si>
  <si>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</si>
  <si>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</si>
  <si>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</si>
  <si>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</si>
  <si>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</si>
  <si>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</si>
  <si>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</si>
  <si>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</si>
  <si>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</si>
  <si>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</si>
  <si>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</si>
  <si>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</si>
  <si>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</si>
  <si>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</si>
  <si>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</si>
  <si>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</si>
  <si>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</si>
  <si>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</si>
  <si>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</si>
  <si>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</si>
  <si>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</si>
  <si>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</si>
  <si>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</si>
  <si>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</si>
  <si>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</si>
  <si>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</si>
  <si>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</si>
  <si>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</si>
  <si>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</si>
  <si>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</si>
  <si>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</si>
  <si>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</si>
  <si>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</si>
  <si>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</si>
  <si>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</si>
  <si>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</si>
  <si>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</si>
  <si>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</si>
  <si>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</si>
  <si>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</si>
  <si>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</si>
  <si>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</si>
  <si>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</si>
  <si>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</si>
  <si>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</si>
  <si>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</si>
  <si>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</si>
  <si>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</si>
  <si>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</si>
  <si>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</si>
  <si>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</si>
  <si>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</si>
  <si>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</si>
  <si>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</si>
  <si>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</si>
  <si>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</si>
  <si>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</si>
  <si>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</si>
  <si>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</si>
  <si>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</si>
  <si>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</si>
  <si>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</si>
  <si>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</si>
  <si>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</si>
  <si>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</si>
  <si>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</si>
  <si>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</si>
  <si>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</si>
  <si>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</si>
  <si>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</si>
  <si>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</si>
  <si>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</si>
  <si>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</si>
  <si>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</si>
  <si>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</si>
  <si>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</si>
  <si>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</si>
  <si>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</si>
  <si>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</si>
  <si>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</si>
  <si>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</si>
  <si>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</si>
  <si>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</si>
  <si>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</si>
  <si>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</si>
  <si>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</si>
  <si>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</si>
  <si>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</si>
  <si>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</si>
  <si>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</si>
  <si>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</si>
  <si>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</si>
  <si>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</si>
  <si>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</si>
  <si>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</si>
  <si>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</si>
  <si>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</si>
  <si>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</si>
  <si>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</si>
  <si>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</si>
  <si>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</si>
  <si>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</si>
  <si>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</si>
  <si>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</si>
  <si>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</si>
  <si>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</si>
  <si>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</si>
  <si>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</si>
  <si>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</si>
  <si>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</si>
  <si>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</si>
  <si>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</si>
  <si>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</si>
  <si>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</si>
  <si>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</si>
  <si>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</si>
  <si>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</si>
  <si>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</si>
  <si>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</si>
  <si>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</si>
  <si>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</si>
  <si>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</si>
  <si>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</si>
  <si>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</si>
  <si>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</si>
  <si>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</si>
  <si>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</si>
  <si>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</si>
  <si>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</si>
  <si>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</si>
  <si>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</si>
  <si>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</si>
  <si>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</si>
  <si>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</si>
  <si>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</si>
  <si>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</si>
  <si>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</si>
  <si>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</si>
  <si>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</si>
  <si>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</si>
  <si>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</si>
  <si>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</si>
  <si>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</si>
  <si>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</si>
  <si>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</si>
  <si>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</si>
  <si>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</si>
  <si>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</si>
  <si>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</si>
  <si>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</si>
  <si>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</si>
  <si>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</si>
  <si>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</si>
  <si>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</si>
  <si>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</si>
  <si>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</si>
  <si>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</si>
  <si>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</si>
  <si>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</si>
  <si>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</si>
  <si>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</si>
  <si>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</si>
  <si>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</si>
  <si>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</si>
  <si>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</si>
  <si>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</si>
  <si>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</si>
  <si>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</si>
  <si>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</si>
  <si>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</si>
  <si>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</si>
  <si>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</si>
  <si>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</si>
  <si>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</si>
  <si>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</si>
  <si>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</si>
  <si>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</si>
  <si>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</si>
  <si>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</si>
  <si>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</si>
  <si>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</si>
  <si>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</si>
  <si>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</si>
  <si>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</si>
  <si>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</si>
  <si>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</si>
  <si>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</si>
  <si>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</si>
  <si>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</si>
  <si>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</si>
  <si>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</si>
  <si>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</si>
  <si>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</si>
  <si>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</si>
  <si>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</si>
  <si>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</si>
  <si>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</si>
  <si>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</si>
  <si>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</si>
  <si>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</si>
  <si>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</si>
  <si>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</si>
  <si>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</si>
  <si>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</si>
  <si>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</si>
  <si>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</si>
  <si>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</si>
  <si>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</si>
  <si>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</si>
  <si>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</si>
  <si>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</si>
  <si>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</si>
  <si>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</si>
  <si>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</si>
  <si>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</si>
  <si>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</si>
  <si>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</si>
  <si>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</si>
  <si>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</si>
  <si>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</si>
  <si>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</si>
  <si>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</si>
  <si>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</si>
  <si>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</si>
  <si>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</si>
  <si>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</si>
  <si>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</si>
  <si>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</si>
  <si>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</si>
  <si>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</si>
  <si>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</si>
  <si>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</si>
  <si>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</si>
  <si>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</si>
  <si>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</si>
  <si>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</si>
  <si>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</si>
  <si>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</si>
  <si>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</si>
  <si>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</si>
  <si>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</si>
  <si>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</si>
  <si>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</si>
  <si>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</si>
  <si>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</si>
  <si>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</si>
  <si>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</si>
  <si>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</si>
  <si>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</si>
  <si>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</si>
  <si>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</si>
  <si>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</si>
  <si>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</si>
  <si>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</si>
  <si>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</si>
  <si>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</si>
  <si>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</si>
  <si>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</si>
  <si>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</si>
  <si>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</si>
  <si>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</si>
  <si>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</si>
  <si>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</si>
  <si>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</si>
  <si>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</si>
  <si>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</si>
  <si>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</si>
  <si>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</si>
  <si>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</si>
  <si>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</si>
  <si>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</si>
  <si>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</si>
  <si>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</si>
  <si>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</si>
  <si>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</si>
  <si>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</si>
  <si>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</si>
  <si>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</si>
  <si>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</si>
  <si>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</si>
  <si>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</si>
  <si>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</si>
  <si>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</si>
  <si>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</si>
  <si>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</si>
  <si>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</si>
  <si>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</si>
  <si>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</si>
  <si>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</si>
  <si>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</si>
  <si>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</si>
  <si>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</si>
  <si>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</si>
  <si>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</si>
  <si>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</si>
  <si>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</si>
  <si>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</si>
  <si>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</si>
  <si>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</si>
  <si>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</si>
  <si>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</si>
  <si>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</si>
  <si>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</si>
  <si>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</si>
  <si>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</si>
  <si>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</si>
  <si>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</si>
  <si>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</si>
  <si>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</si>
  <si>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</si>
  <si>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</si>
  <si>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</si>
  <si>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</si>
  <si>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</si>
  <si>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</si>
  <si>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</si>
  <si>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</si>
  <si>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</si>
  <si>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</si>
  <si>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</si>
  <si>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</si>
  <si>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</si>
  <si>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</si>
  <si>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</si>
  <si>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</si>
  <si>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</si>
  <si>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</si>
  <si>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</si>
  <si>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</si>
  <si>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</si>
  <si>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</si>
  <si>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</si>
  <si>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</si>
  <si>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</si>
  <si>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</si>
  <si>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</si>
  <si>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</si>
  <si>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</si>
  <si>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</si>
  <si>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</si>
  <si>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</si>
  <si>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</si>
  <si>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</si>
  <si>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</si>
  <si>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</si>
  <si>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</si>
  <si>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</si>
  <si>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</si>
  <si>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</si>
  <si>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</si>
  <si>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</si>
  <si>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</si>
  <si>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</si>
  <si>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</si>
  <si>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</si>
  <si>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</si>
  <si>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</si>
  <si>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</si>
  <si>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</si>
  <si>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</si>
  <si>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</si>
  <si>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</si>
  <si>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</si>
  <si>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</si>
  <si>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</si>
  <si>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</si>
  <si>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</si>
  <si>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</si>
  <si>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</si>
  <si>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</si>
  <si>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</si>
  <si>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</si>
  <si>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</si>
  <si>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</si>
  <si>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</si>
  <si>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</si>
  <si>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</si>
  <si>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</si>
  <si>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</si>
  <si>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</si>
  <si>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</si>
  <si>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</si>
  <si>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</si>
  <si>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</si>
  <si>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</si>
  <si>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</si>
  <si>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</si>
  <si>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</si>
  <si>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</si>
  <si>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</si>
  <si>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</si>
  <si>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</si>
  <si>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</si>
  <si>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</si>
  <si>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</si>
  <si>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</si>
  <si>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</si>
  <si>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</si>
  <si>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</si>
  <si>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</si>
  <si>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</si>
  <si>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</si>
  <si>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</si>
  <si>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</si>
  <si>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</si>
  <si>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</si>
  <si>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</si>
  <si>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</si>
  <si>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</si>
  <si>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</si>
  <si>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</si>
  <si>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</si>
  <si>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</si>
  <si>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</si>
  <si>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</si>
  <si>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</si>
  <si>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</si>
  <si>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</si>
  <si>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</si>
  <si>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</si>
  <si>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</si>
  <si>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</si>
  <si>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</si>
  <si>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</si>
  <si>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</si>
  <si>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</si>
  <si>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</si>
  <si>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</si>
  <si>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</si>
  <si>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</si>
  <si>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</si>
  <si>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</si>
  <si>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</si>
  <si>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</si>
  <si>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</si>
  <si>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</si>
  <si>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</si>
  <si>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</si>
  <si>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</si>
  <si>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</si>
  <si>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</si>
  <si>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</si>
  <si>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</si>
  <si>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</si>
  <si>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</si>
  <si>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</si>
  <si>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</si>
  <si>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</si>
  <si>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</si>
  <si>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</si>
  <si>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</si>
  <si>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</si>
  <si>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</si>
  <si>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</si>
  <si>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</si>
  <si>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</si>
  <si>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</si>
  <si>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</si>
  <si>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</si>
  <si>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</si>
  <si>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</si>
  <si>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</si>
  <si>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</si>
  <si>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</si>
  <si>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</si>
  <si>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</si>
  <si>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</si>
  <si>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</si>
  <si>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</si>
  <si>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</si>
  <si>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</si>
  <si>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</si>
  <si>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</si>
  <si>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</si>
  <si>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</si>
  <si>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</si>
  <si>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</si>
  <si>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</si>
  <si>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</si>
  <si>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</si>
  <si>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</si>
  <si>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</si>
  <si>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</si>
  <si>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</si>
  <si>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</si>
  <si>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</si>
  <si>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</si>
  <si>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</si>
  <si>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</si>
  <si>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</si>
  <si>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</si>
  <si>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</si>
  <si>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</si>
  <si>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</si>
  <si>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</si>
  <si>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</si>
  <si>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</si>
  <si>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</si>
  <si>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</si>
  <si>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</si>
  <si>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</si>
  <si>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</si>
  <si>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</si>
  <si>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</si>
  <si>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</si>
  <si>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</si>
  <si>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</si>
  <si>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</si>
  <si>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</si>
  <si>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</si>
  <si>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</si>
  <si>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</si>
  <si>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</si>
  <si>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</si>
  <si>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</si>
  <si>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</si>
  <si>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</si>
  <si>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</si>
  <si>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</si>
  <si>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</si>
  <si>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</si>
  <si>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</si>
  <si>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</si>
  <si>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</si>
  <si>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</si>
  <si>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</si>
  <si>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</si>
  <si>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</si>
  <si>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</si>
  <si>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</si>
  <si>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</si>
  <si>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</si>
  <si>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</si>
  <si>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</si>
  <si>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</si>
  <si>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</si>
  <si>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</si>
  <si>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</si>
  <si>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</si>
  <si>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</si>
  <si>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</si>
  <si>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</si>
  <si>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</si>
  <si>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</si>
  <si>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</si>
  <si>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</si>
  <si>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</si>
  <si>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</si>
  <si>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</si>
  <si>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</si>
  <si>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</si>
  <si>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</si>
  <si>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</si>
  <si>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</si>
  <si>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</si>
  <si>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</si>
  <si>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</si>
  <si>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</si>
  <si>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</si>
  <si>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</si>
  <si>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</si>
  <si>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</si>
  <si>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</si>
  <si>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</si>
  <si>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</si>
  <si>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</si>
  <si>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</si>
  <si>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</si>
  <si>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</si>
  <si>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</si>
  <si>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</si>
  <si>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</si>
  <si>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</si>
  <si>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</si>
  <si>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</si>
  <si>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</si>
  <si>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</si>
  <si>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</si>
  <si>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</si>
  <si>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</si>
  <si>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</si>
  <si>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</si>
  <si>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</si>
  <si>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</si>
  <si>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</si>
  <si>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</si>
  <si>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</si>
  <si>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</si>
  <si>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</si>
  <si>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</si>
  <si>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</si>
  <si>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</si>
  <si>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</si>
  <si>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</si>
  <si>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</si>
  <si>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</si>
  <si>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</si>
  <si>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</si>
  <si>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</si>
  <si>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</si>
  <si>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</si>
  <si>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</si>
  <si>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</si>
  <si>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</si>
  <si>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</si>
  <si>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</si>
  <si>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</si>
  <si>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</si>
  <si>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</si>
  <si>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</si>
  <si>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</si>
  <si>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</si>
  <si>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</si>
  <si>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</si>
  <si>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</si>
  <si>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</si>
  <si>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</si>
  <si>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</si>
  <si>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</si>
  <si>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</si>
  <si>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</si>
  <si>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</si>
  <si>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</si>
  <si>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</si>
  <si>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</si>
  <si>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</si>
  <si>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</si>
  <si>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</si>
  <si>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</si>
  <si>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</si>
  <si>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</si>
  <si>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</si>
  <si>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</si>
  <si>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</si>
  <si>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</si>
  <si>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</si>
  <si>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</si>
  <si>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</si>
  <si>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</si>
  <si>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</si>
  <si>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</si>
  <si>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</si>
  <si>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</si>
  <si>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</si>
  <si>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</si>
  <si>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</si>
  <si>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</si>
  <si>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</si>
  <si>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</si>
  <si>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</si>
  <si>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</si>
  <si>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</si>
  <si>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</si>
  <si>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</si>
  <si>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</si>
  <si>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</si>
  <si>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</si>
  <si>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</si>
  <si>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</si>
  <si>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</si>
  <si>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</si>
  <si>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</si>
  <si>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</si>
  <si>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</si>
  <si>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</si>
  <si>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</si>
  <si>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</si>
  <si>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</si>
  <si>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</si>
  <si>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</si>
  <si>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</si>
  <si>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</si>
  <si>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</si>
  <si>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</si>
  <si>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</si>
  <si>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</si>
  <si>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</si>
  <si>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</si>
  <si>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</si>
  <si>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</si>
  <si>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</si>
  <si>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</si>
  <si>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</si>
  <si>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</si>
  <si>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</si>
  <si>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</si>
  <si>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</si>
  <si>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</si>
  <si>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</si>
  <si>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</si>
  <si>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</si>
  <si>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</si>
  <si>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</si>
  <si>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</si>
  <si>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</si>
  <si>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</si>
  <si>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</si>
  <si>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</si>
  <si>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</si>
  <si>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</si>
  <si>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</si>
  <si>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</si>
  <si>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</si>
  <si>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</si>
  <si>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</si>
  <si>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</si>
  <si>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</si>
  <si>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</si>
  <si>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</si>
  <si>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</si>
  <si>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</si>
  <si>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</si>
  <si>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</si>
  <si>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</si>
  <si>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</si>
  <si>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</si>
  <si>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</si>
  <si>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</si>
  <si>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</si>
  <si>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</si>
  <si>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</si>
  <si>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</si>
  <si>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</si>
  <si>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</si>
  <si>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</si>
  <si>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</si>
  <si>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</si>
  <si>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</si>
  <si>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</si>
  <si>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</si>
  <si>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</si>
  <si>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</si>
  <si>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</si>
  <si>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</si>
  <si>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</si>
  <si>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</si>
  <si>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</si>
  <si>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</si>
  <si>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</si>
  <si>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</si>
  <si>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</si>
  <si>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</si>
  <si>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</si>
  <si>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</si>
  <si>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</si>
  <si>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</si>
  <si>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</si>
  <si>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</si>
  <si>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</si>
  <si>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</si>
  <si>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</si>
  <si>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</si>
  <si>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</si>
  <si>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</si>
  <si>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</si>
  <si>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</si>
  <si>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</si>
  <si>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</si>
  <si>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</si>
  <si>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</si>
  <si>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</si>
  <si>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</si>
  <si>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</si>
  <si>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</si>
  <si>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</si>
  <si>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</si>
  <si>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</si>
  <si>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</si>
  <si>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</si>
  <si>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</si>
  <si>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</si>
  <si>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</si>
  <si>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</si>
  <si>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</si>
  <si>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</si>
  <si>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</si>
  <si>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</si>
  <si>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</si>
  <si>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</si>
  <si>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</si>
  <si>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</si>
  <si>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</si>
  <si>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</si>
  <si>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</si>
  <si>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</si>
  <si>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</si>
  <si>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</si>
  <si>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</si>
  <si>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</si>
  <si>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</si>
  <si>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</si>
  <si>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</si>
  <si>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</si>
  <si>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</si>
  <si>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</si>
  <si>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</si>
  <si>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</si>
  <si>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</si>
  <si>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</si>
  <si>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</si>
  <si>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</si>
  <si>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</si>
  <si>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</si>
  <si>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</si>
  <si>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</si>
  <si>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</si>
  <si>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</si>
  <si>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</si>
  <si>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</si>
  <si>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</si>
  <si>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</si>
  <si>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</si>
  <si>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北京市</t>
  </si>
  <si>
    <t>企业</t>
  </si>
  <si>
    <t>出让</t>
  </si>
  <si>
    <t>居住项目</t>
  </si>
  <si>
    <t>现房</t>
  </si>
  <si>
    <t>通路</t>
  </si>
  <si>
    <t>通电</t>
  </si>
  <si>
    <t>通讯</t>
  </si>
  <si>
    <t>通上水</t>
  </si>
  <si>
    <t>通下水</t>
  </si>
  <si>
    <t>通热</t>
  </si>
  <si>
    <t>燃气</t>
  </si>
  <si>
    <t>住宅</t>
  </si>
  <si>
    <t>居住用地（指二类居住用地）</t>
  </si>
  <si>
    <r>
      <t>1001</t>
    </r>
    <r>
      <rPr>
        <sz val="10"/>
        <color indexed="8"/>
        <rFont val="宋体"/>
        <family val="3"/>
        <charset val="134"/>
      </rPr>
      <t>号住宅</t>
    </r>
    <phoneticPr fontId="3" type="noConversion"/>
  </si>
  <si>
    <t>是</t>
  </si>
  <si>
    <t>地上</t>
  </si>
  <si>
    <r>
      <t>1002号住宅</t>
    </r>
    <r>
      <rPr>
        <sz val="10"/>
        <color indexed="8"/>
        <rFont val="宋体"/>
        <family val="3"/>
        <charset val="134"/>
      </rPr>
      <t/>
    </r>
  </si>
  <si>
    <r>
      <t>1003号住宅</t>
    </r>
    <r>
      <rPr>
        <sz val="10"/>
        <color indexed="8"/>
        <rFont val="宋体"/>
        <family val="3"/>
        <charset val="134"/>
      </rPr>
      <t/>
    </r>
  </si>
  <si>
    <r>
      <t>1101</t>
    </r>
    <r>
      <rPr>
        <sz val="10"/>
        <color indexed="8"/>
        <rFont val="宋体"/>
        <family val="3"/>
        <charset val="134"/>
      </rPr>
      <t>号住宅</t>
    </r>
    <phoneticPr fontId="3" type="noConversion"/>
  </si>
  <si>
    <r>
      <t>1102号住宅</t>
    </r>
    <r>
      <rPr>
        <sz val="10"/>
        <color indexed="8"/>
        <rFont val="宋体"/>
        <family val="3"/>
        <charset val="134"/>
      </rPr>
      <t/>
    </r>
  </si>
  <si>
    <r>
      <t>1103号住宅</t>
    </r>
    <r>
      <rPr>
        <sz val="10"/>
        <color indexed="8"/>
        <rFont val="宋体"/>
        <family val="3"/>
        <charset val="134"/>
      </rPr>
      <t/>
    </r>
  </si>
  <si>
    <r>
      <t>1201</t>
    </r>
    <r>
      <rPr>
        <sz val="10"/>
        <color indexed="8"/>
        <rFont val="宋体"/>
        <family val="3"/>
        <charset val="134"/>
      </rPr>
      <t>号住宅</t>
    </r>
    <phoneticPr fontId="3" type="noConversion"/>
  </si>
  <si>
    <t>否</t>
    <phoneticPr fontId="3" type="noConversion"/>
  </si>
  <si>
    <r>
      <t>1001</t>
    </r>
    <r>
      <rPr>
        <sz val="10"/>
        <color indexed="8"/>
        <rFont val="宋体"/>
        <family val="3"/>
        <charset val="134"/>
      </rPr>
      <t>号住宅</t>
    </r>
    <phoneticPr fontId="7" type="noConversion"/>
  </si>
  <si>
    <t>成新度</t>
  </si>
  <si>
    <t>无</t>
  </si>
  <si>
    <t>有</t>
  </si>
  <si>
    <t>500-1000米</t>
  </si>
  <si>
    <t>七通一平</t>
  </si>
  <si>
    <t>一致</t>
  </si>
  <si>
    <t>按公示增长率计算</t>
  </si>
  <si>
    <t>容积率修正</t>
  </si>
  <si>
    <r>
      <t>2011</t>
    </r>
    <r>
      <rPr>
        <sz val="10"/>
        <color indexed="8"/>
        <rFont val="宋体"/>
        <family val="3"/>
        <charset val="134"/>
      </rPr>
      <t>年建成</t>
    </r>
    <phoneticPr fontId="3" type="noConversion"/>
  </si>
  <si>
    <t>自定义容积率</t>
  </si>
  <si>
    <t>好</t>
  </si>
  <si>
    <t>较好</t>
  </si>
  <si>
    <t>未包含在土地购买价格中</t>
  </si>
  <si>
    <t>已包含在土地取得成本中</t>
  </si>
  <si>
    <t>1001号住宅</t>
  </si>
  <si>
    <t>正常</t>
  </si>
  <si>
    <t>比较法-住宅</t>
  </si>
  <si>
    <t>成本法 (元)</t>
  </si>
  <si>
    <t>1002号住宅</t>
  </si>
  <si>
    <t>1003号住宅</t>
  </si>
  <si>
    <t>1101号住宅</t>
  </si>
  <si>
    <t>1102号住宅</t>
  </si>
  <si>
    <t>1103号住宅</t>
  </si>
  <si>
    <t>1201号住宅</t>
  </si>
  <si>
    <t>西单上国阙</t>
    <phoneticPr fontId="3" type="noConversion"/>
  </si>
  <si>
    <t>西城晶华</t>
    <phoneticPr fontId="3" type="noConversion"/>
  </si>
  <si>
    <t>住宅</t>
    <phoneticPr fontId="25" type="noConversion"/>
  </si>
  <si>
    <t>50-60（含）</t>
  </si>
  <si>
    <t>七通</t>
  </si>
  <si>
    <t>中骏天宸</t>
    <phoneticPr fontId="3" type="noConversion"/>
  </si>
  <si>
    <t>60-70（含）</t>
  </si>
  <si>
    <t>高区</t>
    <phoneticPr fontId="25" type="noConversion"/>
  </si>
  <si>
    <t>中区</t>
  </si>
  <si>
    <t>中区</t>
    <phoneticPr fontId="25" type="noConversion"/>
  </si>
  <si>
    <t>低区</t>
    <phoneticPr fontId="25" type="noConversion"/>
  </si>
  <si>
    <t>普通住宅</t>
  </si>
  <si>
    <t>普通住宅</t>
    <phoneticPr fontId="25" type="noConversion"/>
  </si>
  <si>
    <t>钢混</t>
  </si>
  <si>
    <t>钢混</t>
    <phoneticPr fontId="25" type="noConversion"/>
  </si>
  <si>
    <t>高档</t>
  </si>
  <si>
    <t>高档</t>
    <phoneticPr fontId="25" type="noConversion"/>
  </si>
  <si>
    <t>精装</t>
  </si>
  <si>
    <t>精装</t>
    <phoneticPr fontId="25" type="noConversion"/>
  </si>
  <si>
    <t>专业</t>
  </si>
  <si>
    <t>专业</t>
    <phoneticPr fontId="25" type="noConversion"/>
  </si>
  <si>
    <t>七通</t>
    <phoneticPr fontId="25" type="noConversion"/>
  </si>
  <si>
    <t>毛坯</t>
  </si>
  <si>
    <t>精装</t>
    <phoneticPr fontId="3" type="noConversion"/>
  </si>
  <si>
    <t>普装</t>
    <phoneticPr fontId="3" type="noConversion"/>
  </si>
  <si>
    <t>简装</t>
    <phoneticPr fontId="3" type="noConversion"/>
  </si>
  <si>
    <t>毛坯</t>
    <phoneticPr fontId="3" type="noConversion"/>
  </si>
  <si>
    <t>项目状态</t>
    <phoneticPr fontId="25" type="noConversion"/>
  </si>
  <si>
    <t>现房</t>
    <phoneticPr fontId="25" type="noConversion"/>
  </si>
  <si>
    <t>期房</t>
    <phoneticPr fontId="25" type="noConversion"/>
  </si>
  <si>
    <t>现房</t>
    <phoneticPr fontId="25" type="noConversion"/>
  </si>
  <si>
    <t>楼层</t>
    <phoneticPr fontId="25" type="noConversion"/>
  </si>
  <si>
    <t>0-100</t>
    <phoneticPr fontId="25" type="noConversion"/>
  </si>
  <si>
    <t>100-200</t>
    <phoneticPr fontId="25" type="noConversion"/>
  </si>
  <si>
    <t>200-300</t>
    <phoneticPr fontId="25" type="noConversion"/>
  </si>
  <si>
    <t>300-400</t>
    <phoneticPr fontId="25" type="noConversion"/>
  </si>
  <si>
    <t>400-500</t>
    <phoneticPr fontId="25" type="noConversion"/>
  </si>
  <si>
    <t>166.41</t>
    <phoneticPr fontId="25" type="noConversion"/>
  </si>
  <si>
    <t>259</t>
    <phoneticPr fontId="25" type="noConversion"/>
  </si>
  <si>
    <t>281</t>
    <phoneticPr fontId="25" type="noConversion"/>
  </si>
  <si>
    <t>88.62</t>
    <phoneticPr fontId="25" type="noConversion"/>
  </si>
  <si>
    <t>100-200</t>
    <phoneticPr fontId="25" type="noConversion"/>
  </si>
  <si>
    <t>楼层</t>
    <phoneticPr fontId="3" type="noConversion"/>
  </si>
  <si>
    <t>高区</t>
    <phoneticPr fontId="25" type="noConversion"/>
  </si>
  <si>
    <t>中区</t>
    <phoneticPr fontId="25" type="noConversion"/>
  </si>
  <si>
    <t>低区</t>
    <phoneticPr fontId="25" type="noConversion"/>
  </si>
  <si>
    <t>序号</t>
  </si>
  <si>
    <t>《房屋所有权证》证号</t>
  </si>
  <si>
    <t>房屋坐落</t>
  </si>
  <si>
    <t>建筑面积</t>
  </si>
  <si>
    <t>规划用途</t>
  </si>
  <si>
    <r>
      <t>X</t>
    </r>
    <r>
      <rPr>
        <sz val="9"/>
        <color rgb="FF000000"/>
        <rFont val="宋体"/>
        <family val="3"/>
        <charset val="134"/>
      </rPr>
      <t>京房权证西字第</t>
    </r>
    <r>
      <rPr>
        <sz val="9"/>
        <color rgb="FF000000"/>
        <rFont val="Arial"/>
        <family val="2"/>
      </rPr>
      <t>140243</t>
    </r>
    <r>
      <rPr>
        <sz val="9"/>
        <color rgb="FF000000"/>
        <rFont val="宋体"/>
        <family val="3"/>
        <charset val="134"/>
      </rPr>
      <t>号</t>
    </r>
    <phoneticPr fontId="143" type="noConversion"/>
  </si>
  <si>
    <r>
      <t>X</t>
    </r>
    <r>
      <rPr>
        <sz val="9"/>
        <color rgb="FF000000"/>
        <rFont val="宋体"/>
        <family val="3"/>
        <charset val="134"/>
      </rPr>
      <t>京房权证西字第</t>
    </r>
    <r>
      <rPr>
        <sz val="9"/>
        <color rgb="FF000000"/>
        <rFont val="Arial"/>
        <family val="2"/>
      </rPr>
      <t>140245</t>
    </r>
    <r>
      <rPr>
        <sz val="9"/>
        <color rgb="FF000000"/>
        <rFont val="宋体"/>
        <family val="3"/>
        <charset val="134"/>
      </rPr>
      <t>号</t>
    </r>
    <phoneticPr fontId="143" type="noConversion"/>
  </si>
  <si>
    <r>
      <t>X</t>
    </r>
    <r>
      <rPr>
        <sz val="9"/>
        <color rgb="FF000000"/>
        <rFont val="宋体"/>
        <family val="3"/>
        <charset val="134"/>
      </rPr>
      <t>京房权证西字第</t>
    </r>
    <r>
      <rPr>
        <sz val="9"/>
        <color rgb="FF000000"/>
        <rFont val="Arial"/>
        <family val="2"/>
      </rPr>
      <t>140246</t>
    </r>
    <r>
      <rPr>
        <sz val="9"/>
        <color rgb="FF000000"/>
        <rFont val="宋体"/>
        <family val="3"/>
        <charset val="134"/>
      </rPr>
      <t>号</t>
    </r>
    <phoneticPr fontId="143" type="noConversion"/>
  </si>
  <si>
    <r>
      <t>X</t>
    </r>
    <r>
      <rPr>
        <sz val="9"/>
        <color rgb="FF000000"/>
        <rFont val="宋体"/>
        <family val="3"/>
        <charset val="134"/>
      </rPr>
      <t>京房权证西字第</t>
    </r>
    <r>
      <rPr>
        <sz val="9"/>
        <color rgb="FF000000"/>
        <rFont val="Arial"/>
        <family val="2"/>
      </rPr>
      <t>140272</t>
    </r>
    <r>
      <rPr>
        <sz val="9"/>
        <color rgb="FF000000"/>
        <rFont val="宋体"/>
        <family val="3"/>
        <charset val="134"/>
      </rPr>
      <t>号</t>
    </r>
    <phoneticPr fontId="143" type="noConversion"/>
  </si>
  <si>
    <r>
      <t>X</t>
    </r>
    <r>
      <rPr>
        <sz val="9"/>
        <color rgb="FF000000"/>
        <rFont val="宋体"/>
        <family val="3"/>
        <charset val="134"/>
      </rPr>
      <t>京房权证西字第</t>
    </r>
    <r>
      <rPr>
        <sz val="9"/>
        <color rgb="FF000000"/>
        <rFont val="Arial"/>
        <family val="2"/>
      </rPr>
      <t>140273</t>
    </r>
    <r>
      <rPr>
        <sz val="9"/>
        <color rgb="FF000000"/>
        <rFont val="宋体"/>
        <family val="3"/>
        <charset val="134"/>
      </rPr>
      <t>号</t>
    </r>
    <phoneticPr fontId="143" type="noConversion"/>
  </si>
  <si>
    <r>
      <t>X</t>
    </r>
    <r>
      <rPr>
        <sz val="9"/>
        <color rgb="FF000000"/>
        <rFont val="宋体"/>
        <family val="3"/>
        <charset val="134"/>
      </rPr>
      <t>京房权证西字第</t>
    </r>
    <r>
      <rPr>
        <sz val="9"/>
        <color rgb="FF000000"/>
        <rFont val="Arial"/>
        <family val="2"/>
      </rPr>
      <t>140284</t>
    </r>
    <r>
      <rPr>
        <sz val="9"/>
        <color rgb="FF000000"/>
        <rFont val="宋体"/>
        <family val="3"/>
        <charset val="134"/>
      </rPr>
      <t>号</t>
    </r>
    <phoneticPr fontId="143" type="noConversion"/>
  </si>
  <si>
    <r>
      <t>X</t>
    </r>
    <r>
      <rPr>
        <sz val="9"/>
        <color rgb="FF000000"/>
        <rFont val="宋体"/>
        <family val="3"/>
        <charset val="134"/>
      </rPr>
      <t>京房权证西字第</t>
    </r>
    <r>
      <rPr>
        <sz val="9"/>
        <color rgb="FF000000"/>
        <rFont val="Arial"/>
        <family val="2"/>
      </rPr>
      <t>140503</t>
    </r>
    <r>
      <rPr>
        <sz val="9"/>
        <color rgb="FF000000"/>
        <rFont val="宋体"/>
        <family val="3"/>
        <charset val="134"/>
      </rPr>
      <t>号</t>
    </r>
    <phoneticPr fontId="143" type="noConversion"/>
  </si>
  <si>
    <t>西城区真武庙路二条10号楼9层2单元1001</t>
    <phoneticPr fontId="143" type="noConversion"/>
  </si>
  <si>
    <t>西城区真武庙路二条10号楼9层2单元1002</t>
    <phoneticPr fontId="143" type="noConversion"/>
  </si>
  <si>
    <t>西城区真武庙路二条10号楼9层2单元1003</t>
    <phoneticPr fontId="143" type="noConversion"/>
  </si>
  <si>
    <t>西城区真武庙路二条10号楼10层2单元1101</t>
    <phoneticPr fontId="143" type="noConversion"/>
  </si>
  <si>
    <t>西城区真武庙路二条10号楼10层2单元1102</t>
    <phoneticPr fontId="143" type="noConversion"/>
  </si>
  <si>
    <t>西城区真武庙路二条10号楼10层2单元1103</t>
    <phoneticPr fontId="143" type="noConversion"/>
  </si>
  <si>
    <t>西城区真武庙路二条10号楼11层2单元1201</t>
    <phoneticPr fontId="143" type="noConversion"/>
  </si>
  <si>
    <t>朝向</t>
    <phoneticPr fontId="3" type="noConversion"/>
  </si>
  <si>
    <t>南北</t>
  </si>
  <si>
    <t>南北</t>
    <phoneticPr fontId="25" type="noConversion"/>
  </si>
  <si>
    <t>南</t>
  </si>
  <si>
    <t>南</t>
    <phoneticPr fontId="25" type="noConversion"/>
  </si>
  <si>
    <t>东南</t>
    <phoneticPr fontId="25" type="noConversion"/>
  </si>
  <si>
    <t>西南</t>
    <phoneticPr fontId="25" type="noConversion"/>
  </si>
  <si>
    <t>西</t>
    <phoneticPr fontId="25" type="noConversion"/>
  </si>
  <si>
    <t>东西</t>
    <phoneticPr fontId="25" type="noConversion"/>
  </si>
  <si>
    <t>东</t>
    <phoneticPr fontId="25" type="noConversion"/>
  </si>
  <si>
    <t>北</t>
    <phoneticPr fontId="25" type="noConversion"/>
  </si>
  <si>
    <t>东北</t>
  </si>
  <si>
    <t>东北</t>
    <phoneticPr fontId="25" type="noConversion"/>
  </si>
  <si>
    <t>西北</t>
    <phoneticPr fontId="25" type="noConversion"/>
  </si>
  <si>
    <t>结果表-2</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</si>
  <si>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</si>
  <si>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r>
      <t>(</t>
    </r>
    <r>
      <rPr>
        <sz val="9"/>
        <color theme="1"/>
        <rFont val="华文细黑"/>
        <family val="3"/>
        <charset val="134"/>
      </rPr>
      <t>分摊</t>
    </r>
    <r>
      <rPr>
        <sz val="9"/>
        <color theme="1"/>
        <rFont val="Arial"/>
        <family val="2"/>
      </rPr>
      <t>)</t>
    </r>
    <r>
      <rPr>
        <sz val="9"/>
        <color theme="1"/>
        <rFont val="华文细黑"/>
        <family val="3"/>
        <charset val="134"/>
      </rPr>
      <t>土地面积</t>
    </r>
  </si>
  <si>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</si>
  <si>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</si>
  <si>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</si>
  <si>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</si>
  <si>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</si>
  <si>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</si>
  <si>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北京市朝阳区裕民路</t>
    </r>
    <r>
      <rPr>
        <sz val="9"/>
        <color theme="1"/>
        <rFont val="Arial"/>
        <family val="2"/>
      </rPr>
      <t>12</t>
    </r>
    <r>
      <rPr>
        <sz val="9"/>
        <color theme="1"/>
        <rFont val="华文细黑"/>
        <family val="3"/>
        <charset val="134"/>
      </rPr>
      <t>号（中国国际科技会展中心）出让国有建设用地使用权及在建建筑物房地产（中国国际科技会展中心）出让国有建设用地使用权及在建建筑物房地产</t>
    </r>
  </si>
  <si>
    <r>
      <t>估价对象</t>
    </r>
    <r>
      <rPr>
        <sz val="9"/>
        <color rgb="FFE36C0A"/>
        <rFont val="Arial"/>
        <family val="2"/>
      </rPr>
      <t>2</t>
    </r>
  </si>
  <si>
    <t>大写金额</t>
  </si>
  <si>
    <t>贰亿柒仟捌佰壹拾肆万元整</t>
  </si>
  <si>
    <t>壹亿柒仟玖佰叁拾叁万元整</t>
  </si>
  <si>
    <t>肆亿伍仟捌佰玖拾玖万元整</t>
  </si>
  <si>
    <t>估价师知悉的法定优先受偿款</t>
  </si>
  <si>
    <t>零元整</t>
  </si>
  <si>
    <t>肆亿伍仟柒佰肆拾柒万元整</t>
  </si>
  <si>
    <t>贰亿陆仟伍佰贰拾肆万元整</t>
  </si>
  <si>
    <r>
      <t>单位：平方米、万元、元</t>
    </r>
    <r>
      <rPr>
        <sz val="9"/>
        <color theme="1"/>
        <rFont val="Arial"/>
        <family val="2"/>
      </rPr>
      <t>/</t>
    </r>
    <r>
      <rPr>
        <sz val="9"/>
        <color theme="1"/>
        <rFont val="华文细黑"/>
        <family val="3"/>
        <charset val="134"/>
      </rPr>
      <t>平方米（币种：人民币）</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</si>
</sst>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华文细黑"/>
      <family val="3"/>
      <charset val="134"/>
    </font>
    <font>
      <sz val="9"/>
      <color rgb="FF000000"/>
      <name val="Arial"/>
      <family val="2"/>
    </font>
    <font>
      <sz val="9"/>
      <color rgb="FF000000"/>
      <name val="宋体"/>
      <family val="3"/>
      <charset val="134"/>
    </font>
    <font>
      <sz val="12"/>
      <color theme="1"/>
      <name val="方正黑体简体"/>
      <family val="3"/>
      <charset val="134"/>
    </font>
    <font>
      <sz val="9"/>
      <color theme="1"/>
      <name val="华文细黑"/>
      <family val="3"/>
      <charset val="134"/>
    </font>
    <font>
      <sz val="9"/>
      <color theme="1"/>
      <name val="Arial"/>
      <family val="2"/>
    </font>
    <font>
      <sz val="9"/>
      <color rgb="FFE36C0A"/>
      <name val="Arial"/>
      <family val="2"/>
    </font>
    <font>
      <sz val="9"/>
      <color rgb="FFE36C0A"/>
      <name val="华文细黑"/>
      <family val="3"/>
      <charset val="134"/>
    </font>
    <font>
      <b/>
      <sz val="9"/>
      <color theme="1"/>
      <name val="华文细黑"/>
      <family val="3"/>
      <charset val="134"/>
    </font>
    <font>
      <b/>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000000"/>
      </right>
      <top style="medium">
        <color indexed="64"/>
      </top>
      <bottom style="medium">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80" fillId="2" borderId="2" xfId="0" applyFont="1" applyFill="1" applyBorder="1" applyAlignment="1" applyProtection="1">
      <alignment horizontal="center" vertical="center" wrapText="1"/>
      <protection locked="0"/>
    </xf>
    <xf numFmtId="9" fontId="50" fillId="6" borderId="0" xfId="0" applyNumberFormat="1" applyFont="1" applyFill="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54" fillId="0" borderId="82" xfId="0" applyFont="1" applyBorder="1" applyAlignment="1">
      <alignment horizontal="justify" vertical="center" wrapText="1"/>
    </xf>
    <xf numFmtId="0" fontId="254" fillId="0" borderId="65" xfId="0" applyFont="1" applyBorder="1" applyAlignment="1">
      <alignment horizontal="justify" vertical="center" wrapText="1"/>
    </xf>
    <xf numFmtId="0" fontId="255" fillId="0" borderId="81" xfId="0" applyFont="1" applyBorder="1" applyAlignment="1">
      <alignment horizontal="justify" vertical="center" wrapText="1"/>
    </xf>
    <xf numFmtId="0" fontId="255" fillId="0" borderId="43" xfId="0" applyFont="1" applyBorder="1" applyAlignment="1">
      <alignment horizontal="justify" vertical="center" wrapText="1"/>
    </xf>
    <xf numFmtId="0" fontId="254" fillId="0" borderId="43" xfId="0" applyFont="1" applyBorder="1" applyAlignment="1">
      <alignment horizontal="justify" vertical="center" wrapText="1"/>
    </xf>
    <xf numFmtId="0" fontId="255" fillId="0" borderId="43" xfId="0" applyFont="1" applyBorder="1" applyAlignment="1">
      <alignment horizontal="justify" vertical="center"/>
    </xf>
    <xf numFmtId="0" fontId="254" fillId="0" borderId="43" xfId="0" applyFont="1" applyBorder="1" applyAlignment="1">
      <alignment horizontal="justify" vertical="center"/>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257" fillId="0" borderId="0" xfId="0" applyFont="1" applyAlignment="1">
      <alignment horizontal="center" vertical="center"/>
    </xf>
    <xf numFmtId="0" fontId="258" fillId="0" borderId="0" xfId="0" applyFont="1">
      <alignment vertical="center"/>
    </xf>
    <xf numFmtId="0" fontId="258" fillId="0" borderId="160" xfId="0" applyFont="1" applyBorder="1" applyAlignment="1">
      <alignment vertical="center" wrapText="1"/>
    </xf>
    <xf numFmtId="0" fontId="258" fillId="0" borderId="158" xfId="0" applyFont="1" applyBorder="1" applyAlignment="1">
      <alignment vertical="center" wrapText="1"/>
    </xf>
    <xf numFmtId="0" fontId="259" fillId="0" borderId="160" xfId="0" applyFont="1" applyBorder="1" applyAlignment="1">
      <alignment vertical="center" wrapText="1"/>
    </xf>
    <xf numFmtId="0" fontId="261" fillId="0" borderId="158" xfId="0" applyFont="1" applyBorder="1" applyAlignment="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54" fillId="0" borderId="63" xfId="0" applyFont="1" applyBorder="1" applyAlignment="1">
      <alignment horizontal="justify" vertical="center" wrapText="1"/>
    </xf>
    <xf numFmtId="0" fontId="254" fillId="0" borderId="64" xfId="0" applyFont="1" applyBorder="1" applyAlignment="1">
      <alignment horizontal="justify" vertical="center" wrapText="1"/>
    </xf>
    <xf numFmtId="0" fontId="254" fillId="0" borderId="156" xfId="0" applyFont="1" applyBorder="1" applyAlignment="1">
      <alignment horizontal="justify" vertical="center" wrapText="1"/>
    </xf>
    <xf numFmtId="0" fontId="258" fillId="0" borderId="157" xfId="0" applyFont="1" applyBorder="1" applyAlignment="1">
      <alignment vertical="center" wrapText="1"/>
    </xf>
    <xf numFmtId="0" fontId="258" fillId="0" borderId="158" xfId="0" applyFont="1" applyBorder="1" applyAlignment="1">
      <alignment vertical="center" wrapText="1"/>
    </xf>
    <xf numFmtId="0" fontId="259" fillId="0" borderId="157" xfId="0" applyFont="1" applyBorder="1" applyAlignment="1">
      <alignment vertical="center" wrapText="1"/>
    </xf>
    <xf numFmtId="0" fontId="259" fillId="0" borderId="158" xfId="0" applyFont="1" applyBorder="1" applyAlignment="1">
      <alignment vertical="center" wrapText="1"/>
    </xf>
    <xf numFmtId="0" fontId="258" fillId="0" borderId="161" xfId="0" applyFont="1" applyBorder="1" applyAlignment="1">
      <alignment vertical="center" wrapText="1"/>
    </xf>
    <xf numFmtId="0" fontId="258" fillId="0" borderId="159" xfId="0" applyFont="1" applyBorder="1" applyAlignment="1">
      <alignment vertical="center" wrapText="1"/>
    </xf>
    <xf numFmtId="0" fontId="258" fillId="0" borderId="162" xfId="0" applyFont="1" applyBorder="1" applyAlignment="1">
      <alignment vertical="center" wrapText="1"/>
    </xf>
    <xf numFmtId="0" fontId="258" fillId="0" borderId="163" xfId="0" applyFont="1" applyBorder="1" applyAlignment="1">
      <alignment vertical="center" wrapText="1"/>
    </xf>
    <xf numFmtId="0" fontId="258" fillId="0" borderId="164" xfId="0" applyFont="1" applyBorder="1" applyAlignment="1">
      <alignment vertical="center" wrapText="1"/>
    </xf>
    <xf numFmtId="0" fontId="262" fillId="0" borderId="162" xfId="0" applyFont="1" applyBorder="1" applyAlignment="1">
      <alignment vertical="center" wrapText="1"/>
    </xf>
    <xf numFmtId="0" fontId="262" fillId="0" borderId="163" xfId="0" applyFont="1" applyBorder="1" applyAlignment="1">
      <alignment vertical="center" wrapText="1"/>
    </xf>
    <xf numFmtId="0" fontId="262" fillId="0" borderId="164" xfId="0" applyFont="1" applyBorder="1" applyAlignment="1">
      <alignment vertical="center" wrapText="1"/>
    </xf>
    <xf numFmtId="0" fontId="263" fillId="0" borderId="162" xfId="0" applyFont="1" applyBorder="1" applyAlignment="1">
      <alignment vertical="center" wrapText="1"/>
    </xf>
    <xf numFmtId="0" fontId="263" fillId="0" borderId="163" xfId="0" applyFont="1" applyBorder="1" applyAlignment="1">
      <alignment vertical="center" wrapText="1"/>
    </xf>
    <xf numFmtId="0" fontId="263" fillId="0" borderId="164" xfId="0" applyFont="1" applyBorder="1" applyAlignment="1">
      <alignment vertical="center" wrapText="1"/>
    </xf>
    <xf numFmtId="0" fontId="258" fillId="0" borderId="165" xfId="0" applyFont="1" applyBorder="1" applyAlignment="1">
      <alignment vertical="center" wrapText="1"/>
    </xf>
    <xf numFmtId="0" fontId="258" fillId="0" borderId="166" xfId="0" applyFont="1" applyBorder="1" applyAlignment="1">
      <alignment vertical="center" wrapText="1"/>
    </xf>
    <xf numFmtId="0" fontId="258" fillId="0" borderId="167" xfId="0" applyFont="1" applyBorder="1" applyAlignment="1">
      <alignment vertical="center" wrapText="1"/>
    </xf>
    <xf numFmtId="0" fontId="259" fillId="0" borderId="162" xfId="0" applyFont="1" applyBorder="1" applyAlignment="1">
      <alignment vertical="center" wrapText="1"/>
    </xf>
    <xf numFmtId="0" fontId="259" fillId="0" borderId="163" xfId="0" applyFont="1" applyBorder="1" applyAlignment="1">
      <alignment vertical="center" wrapText="1"/>
    </xf>
    <xf numFmtId="0" fontId="259" fillId="0" borderId="164" xfId="0" applyFont="1" applyBorder="1" applyAlignment="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12</xdr:row>
      <xdr:rowOff>161925</xdr:rowOff>
    </xdr:from>
    <xdr:to>
      <xdr:col>13</xdr:col>
      <xdr:colOff>494126</xdr:colOff>
      <xdr:row>22</xdr:row>
      <xdr:rowOff>161711</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2219325"/>
          <a:ext cx="9400001" cy="1714286"/>
        </a:xfrm>
        <a:prstGeom prst="rect">
          <a:avLst/>
        </a:prstGeom>
      </xdr:spPr>
    </xdr:pic>
    <xdr:clientData/>
  </xdr:twoCellAnchor>
  <xdr:twoCellAnchor editAs="oneCell">
    <xdr:from>
      <xdr:col>0</xdr:col>
      <xdr:colOff>0</xdr:colOff>
      <xdr:row>0</xdr:row>
      <xdr:rowOff>0</xdr:rowOff>
    </xdr:from>
    <xdr:to>
      <xdr:col>13</xdr:col>
      <xdr:colOff>522696</xdr:colOff>
      <xdr:row>12</xdr:row>
      <xdr:rowOff>171172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9438096" cy="2228572"/>
        </a:xfrm>
        <a:prstGeom prst="rect">
          <a:avLst/>
        </a:prstGeom>
      </xdr:spPr>
    </xdr:pic>
    <xdr:clientData/>
  </xdr:twoCellAnchor>
  <xdr:twoCellAnchor editAs="oneCell">
    <xdr:from>
      <xdr:col>0</xdr:col>
      <xdr:colOff>0</xdr:colOff>
      <xdr:row>32</xdr:row>
      <xdr:rowOff>0</xdr:rowOff>
    </xdr:from>
    <xdr:to>
      <xdr:col>13</xdr:col>
      <xdr:colOff>427458</xdr:colOff>
      <xdr:row>40</xdr:row>
      <xdr:rowOff>66495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486400"/>
          <a:ext cx="9342858" cy="1438095"/>
        </a:xfrm>
        <a:prstGeom prst="rect">
          <a:avLst/>
        </a:prstGeom>
      </xdr:spPr>
    </xdr:pic>
    <xdr:clientData/>
  </xdr:twoCellAnchor>
  <xdr:twoCellAnchor editAs="oneCell">
    <xdr:from>
      <xdr:col>0</xdr:col>
      <xdr:colOff>0</xdr:colOff>
      <xdr:row>23</xdr:row>
      <xdr:rowOff>0</xdr:rowOff>
    </xdr:from>
    <xdr:to>
      <xdr:col>13</xdr:col>
      <xdr:colOff>160791</xdr:colOff>
      <xdr:row>30</xdr:row>
      <xdr:rowOff>123660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943350"/>
          <a:ext cx="9076191" cy="1323810"/>
        </a:xfrm>
        <a:prstGeom prst="rect">
          <a:avLst/>
        </a:prstGeom>
      </xdr:spPr>
    </xdr:pic>
    <xdr:clientData/>
  </xdr:twoCellAnchor>
  <xdr:twoCellAnchor editAs="oneCell">
    <xdr:from>
      <xdr:col>0</xdr:col>
      <xdr:colOff>1</xdr:colOff>
      <xdr:row>40</xdr:row>
      <xdr:rowOff>0</xdr:rowOff>
    </xdr:from>
    <xdr:to>
      <xdr:col>13</xdr:col>
      <xdr:colOff>304801</xdr:colOff>
      <xdr:row>65</xdr:row>
      <xdr:rowOff>149585</xdr:rowOff>
    </xdr:to>
    <xdr:pic>
      <xdr:nvPicPr>
        <xdr:cNvPr id="6" name="图片 5"/>
        <xdr:cNvPicPr>
          <a:picLocks noChangeAspect="1"/>
        </xdr:cNvPicPr>
      </xdr:nvPicPr>
      <xdr:blipFill>
        <a:blip xmlns:r="http://schemas.openxmlformats.org/officeDocument/2006/relationships" r:embed="rId5"/>
        <a:stretch>
          <a:fillRect/>
        </a:stretch>
      </xdr:blipFill>
      <xdr:spPr>
        <a:xfrm>
          <a:off x="1" y="6858000"/>
          <a:ext cx="9220200" cy="4435835"/>
        </a:xfrm>
        <a:prstGeom prst="rect">
          <a:avLst/>
        </a:prstGeom>
      </xdr:spPr>
    </xdr:pic>
    <xdr:clientData/>
  </xdr:twoCellAnchor>
  <xdr:twoCellAnchor editAs="oneCell">
    <xdr:from>
      <xdr:col>0</xdr:col>
      <xdr:colOff>0</xdr:colOff>
      <xdr:row>66</xdr:row>
      <xdr:rowOff>0</xdr:rowOff>
    </xdr:from>
    <xdr:to>
      <xdr:col>10</xdr:col>
      <xdr:colOff>199143</xdr:colOff>
      <xdr:row>86</xdr:row>
      <xdr:rowOff>123381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1315700"/>
          <a:ext cx="7057143" cy="3552381"/>
        </a:xfrm>
        <a:prstGeom prst="rect">
          <a:avLst/>
        </a:prstGeom>
      </xdr:spPr>
    </xdr:pic>
    <xdr:clientData/>
  </xdr:twoCellAnchor>
  <xdr:twoCellAnchor editAs="oneCell">
    <xdr:from>
      <xdr:col>13</xdr:col>
      <xdr:colOff>304800</xdr:colOff>
      <xdr:row>0</xdr:row>
      <xdr:rowOff>1</xdr:rowOff>
    </xdr:from>
    <xdr:to>
      <xdr:col>24</xdr:col>
      <xdr:colOff>599027</xdr:colOff>
      <xdr:row>22</xdr:row>
      <xdr:rowOff>124873</xdr:rowOff>
    </xdr:to>
    <xdr:pic>
      <xdr:nvPicPr>
        <xdr:cNvPr id="8" name="图片 7"/>
        <xdr:cNvPicPr>
          <a:picLocks noChangeAspect="1"/>
        </xdr:cNvPicPr>
      </xdr:nvPicPr>
      <xdr:blipFill>
        <a:blip xmlns:r="http://schemas.openxmlformats.org/officeDocument/2006/relationships" r:embed="rId7"/>
        <a:stretch>
          <a:fillRect/>
        </a:stretch>
      </xdr:blipFill>
      <xdr:spPr>
        <a:xfrm>
          <a:off x="9220200" y="1"/>
          <a:ext cx="7838027" cy="3896772"/>
        </a:xfrm>
        <a:prstGeom prst="rect">
          <a:avLst/>
        </a:prstGeom>
      </xdr:spPr>
    </xdr:pic>
    <xdr:clientData/>
  </xdr:twoCellAnchor>
  <xdr:twoCellAnchor editAs="oneCell">
    <xdr:from>
      <xdr:col>13</xdr:col>
      <xdr:colOff>142875</xdr:colOff>
      <xdr:row>22</xdr:row>
      <xdr:rowOff>80061</xdr:rowOff>
    </xdr:from>
    <xdr:to>
      <xdr:col>21</xdr:col>
      <xdr:colOff>456276</xdr:colOff>
      <xdr:row>42</xdr:row>
      <xdr:rowOff>151842</xdr:rowOff>
    </xdr:to>
    <xdr:pic>
      <xdr:nvPicPr>
        <xdr:cNvPr id="9" name="图片 8"/>
        <xdr:cNvPicPr>
          <a:picLocks noChangeAspect="1"/>
        </xdr:cNvPicPr>
      </xdr:nvPicPr>
      <xdr:blipFill>
        <a:blip xmlns:r="http://schemas.openxmlformats.org/officeDocument/2006/relationships" r:embed="rId8"/>
        <a:stretch>
          <a:fillRect/>
        </a:stretch>
      </xdr:blipFill>
      <xdr:spPr>
        <a:xfrm>
          <a:off x="9058275" y="3851961"/>
          <a:ext cx="5799801" cy="3500781"/>
        </a:xfrm>
        <a:prstGeom prst="rect">
          <a:avLst/>
        </a:prstGeom>
      </xdr:spPr>
    </xdr:pic>
    <xdr:clientData/>
  </xdr:twoCellAnchor>
  <xdr:twoCellAnchor editAs="oneCell">
    <xdr:from>
      <xdr:col>13</xdr:col>
      <xdr:colOff>429029</xdr:colOff>
      <xdr:row>45</xdr:row>
      <xdr:rowOff>114300</xdr:rowOff>
    </xdr:from>
    <xdr:to>
      <xdr:col>23</xdr:col>
      <xdr:colOff>8592</xdr:colOff>
      <xdr:row>72</xdr:row>
      <xdr:rowOff>132677</xdr:rowOff>
    </xdr:to>
    <xdr:pic>
      <xdr:nvPicPr>
        <xdr:cNvPr id="10" name="图片 9"/>
        <xdr:cNvPicPr>
          <a:picLocks noChangeAspect="1"/>
        </xdr:cNvPicPr>
      </xdr:nvPicPr>
      <xdr:blipFill>
        <a:blip xmlns:r="http://schemas.openxmlformats.org/officeDocument/2006/relationships" r:embed="rId9"/>
        <a:stretch>
          <a:fillRect/>
        </a:stretch>
      </xdr:blipFill>
      <xdr:spPr>
        <a:xfrm>
          <a:off x="9344429" y="7829550"/>
          <a:ext cx="6437563" cy="4647527"/>
        </a:xfrm>
        <a:prstGeom prst="rect">
          <a:avLst/>
        </a:prstGeom>
      </xdr:spPr>
    </xdr:pic>
    <xdr:clientData/>
  </xdr:twoCellAnchor>
  <xdr:twoCellAnchor editAs="oneCell">
    <xdr:from>
      <xdr:col>0</xdr:col>
      <xdr:colOff>0</xdr:colOff>
      <xdr:row>87</xdr:row>
      <xdr:rowOff>0</xdr:rowOff>
    </xdr:from>
    <xdr:to>
      <xdr:col>9</xdr:col>
      <xdr:colOff>561134</xdr:colOff>
      <xdr:row>114</xdr:row>
      <xdr:rowOff>85136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4916150"/>
          <a:ext cx="6733334" cy="47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北京市房地产抵押价值预评估</v>
      </c>
    </row>
    <row r="3" spans="1:2" s="1596" customFormat="1">
      <c r="A3" s="1594" t="s">
        <v>1221</v>
      </c>
      <c r="B3" s="1595">
        <f>'预评函-封皮'!B40</f>
        <v>0</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受贵公司委托，我公司对北京市房地产抵押价值进行了预评估。</v>
      </c>
    </row>
    <row r="7" spans="1:2" s="1596" customFormat="1">
      <c r="A7" s="1594" t="s">
        <v>1264</v>
      </c>
      <c r="B7" s="1595" t="str">
        <f>'预评函-1'!A7</f>
        <v>估价对象为北京市房地产，为所有。根据《国有土地使用证》[]，估价对象（分摊）出让国有建设用地使用权面积为0平方米，建筑面积为166.41平方米。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估价对象为北京市房地产,属开发建设的居住项目，该项目尚在开发建设中。根据《国有土地使用证》[]，估价对象（分摊）出让国有建设用地使用权面积为0平方米，规划建筑面积为166.41平方米。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2018年6月29日（评估专业人员实地查勘之日）</v>
      </c>
    </row>
    <row r="13" spans="1:2" s="1596" customFormat="1">
      <c r="A13" s="1594" t="s">
        <v>1227</v>
      </c>
      <c r="B13" s="1595" t="str">
        <f>'预评函-1'!A18</f>
        <v>本次估价的“房地产价值”是指在正常市场情况下，在价值时点2018年6月29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本次评估采用的主估价方法为比较法和成本法。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2070</v>
      </c>
    </row>
    <row r="21" spans="1:2" s="1596" customFormat="1">
      <c r="A21" s="1594" t="s">
        <v>1235</v>
      </c>
      <c r="B21" s="1595">
        <f ca="1">'预评函-2'!D7</f>
        <v>124392</v>
      </c>
    </row>
    <row r="22" spans="1:2" s="1596" customFormat="1">
      <c r="A22" s="1594" t="s">
        <v>1236</v>
      </c>
      <c r="B22" s="1595" t="str">
        <f ca="1">'预评函-2'!D6</f>
        <v>贰仟零柒拾万元整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2070</v>
      </c>
    </row>
    <row r="31" spans="1:2" s="1596" customFormat="1">
      <c r="A31" s="1594" t="s">
        <v>1274</v>
      </c>
      <c r="B31" s="1595">
        <f ca="1">'预评函-2'!D15</f>
        <v>124392</v>
      </c>
    </row>
    <row r="32" spans="1:2" s="1596" customFormat="1">
      <c r="A32" s="1594" t="s">
        <v>1241</v>
      </c>
      <c r="B32" s="1595" t="str">
        <f ca="1">'预评函-2'!D14</f>
        <v>贰仟零柒拾万元整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北京市房地产</v>
      </c>
    </row>
    <row r="42" spans="1:2" s="1596" customFormat="1">
      <c r="A42" s="1594" t="s">
        <v>1288</v>
      </c>
      <c r="B42" s="1595" t="str">
        <f>'预评函-3'!B2</f>
        <v>建筑面积</v>
      </c>
    </row>
    <row r="43" spans="1:2" s="1596" customFormat="1">
      <c r="A43" s="1594" t="s">
        <v>1289</v>
      </c>
      <c r="B43" s="1595">
        <f>'预评函-3'!B4</f>
        <v>166.41</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2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3"/>
      <c r="B54" s="2025" t="s">
        <v>864</v>
      </c>
      <c r="C54" s="2022" t="s">
        <v>1281</v>
      </c>
    </row>
    <row r="55" spans="1:4">
      <c r="A55" s="3023"/>
      <c r="B55" s="2025" t="s">
        <v>865</v>
      </c>
      <c r="C55" s="2022" t="s">
        <v>1282</v>
      </c>
    </row>
    <row r="56" spans="1:4">
      <c r="A56" s="3023"/>
      <c r="B56" s="2025" t="s">
        <v>866</v>
      </c>
      <c r="C56" s="2022" t="s">
        <v>1286</v>
      </c>
    </row>
    <row r="57" spans="1:4">
      <c r="A57" s="302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8" sqref="D3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32" t="str">
        <f>IF(B10="北京市","北京市",C10)&amp;F10&amp;IF(结果表!G1="在建","出让国有建设用地使用权及在建建筑物",IF(结果表!G1="土地","出让国有建设用地使用权",))&amp;B9&amp;"预评估"</f>
        <v>北京市房地产抵押价值预评估</v>
      </c>
      <c r="C1" s="3033"/>
      <c r="D1" s="3033"/>
      <c r="E1" s="3033"/>
      <c r="F1" s="3033"/>
      <c r="G1" s="3033"/>
      <c r="H1" s="3033"/>
      <c r="I1" s="303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1778</v>
      </c>
      <c r="B3" s="2039">
        <v>43280</v>
      </c>
      <c r="C3" s="2040" t="s">
        <v>1779</v>
      </c>
      <c r="D3" s="2039">
        <v>43280</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3046</v>
      </c>
      <c r="C8" s="2059"/>
      <c r="D8" s="3035" t="s">
        <v>1785</v>
      </c>
      <c r="E8" s="2060" t="s">
        <v>3047</v>
      </c>
      <c r="F8" s="2061"/>
      <c r="G8" s="2029"/>
      <c r="H8" s="2029"/>
      <c r="I8" s="2029"/>
      <c r="J8" s="2045"/>
      <c r="K8" s="2046"/>
      <c r="L8" s="2031"/>
      <c r="M8" s="2031"/>
      <c r="N8" s="2032"/>
      <c r="O8" s="2033"/>
      <c r="P8" s="2032"/>
      <c r="Q8" s="2032"/>
      <c r="R8" s="2032"/>
    </row>
    <row r="9" spans="1:19" ht="18" customHeight="1" thickBot="1">
      <c r="A9" s="2043" t="s">
        <v>1786</v>
      </c>
      <c r="B9" s="2062" t="s">
        <v>3047</v>
      </c>
      <c r="C9" s="2063"/>
      <c r="D9" s="3036"/>
      <c r="E9" s="2062"/>
      <c r="F9" s="2064"/>
      <c r="G9" s="2065"/>
      <c r="H9" s="2065"/>
      <c r="I9" s="2065"/>
      <c r="J9" s="2045"/>
      <c r="K9" s="2057"/>
      <c r="L9" s="2031"/>
      <c r="M9" s="2031"/>
      <c r="N9" s="2032"/>
      <c r="O9" s="2033"/>
      <c r="P9" s="2032"/>
      <c r="Q9" s="2032"/>
      <c r="R9" s="2032"/>
    </row>
    <row r="10" spans="1:19" ht="18" customHeight="1" thickTop="1">
      <c r="A10" s="2066" t="s">
        <v>1787</v>
      </c>
      <c r="B10" s="2067" t="s">
        <v>3048</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t="s">
        <v>3049</v>
      </c>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3050</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v>63481</v>
      </c>
      <c r="E13" s="2083"/>
      <c r="F13" s="2083"/>
      <c r="G13" s="2083"/>
      <c r="H13" s="2083"/>
      <c r="I13" s="1050"/>
      <c r="J13" s="2045"/>
      <c r="K13" s="2057"/>
      <c r="L13" s="2031"/>
      <c r="M13" s="2031"/>
      <c r="N13" s="2032"/>
      <c r="O13" s="2033"/>
      <c r="P13" s="2032"/>
      <c r="Q13" s="2032"/>
      <c r="R13" s="2032"/>
    </row>
    <row r="14" spans="1:19" ht="18" customHeight="1">
      <c r="A14" s="2080"/>
      <c r="B14" s="2081"/>
      <c r="C14" s="2082" t="s">
        <v>1799</v>
      </c>
      <c r="D14" s="1053">
        <v>70</v>
      </c>
      <c r="E14" s="1053"/>
      <c r="F14" s="1053"/>
      <c r="G14" s="1053"/>
      <c r="H14" s="1053"/>
      <c r="I14" s="1053"/>
      <c r="J14" s="2045"/>
      <c r="K14" s="2084"/>
      <c r="L14" s="2031"/>
      <c r="M14" s="2031"/>
      <c r="N14" s="2032"/>
      <c r="O14" s="2033"/>
      <c r="P14" s="2032"/>
      <c r="Q14" s="2032"/>
      <c r="R14" s="2032"/>
    </row>
    <row r="15" spans="1:19" ht="18" customHeight="1">
      <c r="A15" s="2066"/>
      <c r="B15" s="2085"/>
      <c r="C15" s="2082" t="s">
        <v>1800</v>
      </c>
      <c r="D15" s="1052">
        <f>IF(B12="出让",IF(D13="","",ROUNDDOWN(MIN((D13-$D$3)/365,D14),2)),D14)</f>
        <v>55.34</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1801</v>
      </c>
      <c r="B16" s="3042"/>
      <c r="C16" s="3043"/>
      <c r="D16" s="3044"/>
      <c r="E16" s="2089" t="s">
        <v>1802</v>
      </c>
      <c r="F16" s="3045"/>
      <c r="G16" s="3046"/>
      <c r="H16" s="3046"/>
      <c r="I16" s="3047"/>
      <c r="J16" s="2032"/>
      <c r="K16" s="2086"/>
      <c r="L16" s="2087"/>
      <c r="M16" s="2087"/>
      <c r="N16" s="2088"/>
      <c r="O16" s="2087"/>
      <c r="P16" s="2088"/>
      <c r="Q16" s="2032"/>
      <c r="R16" s="2032"/>
    </row>
    <row r="17" spans="1:22" ht="18" customHeight="1">
      <c r="A17" s="2090" t="s">
        <v>1803</v>
      </c>
      <c r="B17" s="2038" t="s">
        <v>1804</v>
      </c>
      <c r="C17" s="1057">
        <f>'数据-汇总表'!E3</f>
        <v>166.41</v>
      </c>
      <c r="D17" s="2091" t="s">
        <v>1805</v>
      </c>
      <c r="E17" s="3048" t="s">
        <v>1806</v>
      </c>
      <c r="F17" s="3049"/>
      <c r="G17" s="3049"/>
      <c r="H17" s="3049"/>
      <c r="I17" s="3050"/>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0</v>
      </c>
      <c r="D18" s="2094" t="s">
        <v>1805</v>
      </c>
      <c r="E18" s="3051" t="s">
        <v>1809</v>
      </c>
      <c r="F18" s="3052"/>
      <c r="G18" s="3052"/>
      <c r="H18" s="3052"/>
      <c r="I18" s="3053"/>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038" t="s">
        <v>1814</v>
      </c>
      <c r="C20" s="3039"/>
      <c r="D20" s="3040" t="s">
        <v>1815</v>
      </c>
      <c r="E20" s="3041"/>
      <c r="F20" s="2101" t="s">
        <v>1816</v>
      </c>
      <c r="G20" s="2045"/>
      <c r="H20" s="2045"/>
      <c r="I20" s="2045"/>
      <c r="J20" s="2045"/>
      <c r="K20" s="3037"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0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03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25" t="s">
        <v>1829</v>
      </c>
      <c r="B27" s="2066" t="s">
        <v>1830</v>
      </c>
      <c r="C27" s="2123" t="s">
        <v>3051</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25"/>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25"/>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26"/>
      <c r="B30" s="2038" t="s">
        <v>1833</v>
      </c>
      <c r="C30" s="3027"/>
      <c r="D30" s="3028"/>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9" t="s">
        <v>1834</v>
      </c>
      <c r="B31" s="2130" t="s">
        <v>3052</v>
      </c>
      <c r="C31" s="2131" t="str">
        <f>IF(B31="现房","成新及维护状况正常否",IF(B31="在建","工程状态是否正常",IF(B31="土地","是否闲置","-")))</f>
        <v>成新及维护状况正常否</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30"/>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30"/>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t="s">
        <v>3053</v>
      </c>
      <c r="C34" s="2137" t="s">
        <v>3054</v>
      </c>
      <c r="D34" s="2137" t="s">
        <v>3055</v>
      </c>
      <c r="E34" s="2137" t="s">
        <v>3056</v>
      </c>
      <c r="F34" s="2137" t="s">
        <v>3057</v>
      </c>
      <c r="G34" s="2137" t="s">
        <v>3058</v>
      </c>
      <c r="H34" s="2137" t="s">
        <v>3059</v>
      </c>
      <c r="I34" s="2045"/>
      <c r="J34" s="2045"/>
      <c r="K34" s="1798">
        <f>COUNTIF(B34:H34,"——")</f>
        <v>0</v>
      </c>
      <c r="L34" s="2078" t="s">
        <v>1836</v>
      </c>
      <c r="M34" s="2078" t="s">
        <v>1837</v>
      </c>
      <c r="N34" s="2078" t="s">
        <v>1838</v>
      </c>
      <c r="O34" s="2078" t="s">
        <v>1839</v>
      </c>
      <c r="P34" s="2078" t="s">
        <v>1840</v>
      </c>
      <c r="Q34" s="2078" t="s">
        <v>1841</v>
      </c>
      <c r="R34" s="2078" t="s">
        <v>1842</v>
      </c>
      <c r="S34" s="3024" t="s">
        <v>1843</v>
      </c>
      <c r="T34" s="2138" t="str">
        <f>NUMBERSTRING(7-K34,1)&amp;"通"</f>
        <v>七通</v>
      </c>
      <c r="U34" s="2032"/>
      <c r="V34" s="2032"/>
    </row>
    <row r="35" spans="1:22" ht="18" customHeight="1">
      <c r="A35" s="2139"/>
      <c r="B35" s="3031" t="s">
        <v>1844</v>
      </c>
      <c r="C35" s="3031"/>
      <c r="D35" s="3031"/>
      <c r="E35" s="3031"/>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4"/>
      <c r="T35" s="48" t="str">
        <f>IF(T34="一通",L35,IF(T34="二通",M35,IF(T34="三通",N35,IF(T34="四通",O35,IF(T34="五通",P35,IF(T34="六通",Q35,R35))))))</f>
        <v>通路、通电、通讯、通上水、通下水、通热、燃气</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c r="C37" s="2144"/>
      <c r="D37" s="2144" t="s">
        <v>269</v>
      </c>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c r="C38" s="2146"/>
      <c r="D38" s="2146" t="s">
        <v>259</v>
      </c>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19"/>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1390.52</v>
      </c>
      <c r="C3" s="2172" t="s">
        <v>1879</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1880</v>
      </c>
      <c r="B5" s="1806"/>
      <c r="C5" s="1806"/>
      <c r="D5" s="1809"/>
      <c r="E5" s="16" t="s">
        <v>1</v>
      </c>
      <c r="F5" s="16">
        <f>SUM(F13:F587)</f>
        <v>0</v>
      </c>
      <c r="G5" s="16">
        <f>SUM(G13:G587)</f>
        <v>1390.52</v>
      </c>
      <c r="H5" s="16">
        <f t="shared" ref="H5:AT5" si="0">SUM(H13:H656)</f>
        <v>1390.52</v>
      </c>
      <c r="I5" s="16">
        <f t="shared" si="0"/>
        <v>1390.52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166.41</v>
      </c>
      <c r="BA5" s="18">
        <f t="shared" si="1"/>
        <v>166.41</v>
      </c>
      <c r="BB5" s="18">
        <f t="shared" si="1"/>
        <v>166.41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1881</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1881</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1882</v>
      </c>
      <c r="B7" s="2113" t="s">
        <v>1883</v>
      </c>
      <c r="C7" s="2113" t="s">
        <v>1884</v>
      </c>
      <c r="D7" s="2113" t="s">
        <v>1885</v>
      </c>
      <c r="E7" s="2113" t="s">
        <v>1886</v>
      </c>
      <c r="F7" s="2113" t="s">
        <v>1887</v>
      </c>
      <c r="G7" s="2182" t="s">
        <v>1888</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1889</v>
      </c>
      <c r="AV7" s="23" t="s">
        <v>1890</v>
      </c>
      <c r="AW7" s="2170" t="s">
        <v>1891</v>
      </c>
      <c r="AX7" s="23" t="s">
        <v>1884</v>
      </c>
      <c r="AY7" s="1806" t="s">
        <v>1892</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1893</v>
      </c>
      <c r="H8" s="2188" t="s">
        <v>1894</v>
      </c>
      <c r="I8" s="2189"/>
      <c r="J8" s="1821"/>
      <c r="K8" s="1821"/>
      <c r="L8" s="1821"/>
      <c r="M8" s="1821"/>
      <c r="N8" s="1821"/>
      <c r="O8" s="1821"/>
      <c r="P8" s="1821"/>
      <c r="Q8" s="1821"/>
      <c r="R8" s="1821"/>
      <c r="S8" s="1821"/>
      <c r="T8" s="1821"/>
      <c r="U8" s="1821"/>
      <c r="V8" s="2190"/>
      <c r="W8" s="1821"/>
      <c r="X8" s="1821"/>
      <c r="Y8" s="1821"/>
      <c r="Z8" s="1821"/>
      <c r="AA8" s="2190"/>
      <c r="AB8" s="2191"/>
      <c r="AC8" s="984" t="s">
        <v>1895</v>
      </c>
      <c r="AD8" s="2192"/>
      <c r="AE8" s="2184"/>
      <c r="AF8" s="1821"/>
      <c r="AG8" s="1821"/>
      <c r="AH8" s="1821"/>
      <c r="AI8" s="1821"/>
      <c r="AJ8" s="1821"/>
      <c r="AK8" s="1821"/>
      <c r="AL8" s="1821"/>
      <c r="AM8" s="1821"/>
      <c r="AN8" s="1821"/>
      <c r="AO8" s="1821"/>
      <c r="AP8" s="1821"/>
      <c r="AQ8" s="1821"/>
      <c r="AR8" s="1821"/>
      <c r="AS8" s="1821"/>
      <c r="AT8" s="1295" t="s">
        <v>1896</v>
      </c>
      <c r="AU8" s="2186" t="s">
        <v>1897</v>
      </c>
      <c r="AV8" s="1295"/>
      <c r="AW8" s="2169"/>
      <c r="AX8" s="1295"/>
      <c r="AY8" s="2170"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1900</v>
      </c>
      <c r="I9" s="2195" t="s">
        <v>3064</v>
      </c>
      <c r="J9" s="984"/>
      <c r="K9" s="2195"/>
      <c r="L9" s="984"/>
      <c r="M9" s="2195"/>
      <c r="N9" s="984"/>
      <c r="O9" s="2195"/>
      <c r="P9" s="984"/>
      <c r="Q9" s="2195"/>
      <c r="R9" s="984"/>
      <c r="S9" s="2195"/>
      <c r="T9" s="984"/>
      <c r="U9" s="2195"/>
      <c r="V9" s="984"/>
      <c r="W9" s="2195"/>
      <c r="X9" s="2196"/>
      <c r="Y9" s="2195"/>
      <c r="Z9" s="984"/>
      <c r="AA9" s="2195"/>
      <c r="AB9" s="984"/>
      <c r="AC9" s="2187"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7"/>
      <c r="AT9" s="2186"/>
      <c r="AU9" s="2186" t="s">
        <v>1903</v>
      </c>
      <c r="AV9" s="1295"/>
      <c r="AW9" s="2169"/>
      <c r="AX9" s="1295"/>
      <c r="AY9" s="28"/>
      <c r="AZ9" s="28" t="s">
        <v>1893</v>
      </c>
      <c r="BA9" s="2198" t="s">
        <v>1904</v>
      </c>
      <c r="BB9" s="2199"/>
      <c r="BC9" s="1341"/>
      <c r="BD9" s="1341"/>
      <c r="BE9" s="1341"/>
      <c r="BF9" s="1341"/>
      <c r="BG9" s="1341"/>
      <c r="BH9" s="1341"/>
      <c r="BI9" s="1341"/>
      <c r="BJ9" s="1341"/>
      <c r="BK9" s="2200"/>
      <c r="BL9" s="15" t="s">
        <v>1905</v>
      </c>
      <c r="BM9" s="1821"/>
      <c r="BN9" s="2189"/>
      <c r="BO9" s="1821"/>
      <c r="BP9" s="1821"/>
      <c r="BQ9" s="1821"/>
      <c r="BR9" s="1821"/>
      <c r="BS9" s="1821"/>
      <c r="BT9" s="26"/>
    </row>
    <row r="10" spans="1:72" s="2193" customFormat="1" ht="12.75">
      <c r="A10" s="2186"/>
      <c r="B10" s="2186"/>
      <c r="C10" s="2186"/>
      <c r="D10" s="2186"/>
      <c r="E10" s="2186"/>
      <c r="F10" s="2186"/>
      <c r="G10" s="1295"/>
      <c r="H10" s="28"/>
      <c r="I10" s="2195" t="s">
        <v>3060</v>
      </c>
      <c r="J10" s="984"/>
      <c r="K10" s="2201"/>
      <c r="L10" s="984"/>
      <c r="M10" s="2201"/>
      <c r="N10" s="984"/>
      <c r="O10" s="2201"/>
      <c r="P10" s="984"/>
      <c r="Q10" s="2201"/>
      <c r="R10" s="984"/>
      <c r="S10" s="2201"/>
      <c r="T10" s="984"/>
      <c r="U10" s="2201"/>
      <c r="V10" s="984"/>
      <c r="W10" s="2201"/>
      <c r="X10" s="984"/>
      <c r="Y10" s="2201"/>
      <c r="Z10" s="984"/>
      <c r="AA10" s="2201"/>
      <c r="AB10" s="984"/>
      <c r="AC10" s="1295"/>
      <c r="AD10" s="15" t="s">
        <v>1906</v>
      </c>
      <c r="AE10" s="2202"/>
      <c r="AF10" s="15" t="s">
        <v>1906</v>
      </c>
      <c r="AG10" s="2202"/>
      <c r="AH10" s="15" t="s">
        <v>1907</v>
      </c>
      <c r="AI10" s="2202"/>
      <c r="AJ10" s="15" t="s">
        <v>1907</v>
      </c>
      <c r="AK10" s="2202"/>
      <c r="AL10" s="15" t="s">
        <v>1908</v>
      </c>
      <c r="AM10" s="1301"/>
      <c r="AN10" s="15" t="s">
        <v>1908</v>
      </c>
      <c r="AO10" s="1301"/>
      <c r="AP10" s="15" t="s">
        <v>1909</v>
      </c>
      <c r="AQ10" s="1301"/>
      <c r="AR10" s="15" t="s">
        <v>1909</v>
      </c>
      <c r="AS10" s="1301"/>
      <c r="AT10" s="2186"/>
      <c r="AU10" s="2186"/>
      <c r="AV10" s="1295"/>
      <c r="AW10" s="2169"/>
      <c r="AX10" s="1295"/>
      <c r="AY10" s="28"/>
      <c r="AZ10" s="28"/>
      <c r="BA10" s="2203" t="s">
        <v>1900</v>
      </c>
      <c r="BB10" s="2204" t="str">
        <f>I9</f>
        <v>地上</v>
      </c>
      <c r="BC10" s="29">
        <f>K9</f>
        <v>0</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1910</v>
      </c>
      <c r="AE11" s="1822"/>
      <c r="AF11" s="2208" t="s">
        <v>1910</v>
      </c>
      <c r="AG11" s="1822"/>
      <c r="AH11" s="2208" t="s">
        <v>1911</v>
      </c>
      <c r="AI11" s="2209"/>
      <c r="AJ11" s="2208" t="s">
        <v>1911</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3"/>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1" t="s">
        <v>1913</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t="s">
        <v>3062</v>
      </c>
      <c r="D13" s="2217" t="s">
        <v>3063</v>
      </c>
      <c r="E13" s="16">
        <f>IF($C$3="是",ROUND($A$3*G13/$B$3,2),ROUND($A$3*(G13-AT13)/$B$3,2))</f>
        <v>0</v>
      </c>
      <c r="F13" s="32"/>
      <c r="G13" s="33">
        <f>H13+AC13+AT13</f>
        <v>166.41</v>
      </c>
      <c r="H13" s="20">
        <f>SUMIF(I$12:AB$12,"总值",I13:AB13)</f>
        <v>166.41</v>
      </c>
      <c r="I13" s="2218">
        <v>166.41</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1001号住宅</v>
      </c>
      <c r="AY13" s="1809">
        <f>ROUND($AY$6*AZ13/$AZ$5,2)</f>
        <v>0</v>
      </c>
      <c r="AZ13" s="16">
        <f>BA13+BL13</f>
        <v>166.41</v>
      </c>
      <c r="BA13" s="16">
        <f>SUM(BB13:BK13)</f>
        <v>166.41</v>
      </c>
      <c r="BB13" s="16">
        <f>IF($D13="是",I13-J13,0)</f>
        <v>166.41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1275" t="s">
        <v>3065</v>
      </c>
      <c r="D14" s="2947" t="s">
        <v>3071</v>
      </c>
      <c r="E14" s="16">
        <f>IF($C$3="是",ROUND($A$3*G14/$B$3,2),ROUND($A$3*(G14-AT14)/$B$3,2))</f>
        <v>0</v>
      </c>
      <c r="F14" s="32"/>
      <c r="G14" s="33">
        <f>H14+AC14+AT14</f>
        <v>287.17</v>
      </c>
      <c r="H14" s="20">
        <f>SUMIF(I$12:AB$12,"总值",I14:AB14)</f>
        <v>287.17</v>
      </c>
      <c r="I14" s="2218">
        <v>287.17</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1002号住宅</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1275" t="s">
        <v>3066</v>
      </c>
      <c r="D15" s="2947" t="s">
        <v>3071</v>
      </c>
      <c r="E15" s="16">
        <f>IF($C$3="是",ROUND($A$3*G15/$B$3,2),ROUND($A$3*(G15-AT15)/$B$3,2))</f>
        <v>0</v>
      </c>
      <c r="F15" s="32"/>
      <c r="G15" s="33">
        <f>H15+AC15+AT15</f>
        <v>97.32</v>
      </c>
      <c r="H15" s="20">
        <f>SUMIF(I$12:AB$12,"总值",I15:AB15)</f>
        <v>97.32</v>
      </c>
      <c r="I15" s="2218">
        <v>97.32</v>
      </c>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t="str">
        <f t="shared" si="6"/>
        <v>1003号住宅</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1275" t="s">
        <v>3067</v>
      </c>
      <c r="D16" s="2947" t="s">
        <v>3071</v>
      </c>
      <c r="E16" s="16">
        <f>IF($C$3="是",ROUND($A$3*G16/$B$3,2),ROUND($A$3*(G16-AT16)/$B$3,2))</f>
        <v>0</v>
      </c>
      <c r="F16" s="32"/>
      <c r="G16" s="33">
        <f>H16+AC16+AT16</f>
        <v>166.41</v>
      </c>
      <c r="H16" s="20">
        <f>SUMIF(I$12:AB$12,"总值",I16:AB16)</f>
        <v>166.41</v>
      </c>
      <c r="I16" s="2218">
        <v>166.41</v>
      </c>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t="str">
        <f t="shared" si="6"/>
        <v>1101号住宅</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1275" t="s">
        <v>3068</v>
      </c>
      <c r="D17" s="2947" t="s">
        <v>3071</v>
      </c>
      <c r="E17" s="16">
        <f>IF($C$3="是",ROUND($A$3*G17/$B$3,2),ROUND($A$3*(G17-AT17)/$B$3,2))</f>
        <v>0</v>
      </c>
      <c r="F17" s="32"/>
      <c r="G17" s="33">
        <f>H17+AC17+AT17</f>
        <v>287.17</v>
      </c>
      <c r="H17" s="20">
        <f>SUMIF(I$12:AB$12,"总值",I17:AB17)</f>
        <v>287.17</v>
      </c>
      <c r="I17" s="2218">
        <v>287.17</v>
      </c>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t="str">
        <f t="shared" si="6"/>
        <v>1102号住宅</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1275" t="s">
        <v>3069</v>
      </c>
      <c r="D18" s="2947" t="s">
        <v>3071</v>
      </c>
      <c r="E18" s="35">
        <f t="shared" ref="E18:E112" si="7">IF($C$3="是",ROUND($A$3*G18/$B$3,2),ROUND($A$3*(G18-AT18)/$B$3,2))</f>
        <v>0</v>
      </c>
      <c r="F18" s="36"/>
      <c r="G18" s="37">
        <f t="shared" ref="G18:G109" si="8">H18+AC18+AT18</f>
        <v>97.32</v>
      </c>
      <c r="H18" s="38">
        <f t="shared" ref="H18:H109" si="9">SUMIF(I$12:AB$12,"总值",I18:AB18)</f>
        <v>97.32</v>
      </c>
      <c r="I18" s="39">
        <v>97.32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t="str">
        <f t="shared" ref="AX18:AX112" si="13">C18</f>
        <v>1103号住宅</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1275" t="s">
        <v>3070</v>
      </c>
      <c r="D19" s="2947" t="s">
        <v>3071</v>
      </c>
      <c r="E19" s="35">
        <f t="shared" si="7"/>
        <v>0</v>
      </c>
      <c r="F19" s="36"/>
      <c r="G19" s="37">
        <f t="shared" si="8"/>
        <v>288.72000000000003</v>
      </c>
      <c r="H19" s="38">
        <f t="shared" si="9"/>
        <v>288.72000000000003</v>
      </c>
      <c r="I19" s="39">
        <v>288.72000000000003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t="str">
        <f t="shared" si="13"/>
        <v>1201号住宅</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1939</v>
      </c>
      <c r="B1" s="1395"/>
      <c r="C1" s="1395"/>
      <c r="D1" s="1395"/>
      <c r="E1" s="1395"/>
      <c r="F1" s="1395"/>
      <c r="G1" s="1395"/>
      <c r="H1" s="1395"/>
      <c r="I1" s="1395"/>
      <c r="J1" s="1395"/>
      <c r="K1" s="1395"/>
      <c r="L1" s="1395"/>
      <c r="M1" s="1395"/>
      <c r="N1" s="1395"/>
      <c r="O1" s="1395"/>
      <c r="P1" s="1395"/>
    </row>
    <row r="2" spans="1:16" ht="15">
      <c r="A2" s="3065" t="s">
        <v>1940</v>
      </c>
      <c r="B2" s="3065"/>
      <c r="C2" s="3065"/>
      <c r="D2" s="970" t="s">
        <v>1916</v>
      </c>
      <c r="E2" s="2231" t="s">
        <v>1917</v>
      </c>
      <c r="F2" s="1395"/>
      <c r="G2" s="2232"/>
      <c r="H2" s="2233"/>
      <c r="I2" s="2234" t="s">
        <v>1941</v>
      </c>
      <c r="J2" s="1395"/>
      <c r="K2" s="1395"/>
      <c r="L2" s="1395"/>
      <c r="M2" s="1395"/>
      <c r="N2" s="1430"/>
      <c r="O2" s="1395"/>
      <c r="P2" s="1395"/>
    </row>
    <row r="3" spans="1:16" ht="15.75" thickBot="1">
      <c r="A3" s="3066" t="s">
        <v>1914</v>
      </c>
      <c r="B3" s="3066"/>
      <c r="C3" s="3066"/>
      <c r="D3" s="46">
        <f>'数据-基础表'!AY6</f>
        <v>0</v>
      </c>
      <c r="E3" s="46">
        <f>'数据-基础表'!AZ5</f>
        <v>166.41</v>
      </c>
      <c r="F3" s="1395"/>
      <c r="G3" s="1402"/>
      <c r="H3" s="1250" t="s">
        <v>1915</v>
      </c>
      <c r="I3" s="55" t="e">
        <f>ROUND('数据-基础表'!B3/'数据-基础表'!A3,2)</f>
        <v>#DIV/0!</v>
      </c>
      <c r="J3" s="1395"/>
      <c r="K3" s="1395"/>
      <c r="L3" s="1395"/>
      <c r="M3" s="1395"/>
      <c r="N3" s="1430"/>
      <c r="O3" s="1395"/>
      <c r="P3" s="1395"/>
    </row>
    <row r="4" spans="1:16" ht="15">
      <c r="A4" s="3067"/>
      <c r="B4" s="3068"/>
      <c r="C4" s="3069"/>
      <c r="D4" s="2235" t="s">
        <v>1916</v>
      </c>
      <c r="E4" s="2236" t="s">
        <v>1917</v>
      </c>
      <c r="F4" s="1395"/>
      <c r="G4" s="2237" t="s">
        <v>1942</v>
      </c>
      <c r="H4" s="1250" t="s">
        <v>1922</v>
      </c>
      <c r="I4" s="55" t="e">
        <f>ROUND(SUMIF('数据-基础表'!I9:AS9,"地上",'数据-基础表'!I5:AS5)/'数据-基础表'!A3,2)</f>
        <v>#DIV/0!</v>
      </c>
      <c r="J4" s="1395"/>
      <c r="K4" s="1395"/>
      <c r="L4" s="1395"/>
      <c r="M4" s="1395"/>
      <c r="N4" s="1430"/>
      <c r="O4" s="1395"/>
      <c r="P4" s="1395"/>
    </row>
    <row r="5" spans="1:16">
      <c r="A5" s="47" t="s">
        <v>1918</v>
      </c>
      <c r="B5" s="3070" t="s">
        <v>1919</v>
      </c>
      <c r="C5" s="3070"/>
      <c r="D5" s="48">
        <f>ROUND($D$3*E5/$E$3,2)</f>
        <v>0</v>
      </c>
      <c r="E5" s="49">
        <f>SUMIF('数据-基础表'!$11:$11,"住宅",'数据-基础表'!$5:$5)</f>
        <v>166.41</v>
      </c>
      <c r="F5" s="1395"/>
      <c r="G5" s="1402"/>
      <c r="H5" s="1250" t="s">
        <v>1915</v>
      </c>
      <c r="I5" s="55" t="e">
        <f>ROUND(E31/D31,2)</f>
        <v>#DIV/0!</v>
      </c>
      <c r="J5" s="1395"/>
      <c r="K5" s="1395"/>
      <c r="L5" s="1395"/>
      <c r="M5" s="1395"/>
      <c r="N5" s="1395"/>
      <c r="O5" s="1395"/>
      <c r="P5" s="1395"/>
    </row>
    <row r="6" spans="1:16" ht="15" thickBot="1">
      <c r="A6" s="2238"/>
      <c r="B6" s="3070" t="s">
        <v>1920</v>
      </c>
      <c r="C6" s="3070"/>
      <c r="D6" s="48">
        <f>ROUND($D$3*E6/$E$3,2)</f>
        <v>0</v>
      </c>
      <c r="E6" s="49">
        <f>E3-E5</f>
        <v>0</v>
      </c>
      <c r="F6" s="1395"/>
      <c r="G6" s="2239" t="s">
        <v>1921</v>
      </c>
      <c r="H6" s="1402" t="s">
        <v>1922</v>
      </c>
      <c r="I6" s="942" t="e">
        <f>ROUND(F31/D31,2)</f>
        <v>#DIV/0!</v>
      </c>
      <c r="J6" s="1395"/>
      <c r="K6" s="1395"/>
      <c r="L6" s="1395"/>
      <c r="M6" s="1395"/>
      <c r="N6" s="1395"/>
      <c r="O6" s="1395"/>
      <c r="P6" s="1395"/>
    </row>
    <row r="7" spans="1:16" ht="15">
      <c r="A7" s="3062"/>
      <c r="B7" s="3063"/>
      <c r="C7" s="3064"/>
      <c r="D7" s="2235" t="s">
        <v>1916</v>
      </c>
      <c r="E7" s="2240" t="s">
        <v>1923</v>
      </c>
      <c r="F7" s="1395"/>
      <c r="G7" s="2232" t="s">
        <v>1924</v>
      </c>
      <c r="H7" s="64"/>
      <c r="I7" s="420">
        <v>4.82</v>
      </c>
      <c r="J7" s="1395"/>
      <c r="K7" s="1395"/>
      <c r="L7" s="1395"/>
      <c r="M7" s="1395"/>
      <c r="N7" s="1395"/>
      <c r="O7" s="1395"/>
      <c r="P7" s="1395"/>
    </row>
    <row r="8" spans="1:16">
      <c r="A8" s="47" t="s">
        <v>1925</v>
      </c>
      <c r="B8" s="50" t="s">
        <v>1926</v>
      </c>
      <c r="C8" s="48" t="s">
        <v>1927</v>
      </c>
      <c r="D8" s="48">
        <f t="shared" ref="D8:D15" si="0">ROUND($D$3*E8/$E$3,2)</f>
        <v>0</v>
      </c>
      <c r="E8" s="51">
        <f>SUMIF('数据-基础表'!BB10:BK10,"地上",'数据-基础表'!BB5:BK5)</f>
        <v>166.41</v>
      </c>
      <c r="F8" s="1395"/>
      <c r="G8" s="2241"/>
      <c r="H8" s="2241"/>
      <c r="I8" s="1395"/>
      <c r="J8" s="1395"/>
      <c r="K8" s="1395"/>
      <c r="L8" s="1395"/>
      <c r="M8" s="1395"/>
      <c r="N8" s="1395"/>
      <c r="O8" s="1395"/>
      <c r="P8" s="1395"/>
    </row>
    <row r="9" spans="1:16">
      <c r="A9" s="2242"/>
      <c r="B9" s="2243"/>
      <c r="C9" s="48" t="s">
        <v>1928</v>
      </c>
      <c r="D9" s="48">
        <f t="shared" si="0"/>
        <v>0</v>
      </c>
      <c r="E9" s="52">
        <v>0</v>
      </c>
      <c r="F9" s="1395"/>
      <c r="G9" s="2241"/>
      <c r="H9" s="2241"/>
      <c r="I9" s="1395"/>
      <c r="J9" s="1395"/>
      <c r="K9" s="1395"/>
      <c r="L9" s="1395"/>
      <c r="M9" s="1395"/>
      <c r="N9" s="1395"/>
      <c r="O9" s="1395"/>
      <c r="P9" s="1395"/>
    </row>
    <row r="10" spans="1:16">
      <c r="A10" s="2242"/>
      <c r="B10" s="2243"/>
      <c r="C10" s="48" t="s">
        <v>1937</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1929</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1930</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1931</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1943</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1938</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1932</v>
      </c>
      <c r="D16" s="50">
        <f>SUM(D8:D15)</f>
        <v>0</v>
      </c>
      <c r="E16" s="53">
        <f>SUM(E8:E15)</f>
        <v>166.41</v>
      </c>
      <c r="F16" s="1395"/>
      <c r="G16" s="2241"/>
      <c r="H16" s="2244" t="s">
        <v>1944</v>
      </c>
      <c r="I16" s="2245"/>
      <c r="J16" s="1395"/>
      <c r="K16" s="3059" t="s">
        <v>1944</v>
      </c>
      <c r="L16" s="3060"/>
      <c r="M16" s="3060"/>
      <c r="N16" s="3060"/>
      <c r="O16" s="3060"/>
      <c r="P16" s="3061"/>
    </row>
    <row r="17" spans="1:19" ht="15">
      <c r="A17" s="2246" t="s">
        <v>1945</v>
      </c>
      <c r="B17" s="2247" t="s">
        <v>1946</v>
      </c>
      <c r="C17" s="2248" t="s">
        <v>1947</v>
      </c>
      <c r="D17" s="2249" t="s">
        <v>1935</v>
      </c>
      <c r="E17" s="2250" t="s">
        <v>1936</v>
      </c>
      <c r="F17" s="2251"/>
      <c r="G17" s="2252"/>
      <c r="H17" s="2253" t="s">
        <v>1948</v>
      </c>
      <c r="I17" s="2254" t="s">
        <v>1933</v>
      </c>
      <c r="J17" s="1395"/>
      <c r="K17" s="3056" t="s">
        <v>1949</v>
      </c>
      <c r="L17" s="3057"/>
      <c r="M17" s="3058"/>
      <c r="N17" s="3056" t="s">
        <v>1950</v>
      </c>
      <c r="O17" s="3057"/>
      <c r="P17" s="3058"/>
      <c r="R17" s="2232" t="s">
        <v>1951</v>
      </c>
      <c r="S17" s="64"/>
    </row>
    <row r="18" spans="1:19" ht="15">
      <c r="A18" s="2242"/>
      <c r="B18" s="2255"/>
      <c r="C18" s="2256"/>
      <c r="D18" s="2257"/>
      <c r="E18" s="2258" t="s">
        <v>1952</v>
      </c>
      <c r="F18" s="2259" t="s">
        <v>1953</v>
      </c>
      <c r="G18" s="2260" t="s">
        <v>1954</v>
      </c>
      <c r="H18" s="1265" t="s">
        <v>1955</v>
      </c>
      <c r="I18" s="2261" t="s">
        <v>1956</v>
      </c>
      <c r="J18" s="1395"/>
      <c r="K18" s="1265" t="s">
        <v>1957</v>
      </c>
      <c r="L18" s="2262" t="s">
        <v>1958</v>
      </c>
      <c r="M18" s="1049" t="s">
        <v>1959</v>
      </c>
      <c r="N18" s="1265" t="s">
        <v>1957</v>
      </c>
      <c r="O18" s="2262" t="s">
        <v>1958</v>
      </c>
      <c r="P18" s="1049" t="s">
        <v>1959</v>
      </c>
      <c r="R18" s="1250" t="s">
        <v>1960</v>
      </c>
      <c r="S18" s="1250" t="s">
        <v>1961</v>
      </c>
    </row>
    <row r="19" spans="1:19">
      <c r="A19" s="2263"/>
      <c r="B19" s="50" t="s">
        <v>1934</v>
      </c>
      <c r="C19" s="2264" t="s">
        <v>3072</v>
      </c>
      <c r="D19" s="48">
        <f>ROUND($D$3*E19/$E$3,2)</f>
        <v>0</v>
      </c>
      <c r="E19" s="56">
        <f t="shared" ref="E19:E26" si="1">SUM(F19:G19)</f>
        <v>166.41</v>
      </c>
      <c r="F19" s="57">
        <f>'数据-基础表'!I13</f>
        <v>166.41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166.41</v>
      </c>
    </row>
    <row r="20" spans="1:19">
      <c r="A20" s="2267"/>
      <c r="B20" s="50" t="s">
        <v>1962</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1962</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1963</v>
      </c>
      <c r="D27" s="1396">
        <f>SUM(D19:D26)</f>
        <v>0</v>
      </c>
      <c r="E27" s="1397">
        <f>IF(SUM(E19:E26)='数据-基础表'!BA5,SUM(E19:E26),IF(F27="地上面积有误","面积有误","地下面积有误"))</f>
        <v>166.41</v>
      </c>
      <c r="F27" s="1396">
        <f>IF(SUM(F19:F26)=E8,SUM(F19:F26),"地上面积有误")</f>
        <v>166.41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166.41</v>
      </c>
    </row>
    <row r="28" spans="1:19">
      <c r="A28" s="2267"/>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1964</v>
      </c>
      <c r="C29" s="2271"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1967</v>
      </c>
      <c r="D31" s="729">
        <f>D27+D30</f>
        <v>0</v>
      </c>
      <c r="E31" s="729">
        <f>E27+E30</f>
        <v>166.41</v>
      </c>
      <c r="F31" s="730">
        <f>F27+F30</f>
        <v>166.41</v>
      </c>
      <c r="G31" s="731">
        <f>G27+G30</f>
        <v>0</v>
      </c>
      <c r="H31" s="1395"/>
      <c r="I31" s="1395"/>
      <c r="J31" s="1395"/>
      <c r="K31" s="1395"/>
      <c r="L31" s="1395"/>
      <c r="M31" s="1395"/>
      <c r="N31" s="1395"/>
      <c r="O31" s="1395"/>
      <c r="P31" s="1395"/>
    </row>
    <row r="32" spans="1:19">
      <c r="A32" s="2237"/>
      <c r="B32" s="2237" t="s">
        <v>1968</v>
      </c>
      <c r="C32" s="2237"/>
      <c r="D32" s="2237"/>
      <c r="E32" s="1277">
        <f>SUMIF(C19:C26,"*住宅*",E19:E26)</f>
        <v>166.41</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1969</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1970</v>
      </c>
      <c r="B2" s="1269">
        <f>项目基本情况!D3</f>
        <v>43280</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1971</v>
      </c>
      <c r="B4" s="2285"/>
      <c r="C4" s="2286"/>
      <c r="D4" s="2287"/>
      <c r="E4" s="2286" t="s">
        <v>1972</v>
      </c>
      <c r="F4" s="2286"/>
      <c r="G4" s="2286"/>
      <c r="H4" s="2286"/>
      <c r="I4" s="2286"/>
      <c r="J4" s="2288"/>
      <c r="K4" s="2289"/>
      <c r="L4" s="2290"/>
      <c r="M4" s="2286"/>
      <c r="N4" s="2286" t="s">
        <v>1973</v>
      </c>
      <c r="O4" s="2286"/>
      <c r="P4" s="2286"/>
      <c r="Q4" s="2286"/>
      <c r="R4" s="2286"/>
      <c r="S4" s="2288"/>
      <c r="T4" s="2291" t="str">
        <f>'数据-汇总表'!I17</f>
        <v>按面积比例</v>
      </c>
      <c r="U4" s="2285" t="s">
        <v>1974</v>
      </c>
      <c r="V4" s="2286"/>
      <c r="W4" s="2286"/>
      <c r="X4" s="2286"/>
      <c r="Y4" s="2288"/>
      <c r="Z4" s="2248" t="s">
        <v>1975</v>
      </c>
      <c r="AA4" s="2248"/>
      <c r="AB4" s="2248"/>
      <c r="AC4" s="2248"/>
      <c r="AD4" s="2248"/>
      <c r="AE4" s="2246" t="s">
        <v>1976</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1977</v>
      </c>
      <c r="B5" s="2294" t="s">
        <v>1978</v>
      </c>
      <c r="C5" s="2295" t="s">
        <v>1979</v>
      </c>
      <c r="D5" s="2296" t="s">
        <v>1980</v>
      </c>
      <c r="E5" s="1271" t="s">
        <v>1981</v>
      </c>
      <c r="F5" s="2297" t="s">
        <v>1982</v>
      </c>
      <c r="G5" s="1271" t="s">
        <v>1983</v>
      </c>
      <c r="H5" s="1271" t="s">
        <v>1984</v>
      </c>
      <c r="I5" s="1271" t="s">
        <v>1985</v>
      </c>
      <c r="J5" s="2298" t="s">
        <v>1986</v>
      </c>
      <c r="K5" s="2299" t="s">
        <v>1987</v>
      </c>
      <c r="L5" s="2300" t="s">
        <v>1988</v>
      </c>
      <c r="M5" s="2301" t="s">
        <v>1989</v>
      </c>
      <c r="N5" s="2302" t="s">
        <v>3073</v>
      </c>
      <c r="O5" s="2300" t="s">
        <v>1990</v>
      </c>
      <c r="P5" s="2303" t="s">
        <v>1991</v>
      </c>
      <c r="Q5" s="69" t="s">
        <v>1992</v>
      </c>
      <c r="R5" s="2304" t="s">
        <v>1993</v>
      </c>
      <c r="S5" s="2305" t="s">
        <v>1994</v>
      </c>
      <c r="T5" s="2306" t="s">
        <v>1995</v>
      </c>
      <c r="U5" s="1270" t="s">
        <v>1996</v>
      </c>
      <c r="V5" s="1271" t="s">
        <v>1997</v>
      </c>
      <c r="W5" s="1271" t="s">
        <v>1998</v>
      </c>
      <c r="X5" s="71"/>
      <c r="Y5" s="70" t="s">
        <v>1999</v>
      </c>
      <c r="Z5" s="2307" t="s">
        <v>1996</v>
      </c>
      <c r="AA5" s="1271" t="s">
        <v>1997</v>
      </c>
      <c r="AB5" s="1271" t="s">
        <v>1998</v>
      </c>
      <c r="AC5" s="71"/>
      <c r="AD5" s="71" t="s">
        <v>1999</v>
      </c>
      <c r="AE5" s="1270" t="s">
        <v>2000</v>
      </c>
      <c r="AF5" s="1271" t="s">
        <v>2001</v>
      </c>
      <c r="AG5" s="70" t="s">
        <v>2002</v>
      </c>
      <c r="AH5" s="1270" t="s">
        <v>2003</v>
      </c>
      <c r="AI5" s="2307" t="s">
        <v>2004</v>
      </c>
      <c r="AJ5" s="2307" t="s">
        <v>2005</v>
      </c>
      <c r="AK5" s="1271" t="s">
        <v>2006</v>
      </c>
      <c r="AL5" s="1271" t="s">
        <v>2007</v>
      </c>
      <c r="AM5" s="70" t="s">
        <v>2008</v>
      </c>
      <c r="AN5" s="2308" t="s">
        <v>2009</v>
      </c>
      <c r="AO5" s="2078" t="s">
        <v>2010</v>
      </c>
      <c r="AP5" s="1252" t="s">
        <v>2011</v>
      </c>
      <c r="AQ5" s="2309" t="s">
        <v>2012</v>
      </c>
      <c r="AR5" s="2309" t="s">
        <v>2013</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1001号住宅</v>
      </c>
      <c r="B6" s="2311" t="str">
        <f>IF(A6=0,"","经营性")</f>
        <v>经营性</v>
      </c>
      <c r="C6" s="2312" t="s">
        <v>3060</v>
      </c>
      <c r="D6" s="1054">
        <f>SUMIF(项目基本情况!D$12:I$12,C6,项目基本情况!D$14:I$14)</f>
        <v>70</v>
      </c>
      <c r="E6" s="1051">
        <f>IF(B6="","",SUMIF(项目基本情况!D$12:I$12,C6,项目基本情况!D$13:I$13))</f>
        <v>63481</v>
      </c>
      <c r="F6" s="72">
        <f>SUMIF(项目基本情况!D$12:I$12,C6,项目基本情况!D$15:I$15)</f>
        <v>55.34</v>
      </c>
      <c r="G6" s="73">
        <f>IF(ISERROR(ROUND(POWER(1+H6,D6-F6)*(POWER(1+H6,F6)-1)/(POWER(1+H6,D6)-1),3)),0,ROUND(POWER(1+H6,D6-F6)*(POWER(1+H6,F6)-1)/(POWER(1+H6,D6)-1),3))</f>
        <v>0.95599999999999996</v>
      </c>
      <c r="H6" s="802">
        <v>4.4999999999999998E-2</v>
      </c>
      <c r="I6" s="802">
        <v>0.05</v>
      </c>
      <c r="J6" s="74">
        <v>0.08</v>
      </c>
      <c r="K6" s="1254">
        <f>SUMIF('数据-汇总表'!C$19:C$33,A6,'数据-汇总表'!E$19:E$33)</f>
        <v>166.41</v>
      </c>
      <c r="L6" s="803">
        <v>3000</v>
      </c>
      <c r="M6" s="75">
        <f t="shared" ref="M6:M14" si="0">ROUND(K6*L6/10000,0)</f>
        <v>50</v>
      </c>
      <c r="N6" s="801">
        <v>0.88</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7"/>
      <c r="AG6" s="147">
        <f>IF(AF6="",0,AE6-AF6)</f>
        <v>0</v>
      </c>
      <c r="AH6" s="83"/>
      <c r="AI6" s="85"/>
      <c r="AJ6" s="86"/>
      <c r="AK6" s="87">
        <v>1.4999999999999999E-2</v>
      </c>
      <c r="AL6" s="88">
        <v>1.5E-3</v>
      </c>
      <c r="AM6" s="89">
        <v>1.4999999999999999E-2</v>
      </c>
      <c r="AN6" s="2313"/>
      <c r="AO6" s="55" t="e">
        <f ca="1">SUMIF(INDIRECT("'"&amp;AN6&amp;"'"&amp;"!A:A"),"总价",INDIRECT("'"&amp;AN6&amp;"'"&amp;"!B:B"))</f>
        <v>#REF!</v>
      </c>
      <c r="AP6" s="2314">
        <f>IF(C6="住宅",K6*L6,0)</f>
        <v>499230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2014</v>
      </c>
      <c r="B14" s="2311" t="s">
        <v>2015</v>
      </c>
      <c r="C14" s="2316"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2016</v>
      </c>
      <c r="B15" s="2311" t="s">
        <v>2015</v>
      </c>
      <c r="C15" s="2316"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2018</v>
      </c>
      <c r="B16" s="97"/>
      <c r="C16" s="1008"/>
      <c r="D16" s="2318"/>
      <c r="E16" s="97"/>
      <c r="F16" s="97"/>
      <c r="G16" s="98">
        <f>ROUND(SUMPRODUCT(G6:G13,K6:K13)/SUMPRODUCT((G6:G13&gt;0)*(K6:K13)),3)</f>
        <v>0.95599999999999996</v>
      </c>
      <c r="H16" s="99">
        <f>ROUND(SUMPRODUCT(H6:H13,K6:K13)/SUMPRODUCT((H6:H13&gt;0)*(K6:K13)),3)</f>
        <v>4.4999999999999998E-2</v>
      </c>
      <c r="I16" s="100"/>
      <c r="J16" s="100"/>
      <c r="K16" s="101">
        <f>SUM(K6:K15)</f>
        <v>166.41</v>
      </c>
      <c r="L16" s="102">
        <f>ROUND(M16*10000/SUM(K6:K14),0)</f>
        <v>3005</v>
      </c>
      <c r="M16" s="102">
        <f>SUM(M6:M14)</f>
        <v>50</v>
      </c>
      <c r="N16" s="103">
        <f>ROUND(SUMPRODUCT(M6:M14,N6:N14)/M16,3)</f>
        <v>0.88</v>
      </c>
      <c r="O16" s="102">
        <f>SUM(O6:O14)</f>
        <v>0</v>
      </c>
      <c r="P16" s="102">
        <f>SUM(P6:P14)</f>
        <v>0</v>
      </c>
      <c r="Q16" s="104">
        <f>ROUND(SUMPRODUCT(Q6:Q13,K6:K13)/SUMPRODUCT((Q6:Q13&gt;0)*(K6:K13)),2)</f>
        <v>0.25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2020</v>
      </c>
      <c r="B19" s="112">
        <v>0</v>
      </c>
      <c r="C19" s="2281" t="s">
        <v>2021</v>
      </c>
      <c r="D19" s="2282"/>
      <c r="E19" s="2281"/>
      <c r="F19" s="2281"/>
      <c r="G19" s="2281"/>
      <c r="H19" s="2281"/>
      <c r="I19" s="2281"/>
      <c r="J19" s="2281"/>
      <c r="K19" s="168"/>
      <c r="L19" s="168"/>
      <c r="M19" s="1584"/>
      <c r="N19" s="2948"/>
      <c r="O19" s="1584" t="s">
        <v>3081</v>
      </c>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2022</v>
      </c>
      <c r="B20" s="113">
        <v>2</v>
      </c>
      <c r="C20" s="2281" t="s">
        <v>2023</v>
      </c>
      <c r="D20" s="2282"/>
      <c r="E20" s="2281"/>
      <c r="F20" s="2281"/>
      <c r="G20" s="2281"/>
      <c r="H20" s="2281"/>
      <c r="I20" s="2281"/>
      <c r="J20" s="2281"/>
      <c r="K20" s="168"/>
      <c r="L20" s="168"/>
      <c r="M20" s="1584"/>
      <c r="N20" s="2948"/>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2024</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2025</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2026</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2027</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2028</v>
      </c>
      <c r="B26" s="2324" t="s">
        <v>2029</v>
      </c>
      <c r="C26" s="2325" t="s">
        <v>2030</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2031</v>
      </c>
      <c r="B27" s="116">
        <v>160</v>
      </c>
      <c r="C27" s="1767" t="s">
        <v>2032</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2033</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2034</v>
      </c>
      <c r="B29" s="121">
        <f ca="1">'成本法 (元)'!C9</f>
        <v>26626</v>
      </c>
      <c r="C29" s="1767" t="s">
        <v>2035</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2036</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2037</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2038</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2039</v>
      </c>
      <c r="B33" s="726">
        <v>0.03</v>
      </c>
      <c r="C33" s="1766" t="s">
        <v>2040</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2041</v>
      </c>
      <c r="B34" s="122">
        <v>0.03</v>
      </c>
      <c r="C34" s="1766" t="s">
        <v>2042</v>
      </c>
      <c r="D34" s="2282" t="s">
        <v>2043</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2044</v>
      </c>
      <c r="B35" s="119">
        <v>200</v>
      </c>
      <c r="C35" s="1766" t="s">
        <v>2045</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2046</v>
      </c>
      <c r="B36" s="123">
        <v>1.4999999999999999E-2</v>
      </c>
      <c r="C36" s="1766" t="s">
        <v>2047</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2048</v>
      </c>
      <c r="B37" s="124">
        <v>0.03</v>
      </c>
      <c r="C37" s="1766" t="s">
        <v>2049</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2050</v>
      </c>
      <c r="B38" s="122">
        <v>0.03</v>
      </c>
      <c r="C38" s="1766" t="s">
        <v>2049</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2051</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2052</v>
      </c>
      <c r="B40" s="1303">
        <f ca="1">存贷款利率!G1</f>
        <v>4.7500000000000001E-2</v>
      </c>
      <c r="C40" s="1766" t="s">
        <v>2053</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2054</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2055</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2056</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2057</v>
      </c>
      <c r="B44" s="128">
        <v>7.0000000000000007E-2</v>
      </c>
      <c r="C44" s="1766" t="s">
        <v>2058</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2059</v>
      </c>
      <c r="B45" s="126">
        <v>0.03</v>
      </c>
      <c r="C45" s="1767" t="s">
        <v>2060</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2061</v>
      </c>
      <c r="B46" s="126">
        <v>0.02</v>
      </c>
      <c r="C46" s="1767" t="s">
        <v>2062</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2063</v>
      </c>
      <c r="B47" s="129"/>
      <c r="C47" s="1767" t="s">
        <v>2064</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2065</v>
      </c>
      <c r="B48" s="130">
        <v>0.03</v>
      </c>
      <c r="C48" s="1774" t="s">
        <v>2066</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2067</v>
      </c>
      <c r="B49" s="126">
        <v>5.0000000000000001E-4</v>
      </c>
      <c r="C49" s="1774" t="s">
        <v>2068</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2069</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2070</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2071</v>
      </c>
      <c r="B52" s="133">
        <f>SUMIF(A54:A63,B53,B54:B63)</f>
        <v>24</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2072</v>
      </c>
      <c r="B53" s="2340" t="s">
        <v>269</v>
      </c>
      <c r="C53" s="1430" t="s">
        <v>2073</v>
      </c>
      <c r="D53" s="2341" t="s">
        <v>2074</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2075</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2076</v>
      </c>
      <c r="B55" s="84">
        <v>24</v>
      </c>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2077</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2078</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2079</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2080</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2081</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2082</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2083</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2084</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71" t="s">
        <v>2085</v>
      </c>
      <c r="B1" s="3072"/>
      <c r="C1" s="3072"/>
      <c r="D1" s="3072"/>
      <c r="E1" s="3072"/>
      <c r="F1" s="3072"/>
      <c r="G1" s="3072"/>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2086</v>
      </c>
      <c r="D2" s="2370"/>
      <c r="E2" s="2371"/>
      <c r="F2" s="2290"/>
      <c r="G2" s="2369" t="s">
        <v>2087</v>
      </c>
      <c r="H2" s="2372"/>
      <c r="I2" s="2372"/>
      <c r="J2" s="2372"/>
      <c r="K2" s="2372"/>
      <c r="L2" s="2372"/>
      <c r="M2" s="2372"/>
      <c r="N2" s="2372"/>
      <c r="O2" s="2372"/>
      <c r="P2" s="2372"/>
      <c r="Q2" s="2372"/>
      <c r="R2" s="2372"/>
    </row>
    <row r="3" spans="1:29" ht="54">
      <c r="A3" s="415" t="s">
        <v>2088</v>
      </c>
      <c r="B3" s="1271" t="s">
        <v>2089</v>
      </c>
      <c r="C3" s="2374" t="s">
        <v>2090</v>
      </c>
      <c r="D3" s="2375"/>
      <c r="E3" s="431" t="s">
        <v>2088</v>
      </c>
      <c r="F3" s="2376" t="s">
        <v>2091</v>
      </c>
      <c r="G3" s="2377" t="s">
        <v>2092</v>
      </c>
      <c r="H3" s="2372"/>
      <c r="I3" s="2372"/>
      <c r="J3" s="2372"/>
      <c r="K3" s="2372"/>
      <c r="L3" s="2372"/>
      <c r="M3" s="2372"/>
      <c r="N3" s="2372"/>
      <c r="O3" s="2372"/>
      <c r="P3" s="2372"/>
      <c r="Q3" s="2372"/>
      <c r="R3" s="2372"/>
    </row>
    <row r="4" spans="1:29" ht="41.25">
      <c r="A4" s="431"/>
      <c r="B4" s="1798" t="s">
        <v>2093</v>
      </c>
      <c r="C4" s="2378" t="s">
        <v>2094</v>
      </c>
      <c r="D4" s="2375"/>
      <c r="E4" s="2379"/>
      <c r="F4" s="42" t="s">
        <v>2095</v>
      </c>
      <c r="G4" s="2380" t="s">
        <v>2096</v>
      </c>
      <c r="H4" s="2372"/>
      <c r="I4" s="2372"/>
      <c r="J4" s="2372"/>
      <c r="K4" s="2372"/>
      <c r="L4" s="2372"/>
      <c r="M4" s="2372"/>
      <c r="N4" s="2372"/>
      <c r="O4" s="2372"/>
      <c r="P4" s="2372"/>
      <c r="Q4" s="2372"/>
      <c r="R4" s="2372"/>
    </row>
    <row r="5" spans="1:29" ht="41.25">
      <c r="A5" s="431"/>
      <c r="B5" s="1798" t="s">
        <v>2097</v>
      </c>
      <c r="C5" s="2378" t="s">
        <v>2098</v>
      </c>
      <c r="D5" s="2375"/>
      <c r="E5" s="2379"/>
      <c r="F5" s="1798" t="s">
        <v>2099</v>
      </c>
      <c r="G5" s="2380" t="s">
        <v>2100</v>
      </c>
      <c r="H5" s="2372"/>
      <c r="I5" s="2372"/>
      <c r="J5" s="2372"/>
      <c r="K5" s="2372"/>
      <c r="L5" s="2372"/>
      <c r="M5" s="2372"/>
      <c r="N5" s="2372"/>
      <c r="O5" s="2372"/>
      <c r="P5" s="2372"/>
      <c r="Q5" s="2372"/>
      <c r="R5" s="2372"/>
    </row>
    <row r="6" spans="1:29" ht="54">
      <c r="A6" s="431"/>
      <c r="B6" s="1798" t="s">
        <v>2101</v>
      </c>
      <c r="C6" s="2380" t="s">
        <v>2096</v>
      </c>
      <c r="D6" s="2375"/>
      <c r="E6" s="2379"/>
      <c r="F6" s="1798" t="s">
        <v>2102</v>
      </c>
      <c r="G6" s="2380" t="s">
        <v>2103</v>
      </c>
      <c r="H6" s="2372"/>
      <c r="I6" s="2372"/>
      <c r="J6" s="2372"/>
      <c r="K6" s="2372"/>
      <c r="L6" s="2372"/>
      <c r="M6" s="2372"/>
      <c r="N6" s="2372"/>
      <c r="O6" s="2372"/>
      <c r="P6" s="2372"/>
      <c r="Q6" s="2372"/>
      <c r="R6" s="2372"/>
    </row>
    <row r="7" spans="1:29" ht="41.25" thickBot="1">
      <c r="A7" s="431"/>
      <c r="B7" s="1798" t="s">
        <v>2099</v>
      </c>
      <c r="C7" s="2380" t="s">
        <v>2100</v>
      </c>
      <c r="D7" s="2381"/>
      <c r="E7" s="2382"/>
      <c r="F7" s="2383" t="s">
        <v>2104</v>
      </c>
      <c r="G7" s="2384" t="s">
        <v>2105</v>
      </c>
      <c r="H7" s="2372"/>
      <c r="I7" s="2372"/>
      <c r="J7" s="2372"/>
      <c r="K7" s="2372"/>
      <c r="L7" s="2372"/>
      <c r="M7" s="2372"/>
      <c r="N7" s="2372"/>
      <c r="O7" s="2372"/>
      <c r="P7" s="2372"/>
      <c r="Q7" s="2372"/>
      <c r="R7" s="2372"/>
    </row>
    <row r="8" spans="1:29" ht="27">
      <c r="A8" s="431"/>
      <c r="B8" s="1798" t="s">
        <v>2102</v>
      </c>
      <c r="C8" s="2380" t="s">
        <v>2103</v>
      </c>
      <c r="D8" s="2381"/>
      <c r="E8" s="2381"/>
      <c r="F8" s="1136"/>
      <c r="G8" s="1136"/>
      <c r="H8" s="2372"/>
      <c r="I8" s="2372"/>
      <c r="J8" s="2372"/>
      <c r="K8" s="2372"/>
      <c r="L8" s="2372"/>
      <c r="M8" s="2372"/>
      <c r="N8" s="2372"/>
      <c r="O8" s="2372"/>
      <c r="P8" s="2372"/>
      <c r="Q8" s="2372"/>
      <c r="R8" s="2372"/>
    </row>
    <row r="9" spans="1:29" ht="27">
      <c r="A9" s="431"/>
      <c r="B9" s="1798" t="s">
        <v>2106</v>
      </c>
      <c r="C9" s="2378" t="s">
        <v>2107</v>
      </c>
      <c r="D9" s="2375"/>
      <c r="E9" s="2381"/>
      <c r="F9" s="1136"/>
      <c r="G9" s="1136"/>
      <c r="H9" s="2372"/>
      <c r="I9" s="2372"/>
      <c r="J9" s="2372"/>
      <c r="K9" s="2372"/>
      <c r="L9" s="2372"/>
      <c r="M9" s="2372"/>
      <c r="N9" s="2372"/>
      <c r="O9" s="2372"/>
      <c r="P9" s="2372"/>
      <c r="Q9" s="2372"/>
      <c r="R9" s="2372"/>
    </row>
    <row r="10" spans="1:29" s="117" customFormat="1" ht="15.75" thickBot="1">
      <c r="A10" s="2385"/>
      <c r="B10" s="2386" t="s">
        <v>2108</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2109</v>
      </c>
      <c r="B13" s="2392"/>
      <c r="C13" s="2392"/>
      <c r="D13" s="2399"/>
      <c r="E13" s="2392"/>
      <c r="F13" s="2392"/>
      <c r="G13" s="2392"/>
    </row>
    <row r="14" spans="1:29" ht="15.75" thickBot="1">
      <c r="A14" s="2403"/>
      <c r="B14" s="2404"/>
      <c r="C14" s="2405" t="s">
        <v>2110</v>
      </c>
      <c r="D14" s="2375"/>
      <c r="E14" s="2406"/>
      <c r="F14" s="2406"/>
      <c r="G14" s="2369" t="s">
        <v>2111</v>
      </c>
    </row>
    <row r="15" spans="1:29" ht="57">
      <c r="A15" s="68" t="s">
        <v>2112</v>
      </c>
      <c r="B15" s="1270" t="s">
        <v>2089</v>
      </c>
      <c r="C15" s="2407" t="str">
        <f>C3</f>
        <v>估价对象周边居住用地比例、居住小区规模和社区发展完善程度，综合评价居住社区成熟度一般</v>
      </c>
      <c r="D15" s="2375"/>
      <c r="E15" s="2408" t="s">
        <v>2113</v>
      </c>
      <c r="F15" s="1270" t="s">
        <v>2114</v>
      </c>
      <c r="G15" s="135" t="str">
        <f>G3</f>
        <v>估价对象位于XX开发区，园区建设成熟度XX，产业集聚程度XX</v>
      </c>
    </row>
    <row r="16" spans="1:29" ht="42.75">
      <c r="A16" s="645"/>
      <c r="B16" s="2409" t="s">
        <v>2093</v>
      </c>
      <c r="C16" s="2410" t="str">
        <f>C4</f>
        <v>估价对象位于XX商圈，周边商业氛围成熟，人流量大，商业繁华度好</v>
      </c>
      <c r="D16" s="2375"/>
      <c r="E16" s="2411"/>
      <c r="F16" s="2412" t="s">
        <v>2095</v>
      </c>
      <c r="G16" s="136" t="str">
        <f>G4</f>
        <v>估价对象周边道路状况、公共交通通达情况、停车便捷程度，综合评价交通便捷度较好</v>
      </c>
    </row>
    <row r="17" spans="1:18" ht="42.75">
      <c r="A17" s="645"/>
      <c r="B17" s="2409" t="s">
        <v>2097</v>
      </c>
      <c r="C17" s="2410" t="str">
        <f>C5</f>
        <v>估价对象位于XX商圈，周边办公楼项目较多，入驻率高，办公集聚程度较好</v>
      </c>
      <c r="D17" s="2381"/>
      <c r="E17" s="2411"/>
      <c r="F17" s="2412" t="s">
        <v>2115</v>
      </c>
      <c r="G17" s="1572"/>
    </row>
    <row r="18" spans="1:18" ht="57">
      <c r="A18" s="645"/>
      <c r="B18" s="2412" t="s">
        <v>2101</v>
      </c>
      <c r="C18" s="136" t="str">
        <f>C6</f>
        <v>估价对象周边道路状况、公共交通通达情况、停车便捷程度，综合评价交通便捷度较好</v>
      </c>
      <c r="D18" s="2381"/>
      <c r="E18" s="2411"/>
      <c r="F18" s="2412" t="s">
        <v>2104</v>
      </c>
      <c r="G18" s="136" t="str">
        <f>G7</f>
        <v>该园区内是否有污染型企业，绿化情况，卫生条件，整体环境状况判断</v>
      </c>
    </row>
    <row r="19" spans="1:18" ht="28.5">
      <c r="A19" s="645"/>
      <c r="B19" s="2412" t="s">
        <v>2116</v>
      </c>
      <c r="C19" s="1572"/>
      <c r="D19" s="2375"/>
      <c r="E19" s="2411"/>
      <c r="F19" s="1798" t="s">
        <v>2099</v>
      </c>
      <c r="G19" s="136" t="str">
        <f>G5</f>
        <v>估价对象所在区域公共配套设施齐备情况</v>
      </c>
    </row>
    <row r="20" spans="1:18" ht="28.5">
      <c r="A20" s="645"/>
      <c r="B20" s="2412" t="s">
        <v>2117</v>
      </c>
      <c r="C20" s="2410" t="str">
        <f>C9</f>
        <v>区域自然环境：；人文环境；综合评价环境状况一般</v>
      </c>
      <c r="D20" s="2381"/>
      <c r="E20" s="2411"/>
      <c r="F20" s="1798" t="s">
        <v>2118</v>
      </c>
      <c r="G20" s="136" t="str">
        <f>G6</f>
        <v>估价对象所在区域基础设施水平</v>
      </c>
    </row>
    <row r="21" spans="1:18" ht="28.5">
      <c r="A21" s="645"/>
      <c r="B21" s="1798" t="s">
        <v>2099</v>
      </c>
      <c r="C21" s="136" t="str">
        <f>C7</f>
        <v>估价对象所在区域公共配套设施齐备情况</v>
      </c>
      <c r="D21" s="2375"/>
      <c r="E21" s="2411"/>
      <c r="F21" s="2412" t="s">
        <v>2119</v>
      </c>
      <c r="G21" s="2413"/>
    </row>
    <row r="22" spans="1:18" ht="13.5" customHeight="1">
      <c r="A22" s="645"/>
      <c r="B22" s="1798" t="s">
        <v>2102</v>
      </c>
      <c r="C22" s="136" t="str">
        <f>C8</f>
        <v>估价对象所在区域基础设施水平</v>
      </c>
      <c r="D22" s="2375"/>
      <c r="E22" s="2411"/>
      <c r="F22" s="2412" t="s">
        <v>2108</v>
      </c>
      <c r="G22" s="1572"/>
    </row>
    <row r="23" spans="1:18" s="2372" customFormat="1" ht="15.75" thickBot="1">
      <c r="A23" s="645"/>
      <c r="B23" s="2412" t="s">
        <v>2119</v>
      </c>
      <c r="C23" s="2413"/>
      <c r="D23" s="2400"/>
      <c r="E23" s="2414"/>
      <c r="F23" s="2415" t="s">
        <v>2120</v>
      </c>
      <c r="G23" s="2416"/>
      <c r="H23" s="2400"/>
      <c r="I23" s="2401"/>
      <c r="J23" s="2400"/>
      <c r="K23" s="2400"/>
      <c r="L23" s="2401"/>
      <c r="M23" s="2400"/>
      <c r="N23" s="2400"/>
      <c r="O23" s="2401"/>
      <c r="P23" s="2400"/>
      <c r="Q23" s="2400"/>
      <c r="R23" s="2402"/>
    </row>
    <row r="24" spans="1:18" s="2372" customFormat="1" ht="15.75" thickBot="1">
      <c r="A24" s="2417"/>
      <c r="B24" s="2415" t="s">
        <v>2121</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29" sqref="F29"/>
    </sheetView>
  </sheetViews>
  <sheetFormatPr defaultRowHeight="13.5"/>
  <cols>
    <col min="1" max="1" width="23.375" style="1741" customWidth="1"/>
    <col min="2" max="9" width="15.75" style="1741" customWidth="1"/>
    <col min="10" max="16384" width="9" style="1741"/>
  </cols>
  <sheetData>
    <row r="1" spans="1:10" ht="16.5">
      <c r="A1" s="1746" t="s">
        <v>1365</v>
      </c>
      <c r="B1" s="1746">
        <f>SUM(B14:B23)</f>
        <v>1390.52</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43280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17981</v>
      </c>
      <c r="C5" s="1746">
        <f ca="1">ROUND(B5*10000/$B$1,0)</f>
        <v>129311</v>
      </c>
      <c r="D5" s="1746" t="e">
        <f ca="1">ROUND(B5*10000/$B$2,0)</f>
        <v>#DIV/0!</v>
      </c>
      <c r="E5" s="1745"/>
      <c r="F5" s="1743"/>
      <c r="G5" s="1743"/>
    </row>
    <row r="6" spans="1:10" ht="16.5">
      <c r="A6" s="1746" t="s">
        <v>1356</v>
      </c>
      <c r="B6" s="1746">
        <f ca="1">SUM(G14:G23)</f>
        <v>17981</v>
      </c>
      <c r="C6" s="1746">
        <f ca="1">ROUND(B6*10000/$B$1,0)</f>
        <v>129311</v>
      </c>
      <c r="D6" s="1746" t="e">
        <f ca="1">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166.41</v>
      </c>
      <c r="C14" s="1744">
        <f>结果表!C118</f>
        <v>0</v>
      </c>
      <c r="D14" s="1744">
        <f ca="1">结果表!H118</f>
        <v>2070</v>
      </c>
      <c r="E14" s="1744">
        <f ca="1">ROUND(D14*10000/B14,0)</f>
        <v>124392</v>
      </c>
      <c r="F14" s="1744" t="e">
        <f ca="1">ROUND(D14*10000/C14,0)</f>
        <v>#DIV/0!</v>
      </c>
      <c r="G14" s="1744">
        <f ca="1">结果表!D122</f>
        <v>2070</v>
      </c>
      <c r="H14" s="1744" t="str">
        <f>结果表!D124</f>
        <v>——</v>
      </c>
      <c r="I14" s="1744" t="str">
        <f>结果表!D126</f>
        <v>——</v>
      </c>
      <c r="J14" s="1743"/>
    </row>
    <row r="15" spans="1:10" ht="16.5">
      <c r="A15" s="1742" t="s">
        <v>1349</v>
      </c>
      <c r="B15" s="1749">
        <f>典型户型修正!B22-典型户型修正!B24</f>
        <v>1224.1099999999999</v>
      </c>
      <c r="C15" s="1749"/>
      <c r="D15" s="1749">
        <f ca="1">典型户型修正!S22-典型户型修正!S24</f>
        <v>15911</v>
      </c>
      <c r="E15" s="1744">
        <f t="shared" ref="E15:E23" ca="1" si="0">ROUND(D15*10000/B15,0)</f>
        <v>129980</v>
      </c>
      <c r="F15" s="1744" t="e">
        <f t="shared" ref="F15:F23" ca="1" si="1">ROUND(D15*10000/C15,0)</f>
        <v>#DIV/0!</v>
      </c>
      <c r="G15" s="1750">
        <f ca="1">D15</f>
        <v>15911</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2122</v>
      </c>
      <c r="B1" s="2423"/>
      <c r="C1" s="2424" t="s">
        <v>3087</v>
      </c>
      <c r="D1" s="2423"/>
      <c r="E1" s="2423"/>
      <c r="F1" s="2425" t="s">
        <v>2123</v>
      </c>
      <c r="G1" s="2074" t="s">
        <v>3052</v>
      </c>
      <c r="H1" s="2426" t="str">
        <f>IF(G1="现房","——","估价对象范围")</f>
        <v>——</v>
      </c>
      <c r="I1" s="2427"/>
    </row>
    <row r="2" spans="1:12" ht="21.75" customHeight="1" thickBot="1">
      <c r="A2" s="3106" t="str">
        <f>项目基本情况!S2</f>
        <v>北京市房地产</v>
      </c>
      <c r="B2" s="3107"/>
      <c r="C2" s="3107"/>
      <c r="D2" s="3107"/>
      <c r="E2" s="3107"/>
      <c r="F2" s="3107"/>
      <c r="G2" s="3107"/>
      <c r="H2" s="3107"/>
      <c r="I2" s="3108"/>
    </row>
    <row r="3" spans="1:12" ht="12.75">
      <c r="A3" s="3110" t="s">
        <v>2124</v>
      </c>
      <c r="B3" s="3111"/>
      <c r="C3" s="3111"/>
      <c r="D3" s="3111"/>
      <c r="E3" s="3111"/>
      <c r="F3" s="3111"/>
      <c r="G3" s="3111"/>
      <c r="H3" s="3111"/>
      <c r="I3" s="3111"/>
    </row>
    <row r="4" spans="1:12" ht="14.25">
      <c r="A4" s="2430" t="s">
        <v>2125</v>
      </c>
      <c r="B4" s="2431" t="s">
        <v>2126</v>
      </c>
      <c r="C4" s="2432" t="s">
        <v>3089</v>
      </c>
      <c r="D4" s="2432" t="s">
        <v>3090</v>
      </c>
      <c r="E4" s="3103" t="s">
        <v>2127</v>
      </c>
      <c r="F4" s="3104"/>
      <c r="G4" s="3104"/>
      <c r="H4" s="3104"/>
      <c r="I4" s="3112"/>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成本法</v>
      </c>
    </row>
    <row r="5" spans="1:12" ht="12.75">
      <c r="A5" s="3086" t="s">
        <v>2128</v>
      </c>
      <c r="B5" s="3024">
        <v>25</v>
      </c>
      <c r="C5" s="3089"/>
      <c r="D5" s="3109"/>
      <c r="E5" s="140" t="s">
        <v>2129</v>
      </c>
      <c r="F5" s="2434"/>
      <c r="G5" s="2434"/>
      <c r="H5" s="2434"/>
      <c r="I5" s="1834"/>
    </row>
    <row r="6" spans="1:12" ht="12.75">
      <c r="A6" s="3086"/>
      <c r="B6" s="3024"/>
      <c r="C6" s="3090"/>
      <c r="D6" s="3109"/>
      <c r="E6" s="140" t="s">
        <v>2130</v>
      </c>
      <c r="F6" s="2434"/>
      <c r="G6" s="2434"/>
      <c r="H6" s="2434"/>
      <c r="I6" s="1834"/>
    </row>
    <row r="7" spans="1:12" ht="12.75">
      <c r="A7" s="3086"/>
      <c r="B7" s="3024"/>
      <c r="C7" s="3091"/>
      <c r="D7" s="3109"/>
      <c r="E7" s="140" t="s">
        <v>2131</v>
      </c>
      <c r="F7" s="2434"/>
      <c r="G7" s="2434"/>
      <c r="H7" s="2434"/>
      <c r="I7" s="1834"/>
    </row>
    <row r="8" spans="1:12" ht="12.75">
      <c r="A8" s="3086" t="s">
        <v>2132</v>
      </c>
      <c r="B8" s="3024">
        <v>15</v>
      </c>
      <c r="C8" s="3089"/>
      <c r="D8" s="3109"/>
      <c r="E8" s="140" t="s">
        <v>2133</v>
      </c>
      <c r="F8" s="2434"/>
      <c r="G8" s="2434"/>
      <c r="H8" s="2434"/>
      <c r="I8" s="1834"/>
    </row>
    <row r="9" spans="1:12" ht="12.75">
      <c r="A9" s="3086"/>
      <c r="B9" s="3024"/>
      <c r="C9" s="3091"/>
      <c r="D9" s="3109"/>
      <c r="E9" s="140" t="s">
        <v>2134</v>
      </c>
      <c r="F9" s="2434"/>
      <c r="G9" s="2434"/>
      <c r="H9" s="2434"/>
      <c r="I9" s="1834"/>
    </row>
    <row r="10" spans="1:12" ht="12.75">
      <c r="A10" s="3086" t="s">
        <v>2135</v>
      </c>
      <c r="B10" s="3024">
        <v>15</v>
      </c>
      <c r="C10" s="3089"/>
      <c r="D10" s="3109"/>
      <c r="E10" s="140" t="s">
        <v>2136</v>
      </c>
      <c r="F10" s="2434"/>
      <c r="G10" s="2434"/>
      <c r="H10" s="2434"/>
      <c r="I10" s="1834"/>
    </row>
    <row r="11" spans="1:12" ht="12.75">
      <c r="A11" s="3086"/>
      <c r="B11" s="3024"/>
      <c r="C11" s="3091"/>
      <c r="D11" s="3109"/>
      <c r="E11" s="140" t="s">
        <v>2137</v>
      </c>
      <c r="F11" s="2434"/>
      <c r="G11" s="2434"/>
      <c r="H11" s="2434"/>
      <c r="I11" s="1834"/>
    </row>
    <row r="12" spans="1:12" ht="12.75">
      <c r="A12" s="3086" t="s">
        <v>2138</v>
      </c>
      <c r="B12" s="3024">
        <v>15</v>
      </c>
      <c r="C12" s="3089"/>
      <c r="D12" s="3109"/>
      <c r="E12" s="140" t="s">
        <v>2139</v>
      </c>
      <c r="F12" s="2434"/>
      <c r="G12" s="2434"/>
      <c r="H12" s="2434"/>
      <c r="I12" s="1834"/>
    </row>
    <row r="13" spans="1:12" ht="12.75">
      <c r="A13" s="3086"/>
      <c r="B13" s="3024"/>
      <c r="C13" s="3091"/>
      <c r="D13" s="3109"/>
      <c r="E13" s="140" t="s">
        <v>2140</v>
      </c>
      <c r="F13" s="2434"/>
      <c r="G13" s="2434"/>
      <c r="H13" s="2434"/>
      <c r="I13" s="1834"/>
    </row>
    <row r="14" spans="1:12" ht="12.75">
      <c r="A14" s="3086" t="s">
        <v>2141</v>
      </c>
      <c r="B14" s="3024">
        <v>30</v>
      </c>
      <c r="C14" s="3089">
        <v>0.8</v>
      </c>
      <c r="D14" s="3109">
        <f>1-C14</f>
        <v>0.19999999999999996</v>
      </c>
      <c r="E14" s="140" t="s">
        <v>2142</v>
      </c>
      <c r="F14" s="2434"/>
      <c r="G14" s="2434"/>
      <c r="H14" s="2434"/>
      <c r="I14" s="1834"/>
    </row>
    <row r="15" spans="1:12" ht="12.75">
      <c r="A15" s="3086"/>
      <c r="B15" s="3024"/>
      <c r="C15" s="3090"/>
      <c r="D15" s="3109"/>
      <c r="E15" s="140" t="s">
        <v>2143</v>
      </c>
      <c r="F15" s="2434"/>
      <c r="G15" s="2434"/>
      <c r="H15" s="2434"/>
      <c r="I15" s="1834"/>
    </row>
    <row r="16" spans="1:12" ht="12.75">
      <c r="A16" s="3086"/>
      <c r="B16" s="3024"/>
      <c r="C16" s="3091"/>
      <c r="D16" s="3109"/>
      <c r="E16" s="140" t="s">
        <v>2144</v>
      </c>
      <c r="F16" s="2434"/>
      <c r="G16" s="2434"/>
      <c r="H16" s="2434"/>
      <c r="I16" s="1834"/>
    </row>
    <row r="17" spans="1:35" ht="15">
      <c r="A17" s="2435" t="s">
        <v>2145</v>
      </c>
      <c r="B17" s="64"/>
      <c r="C17" s="141">
        <f>SUM(C5:C16)</f>
        <v>0.8</v>
      </c>
      <c r="D17" s="141">
        <f>SUM(D5:D16)</f>
        <v>0.19999999999999996</v>
      </c>
      <c r="E17" s="138"/>
      <c r="F17" s="138"/>
      <c r="G17" s="138"/>
      <c r="H17" s="138"/>
      <c r="I17" s="138"/>
      <c r="K17" s="2433"/>
      <c r="L17" s="2436" t="s">
        <v>2146</v>
      </c>
      <c r="M17" s="2436" t="s">
        <v>2147</v>
      </c>
    </row>
    <row r="18" spans="1:35" ht="15.75" thickBot="1">
      <c r="A18" s="2437" t="s">
        <v>2148</v>
      </c>
      <c r="B18" s="2438"/>
      <c r="C18" s="142">
        <f>ROUND(C17/SUM(C17:D17),2)</f>
        <v>0.8</v>
      </c>
      <c r="D18" s="142">
        <f>1-C18</f>
        <v>0.19999999999999996</v>
      </c>
      <c r="E18" s="138"/>
      <c r="F18" s="138"/>
      <c r="G18" s="138"/>
      <c r="H18" s="138"/>
      <c r="I18" s="138"/>
      <c r="K18" s="2433" t="s">
        <v>2149</v>
      </c>
      <c r="L18" s="2433">
        <f>IF(C1="",'数据-汇总表'!E3,SUMIF(项目类型,C1,'数据-汇总表'!E17:E26)+SUMIF(项目类型,C1,'数据-汇总表'!I17:I26))</f>
        <v>166.41</v>
      </c>
      <c r="M18" s="2433">
        <f>IF(C1="",'数据-汇总表'!E3,SUMIF(项目类型,C1,'数据-汇总表'!E17:E26))</f>
        <v>166.41</v>
      </c>
    </row>
    <row r="19" spans="1:35" ht="15">
      <c r="A19" s="2439" t="s">
        <v>2150</v>
      </c>
      <c r="B19" s="2440" t="s">
        <v>2151</v>
      </c>
      <c r="C19" s="143">
        <f ca="1">SUMIF(INDIRECT("'"&amp;C4&amp;"'"&amp;"!A:A"),结果表!B19,INDIRECT("'"&amp;C4&amp;"'"&amp;"!B:B"))</f>
        <v>2272</v>
      </c>
      <c r="D19" s="144">
        <f ca="1">SUMIF(INDIRECT("'"&amp;D4&amp;"'"&amp;"!A:A"),结果表!B19,INDIRECT("'"&amp;D4&amp;"'"&amp;"!B:B"))</f>
        <v>1260</v>
      </c>
      <c r="E19" s="2439" t="s">
        <v>2152</v>
      </c>
      <c r="F19" s="2440" t="s">
        <v>2151</v>
      </c>
      <c r="G19" s="145">
        <f ca="1">ROUND(C19*$C$18+D19*$D$18,0)</f>
        <v>2070</v>
      </c>
      <c r="H19" s="2441" t="s">
        <v>2153</v>
      </c>
      <c r="I19" s="138"/>
      <c r="K19" s="2433" t="s">
        <v>2154</v>
      </c>
      <c r="L19" s="2433">
        <f>IF(C1="",'数据-汇总表'!D3,SUMIF(项目类型,C1,'数据-汇总表'!D17:D26)+SUMIF(项目类型,C1,'数据-汇总表'!H17:H27))</f>
        <v>0</v>
      </c>
      <c r="M19" s="2433">
        <f>IF(C1="",'数据-汇总表'!D3,SUMIF(项目类型,C1,'数据-汇总表'!D17:D26))</f>
        <v>0</v>
      </c>
    </row>
    <row r="20" spans="1:35" ht="15">
      <c r="A20" s="2442"/>
      <c r="B20" s="1250" t="s">
        <v>2155</v>
      </c>
      <c r="C20" s="146">
        <f ca="1">SUMIF(INDIRECT("'"&amp;C4&amp;"'"&amp;"!A:A"),结果表!B20,INDIRECT("'"&amp;C4&amp;"'"&amp;"!B:B"))</f>
        <v>136556</v>
      </c>
      <c r="D20" s="147">
        <f ca="1">SUMIF(INDIRECT("'"&amp;D4&amp;"'"&amp;"!A:A"),结果表!B20,INDIRECT("'"&amp;D4&amp;"'"&amp;"!B:B"))</f>
        <v>75717</v>
      </c>
      <c r="E20" s="2442"/>
      <c r="F20" s="1250" t="s">
        <v>2155</v>
      </c>
      <c r="G20" s="148">
        <f ca="1">ROUND(C20*$C$18+D20*$D$18,0)</f>
        <v>124388</v>
      </c>
      <c r="H20" s="983" t="s">
        <v>2156</v>
      </c>
      <c r="I20" s="138"/>
    </row>
    <row r="21" spans="1:35" ht="15" customHeight="1" thickBot="1">
      <c r="A21" s="1003"/>
      <c r="B21" s="2443" t="s">
        <v>2157</v>
      </c>
      <c r="C21" s="789" t="e">
        <f ca="1">ROUND(C19*10000/L19,0)</f>
        <v>#DIV/0!</v>
      </c>
      <c r="D21" s="790" t="e">
        <f ca="1">ROUND(D19*10000/L19,0)</f>
        <v>#DIV/0!</v>
      </c>
      <c r="E21" s="1003"/>
      <c r="F21" s="2443" t="s">
        <v>2157</v>
      </c>
      <c r="G21" s="149" t="e">
        <f ca="1">ROUND(G19*10000/L19,0)</f>
        <v>#DIV/0!</v>
      </c>
      <c r="H21" s="2444" t="s">
        <v>2156</v>
      </c>
      <c r="I21" s="138"/>
    </row>
    <row r="22" spans="1:35" ht="15" thickBot="1">
      <c r="A22" s="2285" t="s">
        <v>2158</v>
      </c>
      <c r="B22" s="2445"/>
      <c r="C22" s="2446"/>
      <c r="D22" s="791">
        <f ca="1">IF(C19&lt;D19,D19/C19-1,C19/D19-1)</f>
        <v>0.80317460317460321</v>
      </c>
      <c r="E22" s="138"/>
      <c r="F22" s="138"/>
      <c r="G22" s="138"/>
      <c r="H22" s="138"/>
      <c r="I22" s="138"/>
    </row>
    <row r="23" spans="1:35" ht="13.5" thickBot="1">
      <c r="A23" s="2423"/>
      <c r="B23" s="2423"/>
      <c r="C23" s="2423"/>
      <c r="D23" s="2423"/>
      <c r="E23" s="138"/>
      <c r="F23" s="138"/>
      <c r="G23" s="138"/>
      <c r="H23" s="138"/>
      <c r="I23" s="138"/>
    </row>
    <row r="24" spans="1:35" ht="14.25">
      <c r="A24" s="3080" t="s">
        <v>2159</v>
      </c>
      <c r="B24" s="2440" t="s">
        <v>2151</v>
      </c>
      <c r="C24" s="145">
        <f>IF(B30=0,0,D30)</f>
        <v>0</v>
      </c>
      <c r="D24" s="2447"/>
      <c r="E24" s="138"/>
      <c r="F24" s="138"/>
      <c r="G24" s="138"/>
      <c r="H24" s="138"/>
      <c r="I24" s="138"/>
    </row>
    <row r="25" spans="1:35" ht="14.25">
      <c r="A25" s="3081"/>
      <c r="B25" s="1250" t="s">
        <v>2155</v>
      </c>
      <c r="C25" s="150">
        <f>IF(B30=0,0,C30)</f>
        <v>0</v>
      </c>
      <c r="D25" s="2448"/>
      <c r="E25" s="138"/>
      <c r="F25" s="138"/>
      <c r="G25" s="138"/>
      <c r="H25" s="138"/>
      <c r="I25" s="138"/>
    </row>
    <row r="26" spans="1:35" ht="13.5" customHeight="1">
      <c r="A26" s="2449" t="s">
        <v>2160</v>
      </c>
      <c r="B26" s="151" t="s">
        <v>2161</v>
      </c>
      <c r="C26" s="151" t="s">
        <v>2162</v>
      </c>
      <c r="D26" s="152" t="s">
        <v>2163</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2164</v>
      </c>
      <c r="B30" s="151"/>
      <c r="C30" s="151"/>
      <c r="D30" s="151"/>
      <c r="E30" s="2930" t="s">
        <v>3036</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2165</v>
      </c>
      <c r="B32" s="2453"/>
      <c r="C32" s="153">
        <f ca="1">IF(D32="总价",G19-C24,G20-C25)</f>
        <v>2070</v>
      </c>
      <c r="D32" s="2454" t="s">
        <v>2166</v>
      </c>
      <c r="E32" s="138"/>
      <c r="F32" s="138"/>
      <c r="G32" s="138"/>
      <c r="H32" s="138"/>
      <c r="I32" s="138"/>
    </row>
    <row r="33" spans="1:15" ht="15">
      <c r="A33" s="960" t="s">
        <v>2167</v>
      </c>
      <c r="B33" s="2455"/>
      <c r="C33" s="2456"/>
      <c r="D33" s="2457"/>
      <c r="E33" s="2458" t="s">
        <v>2168</v>
      </c>
      <c r="F33" s="2459" t="str">
        <f>IF(D32="楼面单价","取值（单价）","取值（总价）")</f>
        <v>取值（总价）</v>
      </c>
      <c r="G33" s="138"/>
      <c r="H33" s="138"/>
      <c r="I33" s="138"/>
    </row>
    <row r="34" spans="1:15" ht="15">
      <c r="A34" s="2460"/>
      <c r="B34" s="2461" t="s">
        <v>2169</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2170</v>
      </c>
      <c r="F34" s="1739"/>
      <c r="G34" s="138"/>
      <c r="H34" s="138"/>
      <c r="I34" s="138"/>
    </row>
    <row r="35" spans="1:15" ht="15.75" thickBot="1">
      <c r="A35" s="2463"/>
      <c r="B35" s="2464" t="s">
        <v>2171</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2172</v>
      </c>
      <c r="F35" s="163"/>
      <c r="G35" s="138"/>
      <c r="H35" s="138"/>
      <c r="I35" s="138"/>
    </row>
    <row r="36" spans="1:15" ht="15.75" thickBot="1">
      <c r="A36" s="3098" t="s">
        <v>2173</v>
      </c>
      <c r="B36" s="2466" t="s">
        <v>2174</v>
      </c>
      <c r="C36" s="154"/>
      <c r="D36" s="2467"/>
      <c r="E36" s="2468"/>
      <c r="F36" s="2469"/>
      <c r="G36" s="138"/>
      <c r="H36" s="138"/>
      <c r="I36" s="138"/>
    </row>
    <row r="37" spans="1:15" ht="15.75" thickBot="1">
      <c r="A37" s="3099"/>
      <c r="B37" s="2271" t="s">
        <v>2175</v>
      </c>
      <c r="C37" s="156"/>
      <c r="D37" s="1395"/>
      <c r="E37" s="1395"/>
      <c r="F37" s="2469"/>
      <c r="G37" s="138"/>
      <c r="H37" s="138"/>
      <c r="I37" s="138"/>
    </row>
    <row r="38" spans="1:15" ht="15.75" thickBot="1">
      <c r="A38" s="3100"/>
      <c r="B38" s="2470" t="s">
        <v>2176</v>
      </c>
      <c r="C38" s="727"/>
      <c r="D38" s="2471" t="s">
        <v>2177</v>
      </c>
      <c r="E38" s="1395"/>
      <c r="F38" s="2469"/>
      <c r="G38" s="138"/>
      <c r="H38" s="138"/>
      <c r="I38" s="138"/>
    </row>
    <row r="39" spans="1:15" ht="15">
      <c r="A39" s="2442" t="s">
        <v>2178</v>
      </c>
      <c r="B39" s="2472" t="s">
        <v>2179</v>
      </c>
      <c r="C39" s="2473" t="s">
        <v>2180</v>
      </c>
      <c r="D39" s="2473" t="s">
        <v>2181</v>
      </c>
      <c r="E39" s="2474" t="s">
        <v>2182</v>
      </c>
      <c r="F39" s="2469"/>
      <c r="G39" s="138"/>
      <c r="H39" s="138"/>
      <c r="I39" s="138"/>
    </row>
    <row r="40" spans="1:15" ht="14.25">
      <c r="A40" s="2475" t="s">
        <v>2183</v>
      </c>
      <c r="B40" s="158"/>
      <c r="C40" s="159"/>
      <c r="D40" s="159"/>
      <c r="E40" s="160"/>
      <c r="F40" s="2469"/>
      <c r="G40" s="138"/>
      <c r="H40" s="138"/>
      <c r="I40" s="138"/>
    </row>
    <row r="41" spans="1:15" ht="14.25">
      <c r="A41" s="2475" t="s">
        <v>2184</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2185</v>
      </c>
      <c r="B44" s="2480"/>
      <c r="C44" s="2480"/>
      <c r="D44" s="2481"/>
      <c r="E44" s="2481"/>
      <c r="F44" s="2482"/>
      <c r="G44" s="2482"/>
      <c r="H44" s="2482"/>
      <c r="I44" s="2482"/>
      <c r="J44" s="2483" t="s">
        <v>2186</v>
      </c>
      <c r="K44" s="2484"/>
      <c r="L44" s="2484"/>
      <c r="M44" s="2484"/>
      <c r="N44" s="2484"/>
      <c r="O44" s="2484"/>
    </row>
    <row r="45" spans="1:15" ht="14.25" customHeight="1" thickBot="1">
      <c r="A45" s="3077" t="s">
        <v>2187</v>
      </c>
      <c r="B45" s="3078"/>
      <c r="C45" s="3079"/>
      <c r="D45" s="164">
        <f ca="1">ROUND(H101*F45,0)</f>
        <v>2070</v>
      </c>
      <c r="E45" s="165" t="s">
        <v>2188</v>
      </c>
      <c r="F45" s="166">
        <v>1</v>
      </c>
      <c r="G45" s="167" t="s">
        <v>2189</v>
      </c>
      <c r="H45" s="138"/>
      <c r="I45" s="138"/>
      <c r="J45" s="3137" t="s">
        <v>2190</v>
      </c>
      <c r="K45" s="3137"/>
      <c r="L45" s="3137"/>
      <c r="M45" s="3137"/>
      <c r="N45" s="3137"/>
      <c r="O45" s="3137"/>
    </row>
    <row r="46" spans="1:15" ht="14.25" customHeight="1">
      <c r="A46" s="3074" t="s">
        <v>2191</v>
      </c>
      <c r="B46" s="3075"/>
      <c r="C46" s="3075"/>
      <c r="D46" s="3075"/>
      <c r="E46" s="3075"/>
      <c r="F46" s="3075"/>
      <c r="G46" s="3076"/>
      <c r="H46" s="2485"/>
      <c r="I46" s="168"/>
      <c r="J46" s="1812">
        <v>1</v>
      </c>
      <c r="K46" s="3137" t="s">
        <v>2192</v>
      </c>
      <c r="L46" s="3137"/>
      <c r="M46" s="3157"/>
      <c r="N46" s="3157"/>
      <c r="O46" s="3157"/>
    </row>
    <row r="47" spans="1:15" ht="12" customHeight="1">
      <c r="A47" s="169" t="s">
        <v>2193</v>
      </c>
      <c r="B47" s="170"/>
      <c r="C47" s="171"/>
      <c r="D47" s="172" t="s">
        <v>2194</v>
      </c>
      <c r="E47" s="24" t="s">
        <v>2195</v>
      </c>
      <c r="F47" s="173" t="s">
        <v>2196</v>
      </c>
      <c r="G47" s="174" t="s">
        <v>2197</v>
      </c>
      <c r="H47" s="2485"/>
      <c r="I47" s="168"/>
      <c r="J47" s="1812">
        <v>2</v>
      </c>
      <c r="K47" s="3137" t="s">
        <v>2198</v>
      </c>
      <c r="L47" s="3137"/>
      <c r="M47" s="3158">
        <f>'数据-取费表'!B2</f>
        <v>43280</v>
      </c>
      <c r="N47" s="3158"/>
      <c r="O47" s="3158"/>
    </row>
    <row r="48" spans="1:15" ht="25.5">
      <c r="A48" s="3105" t="s">
        <v>2199</v>
      </c>
      <c r="B48" s="3088"/>
      <c r="C48" s="3088"/>
      <c r="D48" s="140">
        <f>IF(H48="情况1",0,IF(H48="情况2",D52,IF(H48="情况3",D53,IF(H48="情况4",D54))))</f>
        <v>0</v>
      </c>
      <c r="E48" s="1801" t="str">
        <f>IF(H48="情况4","(销售额-原购置价)×税（费）率","销售额×税（费）率")</f>
        <v>销售额×税（费）率</v>
      </c>
      <c r="F48" s="175" t="str">
        <f>IF(H48="情况1","免征",'数据-取费表'!B41)</f>
        <v>免征</v>
      </c>
      <c r="G48" s="2486" t="s">
        <v>2200</v>
      </c>
      <c r="H48" s="2487" t="s">
        <v>2201</v>
      </c>
      <c r="I48" s="2485"/>
      <c r="J48" s="1812">
        <v>3</v>
      </c>
      <c r="K48" s="3137" t="s">
        <v>2202</v>
      </c>
      <c r="L48" s="3137"/>
      <c r="M48" s="3159">
        <f ca="1">H101</f>
        <v>2070</v>
      </c>
      <c r="N48" s="3159"/>
      <c r="O48" s="3159"/>
    </row>
    <row r="49" spans="1:35" ht="25.5" customHeight="1">
      <c r="A49" s="176" t="s">
        <v>2203</v>
      </c>
      <c r="B49" s="3073" t="s">
        <v>2204</v>
      </c>
      <c r="C49" s="3073"/>
      <c r="D49" s="177">
        <v>0</v>
      </c>
      <c r="E49" s="23" t="s">
        <v>2205</v>
      </c>
      <c r="F49" s="28" t="s">
        <v>34</v>
      </c>
      <c r="G49" s="3143"/>
      <c r="H49" s="138"/>
      <c r="I49" s="2488"/>
      <c r="J49" s="1812">
        <v>4</v>
      </c>
      <c r="K49" s="3137" t="str">
        <f>IF(项目基本情况!E8="房地产抵押价值","房地产抵押价值","抵押担保权已注销时的房地产抵押价值")</f>
        <v>房地产抵押价值</v>
      </c>
      <c r="L49" s="3137"/>
      <c r="M49" s="3159">
        <f ca="1">IF(项目基本情况!E8="房地产抵押价值",H107,H109)</f>
        <v>2070</v>
      </c>
      <c r="N49" s="3159"/>
      <c r="O49" s="3159"/>
    </row>
    <row r="50" spans="1:35" ht="25.5" customHeight="1">
      <c r="A50" s="178"/>
      <c r="B50" s="3073" t="s">
        <v>2206</v>
      </c>
      <c r="C50" s="3073"/>
      <c r="D50" s="179"/>
      <c r="E50" s="31"/>
      <c r="F50" s="180"/>
      <c r="G50" s="3144"/>
      <c r="H50" s="138"/>
      <c r="I50" s="2488"/>
      <c r="J50" s="3137" t="s">
        <v>2207</v>
      </c>
      <c r="K50" s="3137"/>
      <c r="L50" s="3137"/>
      <c r="M50" s="3137"/>
      <c r="N50" s="3137"/>
      <c r="O50" s="3137"/>
    </row>
    <row r="51" spans="1:35" ht="12" customHeight="1">
      <c r="A51" s="181"/>
      <c r="B51" s="3073" t="s">
        <v>2208</v>
      </c>
      <c r="C51" s="3073"/>
      <c r="D51" s="182"/>
      <c r="E51" s="30"/>
      <c r="F51" s="180"/>
      <c r="G51" s="3145"/>
      <c r="H51" s="138"/>
      <c r="I51" s="2488"/>
      <c r="J51" s="2489" t="s">
        <v>2209</v>
      </c>
      <c r="K51" s="3137" t="s">
        <v>2210</v>
      </c>
      <c r="L51" s="3137"/>
      <c r="M51" s="2489" t="s">
        <v>2211</v>
      </c>
      <c r="N51" s="2489" t="s">
        <v>2212</v>
      </c>
      <c r="O51" s="2489" t="s">
        <v>2213</v>
      </c>
    </row>
    <row r="52" spans="1:35" ht="24" customHeight="1">
      <c r="A52" s="183" t="s">
        <v>2214</v>
      </c>
      <c r="B52" s="3073" t="s">
        <v>2215</v>
      </c>
      <c r="C52" s="3073"/>
      <c r="D52" s="182">
        <f ca="1">ROUND(D45*'数据-取费表'!B41/(1+'数据-取费表'!C42),0)</f>
        <v>110</v>
      </c>
      <c r="E52" s="11" t="s">
        <v>2216</v>
      </c>
      <c r="F52" s="184">
        <f>'数据-取费表'!B41</f>
        <v>5.6000000000000001E-2</v>
      </c>
      <c r="G52" s="2490"/>
      <c r="H52" s="138"/>
      <c r="I52" s="2488"/>
      <c r="J52" s="1812">
        <v>1</v>
      </c>
      <c r="K52" s="3138" t="s">
        <v>2217</v>
      </c>
      <c r="L52" s="3138"/>
      <c r="M52" s="1754">
        <f>D48</f>
        <v>0</v>
      </c>
      <c r="N52" s="1812" t="str">
        <f>E48</f>
        <v>销售额×税（费）率</v>
      </c>
      <c r="O52" s="1755" t="str">
        <f>F48</f>
        <v>免征</v>
      </c>
    </row>
    <row r="53" spans="1:35" ht="12" customHeight="1">
      <c r="A53" s="183" t="s">
        <v>2218</v>
      </c>
      <c r="B53" s="3096" t="s">
        <v>2219</v>
      </c>
      <c r="C53" s="3097"/>
      <c r="D53" s="182">
        <f ca="1">ROUND(D45*'数据-取费表'!B41/(1+'数据-取费表'!C42),0)</f>
        <v>110</v>
      </c>
      <c r="E53" s="11" t="s">
        <v>2216</v>
      </c>
      <c r="F53" s="184">
        <f>'数据-取费表'!B41</f>
        <v>5.6000000000000001E-2</v>
      </c>
      <c r="G53" s="2490"/>
      <c r="H53" s="138"/>
      <c r="I53" s="2488"/>
      <c r="J53" s="1812">
        <v>2</v>
      </c>
      <c r="K53" s="3138" t="s">
        <v>2220</v>
      </c>
      <c r="L53" s="3138"/>
      <c r="M53" s="1754">
        <f t="shared" ref="M53:O54" ca="1" si="0">D55</f>
        <v>1</v>
      </c>
      <c r="N53" s="1812" t="str">
        <f t="shared" si="0"/>
        <v>销售额×税（费）率</v>
      </c>
      <c r="O53" s="1755">
        <f t="shared" si="0"/>
        <v>5.0000000000000001E-4</v>
      </c>
    </row>
    <row r="54" spans="1:35" ht="12" customHeight="1">
      <c r="A54" s="183" t="s">
        <v>2221</v>
      </c>
      <c r="B54" s="3096" t="s">
        <v>2222</v>
      </c>
      <c r="C54" s="3097"/>
      <c r="D54" s="182">
        <f ca="1">C68</f>
        <v>110</v>
      </c>
      <c r="E54" s="30" t="s">
        <v>2223</v>
      </c>
      <c r="F54" s="184">
        <f>'数据-取费表'!B41</f>
        <v>5.6000000000000001E-2</v>
      </c>
      <c r="G54" s="2490"/>
      <c r="H54" s="2491"/>
      <c r="I54" s="2488"/>
      <c r="J54" s="1812">
        <v>3</v>
      </c>
      <c r="K54" s="3138" t="s">
        <v>2224</v>
      </c>
      <c r="L54" s="3138"/>
      <c r="M54" s="1754">
        <f t="shared" ca="1" si="0"/>
        <v>1171</v>
      </c>
      <c r="N54" s="1812" t="str">
        <f t="shared" si="0"/>
        <v>增值额×税（费）率</v>
      </c>
      <c r="O54" s="1756" t="str">
        <f t="shared" si="0"/>
        <v>——</v>
      </c>
    </row>
    <row r="55" spans="1:35" ht="24" customHeight="1">
      <c r="A55" s="3087" t="s">
        <v>2225</v>
      </c>
      <c r="B55" s="3088"/>
      <c r="C55" s="3088"/>
      <c r="D55" s="185">
        <f ca="1">IF(H55="个人住宅",0,ROUND(D45*I55,0))</f>
        <v>1</v>
      </c>
      <c r="E55" s="11" t="s">
        <v>2226</v>
      </c>
      <c r="F55" s="184">
        <f>IF(H55="正常",I55,"免征")</f>
        <v>5.0000000000000001E-4</v>
      </c>
      <c r="G55" s="2490"/>
      <c r="H55" s="2487" t="s">
        <v>2227</v>
      </c>
      <c r="I55" s="186">
        <f>'数据-取费表'!B49</f>
        <v>5.0000000000000001E-4</v>
      </c>
      <c r="J55" s="1812" t="str">
        <f>IF(H59="非个人房产","",4)</f>
        <v/>
      </c>
      <c r="K55" s="3138" t="str">
        <f>IF(H59="非个人房产","——","个人所得税")</f>
        <v>——</v>
      </c>
      <c r="L55" s="3138"/>
      <c r="M55" s="1757" t="str">
        <f>D59</f>
        <v>——</v>
      </c>
      <c r="N55" s="1810" t="str">
        <f>E59</f>
        <v>——</v>
      </c>
      <c r="O55" s="1758" t="str">
        <f>F59</f>
        <v>——</v>
      </c>
    </row>
    <row r="56" spans="1:35" ht="24.75">
      <c r="A56" s="3087" t="s">
        <v>2228</v>
      </c>
      <c r="B56" s="3088"/>
      <c r="C56" s="3088"/>
      <c r="D56" s="185">
        <f ca="1">IF(H56="个人住宅",D57,D58)</f>
        <v>1171</v>
      </c>
      <c r="E56" s="11" t="s">
        <v>2229</v>
      </c>
      <c r="F56" s="184" t="str">
        <f>IF(H56="正常",F58,"免征")</f>
        <v>——</v>
      </c>
      <c r="G56" s="2492" t="s">
        <v>2230</v>
      </c>
      <c r="H56" s="2493" t="s">
        <v>2227</v>
      </c>
      <c r="I56" s="2494"/>
      <c r="J56" s="1812" t="str">
        <f>IF(项目基本情况!K6="上海银行",IF(J55="",4,J55+1),"")</f>
        <v/>
      </c>
      <c r="K56" s="3161" t="str">
        <f>IF(项目基本情况!K6="上海银行","其他处置费用","")</f>
        <v/>
      </c>
      <c r="L56" s="3162"/>
      <c r="M56" s="1754" t="str">
        <f>IF(项目基本情况!K6="上海银行",M69,"")</f>
        <v/>
      </c>
      <c r="N56" s="3164" t="str">
        <f>IF(项目基本情况!K6="上海银行","包含处置中涉及的律师、诉讼、拍卖、评估等费用","")</f>
        <v/>
      </c>
      <c r="O56" s="3165"/>
    </row>
    <row r="57" spans="1:35" ht="12.75">
      <c r="A57" s="183" t="s">
        <v>2203</v>
      </c>
      <c r="B57" s="3103" t="s">
        <v>2231</v>
      </c>
      <c r="C57" s="3112"/>
      <c r="D57" s="187">
        <v>0</v>
      </c>
      <c r="E57" s="23" t="s">
        <v>2205</v>
      </c>
      <c r="F57" s="155"/>
      <c r="G57" s="2490"/>
      <c r="H57" s="2494"/>
      <c r="I57" s="2494"/>
      <c r="J57" s="3138">
        <f>IF(AND(J55="",J56=""),4,IF(项目基本情况!K6="上海银行",结果表!J56+1,结果表!J55+1))</f>
        <v>4</v>
      </c>
      <c r="K57" s="3138" t="s">
        <v>2232</v>
      </c>
      <c r="L57" s="2495" t="s">
        <v>2233</v>
      </c>
      <c r="M57" s="1759"/>
      <c r="N57" s="1760">
        <f ca="1">SUMIF(M52:M56,"&lt;9e307")</f>
        <v>1172</v>
      </c>
      <c r="O57" s="2496"/>
      <c r="P57" s="1753">
        <f ca="1">N57/M49</f>
        <v>0.5661835748792271</v>
      </c>
    </row>
    <row r="58" spans="1:35" ht="24.75">
      <c r="A58" s="183" t="s">
        <v>2214</v>
      </c>
      <c r="B58" s="3103" t="s">
        <v>2234</v>
      </c>
      <c r="C58" s="3104"/>
      <c r="D58" s="185">
        <f ca="1">IF(H58="转让取得",C81,C97)</f>
        <v>1171</v>
      </c>
      <c r="E58" s="11" t="s">
        <v>2229</v>
      </c>
      <c r="F58" s="24" t="s">
        <v>34</v>
      </c>
      <c r="G58" s="2490"/>
      <c r="H58" s="2493" t="s">
        <v>2235</v>
      </c>
      <c r="I58" s="2494"/>
      <c r="J58" s="3138"/>
      <c r="K58" s="3138"/>
      <c r="L58" s="2495" t="s">
        <v>2236</v>
      </c>
      <c r="M58" s="1761"/>
      <c r="N58" s="2497" t="str">
        <f ca="1">NUMBERSTRING(INT(N57*10000),2)&amp;"元整"</f>
        <v>壹仟壹佰柒拾贰万元整</v>
      </c>
      <c r="O58" s="2498"/>
    </row>
    <row r="59" spans="1:35" ht="24.75" thickBot="1">
      <c r="A59" s="3141" t="s">
        <v>2237</v>
      </c>
      <c r="B59" s="3142"/>
      <c r="C59" s="3142"/>
      <c r="D59" s="188" t="str">
        <f>IF(H59="非个人房产","——",IF(H59="个人住宅",0,ROUND(D45*I59,0)))</f>
        <v>——</v>
      </c>
      <c r="E59" s="189" t="str">
        <f>IF(H59="非个人房产","——","销售额×税（费）率")</f>
        <v>——</v>
      </c>
      <c r="F59" s="190" t="str">
        <f>IF(H59="非个人房产","——",IF(H59="个人住宅","免征",I59))</f>
        <v>——</v>
      </c>
      <c r="G59" s="2499" t="s">
        <v>2230</v>
      </c>
      <c r="H59" s="2493" t="s">
        <v>2238</v>
      </c>
      <c r="I59" s="191">
        <v>0.01</v>
      </c>
      <c r="J59" s="3139">
        <f>J57+1</f>
        <v>5</v>
      </c>
      <c r="K59" s="3138" t="s">
        <v>2239</v>
      </c>
      <c r="L59" s="1812" t="s">
        <v>2233</v>
      </c>
      <c r="M59" s="1762"/>
      <c r="N59" s="1763">
        <f ca="1">M49-N57</f>
        <v>898</v>
      </c>
      <c r="O59" s="2500"/>
    </row>
    <row r="60" spans="1:35" ht="12" customHeight="1">
      <c r="A60" s="2501"/>
      <c r="B60" s="2423"/>
      <c r="C60" s="2423"/>
      <c r="D60" s="2423"/>
      <c r="E60" s="2170"/>
      <c r="F60" s="2494"/>
      <c r="G60" s="2494"/>
      <c r="H60" s="2502"/>
      <c r="I60" s="138"/>
      <c r="J60" s="3140"/>
      <c r="K60" s="3138"/>
      <c r="L60" s="2495" t="s">
        <v>2236</v>
      </c>
      <c r="M60" s="1761"/>
      <c r="N60" s="2497" t="str">
        <f ca="1">NUMBERSTRING(INT(N59*10000),2)&amp;"元整"</f>
        <v>捌佰玖拾捌万元整</v>
      </c>
      <c r="O60" s="2498"/>
    </row>
    <row r="61" spans="1:35" ht="13.5" thickBot="1">
      <c r="A61" s="3085" t="s">
        <v>2240</v>
      </c>
      <c r="B61" s="3085"/>
      <c r="C61" s="3085"/>
      <c r="D61" s="3085"/>
      <c r="E61" s="3085"/>
      <c r="F61" s="2494"/>
      <c r="G61" s="2494"/>
      <c r="H61" s="2502"/>
      <c r="I61" s="138"/>
      <c r="J61" s="1812">
        <f>J59+1</f>
        <v>6</v>
      </c>
      <c r="K61" s="3138" t="s">
        <v>2241</v>
      </c>
      <c r="L61" s="3138"/>
      <c r="M61" s="1764"/>
      <c r="N61" s="1765">
        <f ca="1">ROUND(N59*10000/'数据-汇总表'!E3,0)</f>
        <v>53963</v>
      </c>
      <c r="O61" s="2503"/>
    </row>
    <row r="62" spans="1:35" ht="12.75">
      <c r="A62" s="3101" t="s">
        <v>2242</v>
      </c>
      <c r="B62" s="3102"/>
      <c r="C62" s="1804"/>
      <c r="D62" s="1804" t="s">
        <v>2243</v>
      </c>
      <c r="E62" s="192" t="s">
        <v>2244</v>
      </c>
      <c r="F62" s="2494"/>
      <c r="G62" s="2494"/>
      <c r="H62" s="2502"/>
      <c r="I62" s="138"/>
    </row>
    <row r="63" spans="1:35" ht="12.75">
      <c r="A63" s="203" t="s">
        <v>775</v>
      </c>
      <c r="B63" s="193" t="s">
        <v>2245</v>
      </c>
      <c r="C63" s="194">
        <f ca="1">ROUND((C64+C65)/(1+'数据-取费表'!C42),0)</f>
        <v>1971</v>
      </c>
      <c r="D63" s="195"/>
      <c r="E63" s="196"/>
      <c r="F63" s="2494"/>
      <c r="G63" s="2494"/>
      <c r="H63" s="2502"/>
      <c r="I63" s="138"/>
      <c r="J63" s="3163" t="s">
        <v>2246</v>
      </c>
      <c r="K63" s="2504" t="s">
        <v>2247</v>
      </c>
      <c r="L63" s="1752">
        <f ca="1">IF(M49&gt;10000,M49*0.5%,IF(AND(M49&gt;1000,M49&lt;=10000),M49*1%,IF(AND(M49&gt;100,M49&lt;=1000),M49*3%,IF(AND(M49&gt;10,M49&lt;=100),M49*5%,M49*8%))))</f>
        <v>20.7</v>
      </c>
      <c r="M63" s="24">
        <f ca="1">ROUND(L63,1)</f>
        <v>20.7</v>
      </c>
      <c r="Z63" s="2428"/>
      <c r="AI63" s="2429"/>
    </row>
    <row r="64" spans="1:35" ht="14.25" customHeight="1">
      <c r="A64" s="197" t="s">
        <v>770</v>
      </c>
      <c r="B64" s="198" t="s">
        <v>2248</v>
      </c>
      <c r="C64" s="199">
        <f ca="1">D45</f>
        <v>2070</v>
      </c>
      <c r="D64" s="200" t="s">
        <v>32</v>
      </c>
      <c r="E64" s="201"/>
      <c r="F64" s="2494"/>
      <c r="G64" s="2494"/>
      <c r="H64" s="2502"/>
      <c r="I64" s="138"/>
      <c r="J64" s="3163"/>
      <c r="K64" s="2504" t="s">
        <v>2249</v>
      </c>
      <c r="L64" s="1752">
        <f ca="1">IF(M49&gt;2000,M49*0.5%,IF(AND(M49&gt;1000,M49&lt;=2000),M49*0.6%,IF(AND(M49&gt;500,M49&lt;=1000),M49*0.7%,IF(AND(M49&gt;200,M49&lt;=500),M49*0.8%,IF(AND(M49&gt;100,M49&lt;=200),M49*0.9%,IF(AND(M49&gt;50,M49&lt;=100),M49*1%,IF(AND(M49&gt;20,M49&lt;=50),M49*1.5%,IF(AND(M49&gt;10,M49&lt;=20),M49*2%,IF(AND(M49&gt;1,M49&lt;=10),M49*2.5%)))))))))</f>
        <v>10.35</v>
      </c>
      <c r="M64" s="24">
        <f t="shared" ref="M64:M65" ca="1" si="1">ROUND(L64,1)</f>
        <v>10.4</v>
      </c>
      <c r="N64" s="138" t="s">
        <v>2250</v>
      </c>
      <c r="Z64" s="2428"/>
      <c r="AI64" s="2429"/>
    </row>
    <row r="65" spans="1:35" ht="14.25" customHeight="1">
      <c r="A65" s="197" t="s">
        <v>771</v>
      </c>
      <c r="B65" s="198" t="s">
        <v>2251</v>
      </c>
      <c r="C65" s="202"/>
      <c r="D65" s="200"/>
      <c r="E65" s="201"/>
      <c r="F65" s="2494"/>
      <c r="G65" s="2494"/>
      <c r="H65" s="2502"/>
      <c r="I65" s="138"/>
      <c r="J65" s="3163"/>
      <c r="K65" s="2504" t="s">
        <v>2252</v>
      </c>
      <c r="L65" s="1752">
        <f ca="1">IF(M49&gt;1000,M49*0.1%,IF(AND(M49&gt;500,M49&lt;=1000),M49*0.5%,IF(AND(M49&gt;50,M49&lt;=500),M49*1%,IF(AND(M49&gt;1,M49&lt;=50),M49*1.5%))))</f>
        <v>2.0699999999999998</v>
      </c>
      <c r="M65" s="24">
        <f t="shared" ca="1" si="1"/>
        <v>2.1</v>
      </c>
      <c r="N65" s="138" t="s">
        <v>2250</v>
      </c>
      <c r="Z65" s="2428"/>
      <c r="AI65" s="2429"/>
    </row>
    <row r="66" spans="1:35" ht="14.25" customHeight="1">
      <c r="A66" s="203" t="s">
        <v>772</v>
      </c>
      <c r="B66" s="204" t="s">
        <v>2253</v>
      </c>
      <c r="C66" s="205"/>
      <c r="D66" s="206" t="s">
        <v>32</v>
      </c>
      <c r="E66" s="1776" t="s">
        <v>1371</v>
      </c>
      <c r="F66" s="2494"/>
      <c r="G66" s="2494"/>
      <c r="H66" s="2502"/>
      <c r="I66" s="138"/>
      <c r="J66" s="3163"/>
      <c r="K66" s="2504" t="s">
        <v>2254</v>
      </c>
      <c r="L66" s="1752">
        <f ca="1">M49*0.5%</f>
        <v>10.35</v>
      </c>
      <c r="M66" s="24">
        <f ca="1">IF(L66&gt;0.5,0.5,ROUND(L66,0))</f>
        <v>0.5</v>
      </c>
      <c r="N66" s="138" t="s">
        <v>2255</v>
      </c>
      <c r="Z66" s="2428"/>
      <c r="AI66" s="2429"/>
    </row>
    <row r="67" spans="1:35" ht="14.25" customHeight="1">
      <c r="A67" s="203" t="s">
        <v>773</v>
      </c>
      <c r="B67" s="204" t="s">
        <v>2256</v>
      </c>
      <c r="C67" s="207">
        <f ca="1">C63-C66</f>
        <v>1971</v>
      </c>
      <c r="D67" s="200" t="s">
        <v>32</v>
      </c>
      <c r="E67" s="201"/>
      <c r="F67" s="2494"/>
      <c r="G67" s="2494"/>
      <c r="H67" s="2502"/>
      <c r="I67" s="138"/>
      <c r="J67" s="3163"/>
      <c r="K67" s="2504" t="s">
        <v>2257</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8"/>
      <c r="AI67" s="2429"/>
    </row>
    <row r="68" spans="1:35" ht="14.25" customHeight="1" thickBot="1">
      <c r="A68" s="208" t="s">
        <v>774</v>
      </c>
      <c r="B68" s="209" t="s">
        <v>2258</v>
      </c>
      <c r="C68" s="210">
        <f ca="1">IF(C67&lt;=0,0,ROUND(C67*D68,0))</f>
        <v>110</v>
      </c>
      <c r="D68" s="211">
        <f>'数据-取费表'!B41</f>
        <v>5.6000000000000001E-2</v>
      </c>
      <c r="E68" s="212"/>
      <c r="F68" s="2494"/>
      <c r="G68" s="2494"/>
      <c r="H68" s="2502"/>
      <c r="I68" s="138"/>
      <c r="J68" s="3163"/>
      <c r="K68" s="2504" t="s">
        <v>2259</v>
      </c>
      <c r="L68" s="1752">
        <f ca="1">IF(M49&gt;10000,M49*0.5%,IF(AND(M49&gt;5000,M49&lt;=10000),M49*1%,IF(AND(M49&gt;1000,M49&lt;=5000),M49*2%,IF(AND(M49&gt;200,M49&lt;=1000),M49*3%,M49*5%))))</f>
        <v>41.4</v>
      </c>
      <c r="M68" s="24">
        <f ca="1">ROUND(L68,1)</f>
        <v>41.4</v>
      </c>
      <c r="Z68" s="2428"/>
      <c r="AI68" s="2429"/>
    </row>
    <row r="69" spans="1:35" s="2451" customFormat="1" ht="16.5" customHeight="1">
      <c r="A69" s="2505"/>
      <c r="B69" s="2506"/>
      <c r="C69" s="2507"/>
      <c r="D69" s="2508"/>
      <c r="E69" s="2509"/>
      <c r="F69" s="2170"/>
      <c r="G69" s="2170"/>
      <c r="H69" s="2169"/>
      <c r="I69" s="2423"/>
      <c r="J69" s="3163"/>
      <c r="K69" s="2504" t="s">
        <v>2260</v>
      </c>
      <c r="L69" s="2510"/>
      <c r="M69" s="24">
        <f ca="1">ROUND(SUM(M63:M68),0)</f>
        <v>78</v>
      </c>
      <c r="N69" s="1753">
        <f ca="1">M69/M49</f>
        <v>3.7681159420289857E-2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22" t="s">
        <v>2261</v>
      </c>
      <c r="B70" s="3123"/>
      <c r="C70" s="3123"/>
      <c r="D70" s="3123"/>
      <c r="E70" s="3123"/>
      <c r="F70" s="3123"/>
      <c r="G70" s="3123"/>
      <c r="H70" s="3123"/>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101" t="s">
        <v>2242</v>
      </c>
      <c r="B71" s="3102"/>
      <c r="C71" s="1804"/>
      <c r="D71" s="1804" t="s">
        <v>2243</v>
      </c>
      <c r="E71" s="213" t="s">
        <v>2244</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2262</v>
      </c>
      <c r="C72" s="207">
        <f ca="1">ROUND(D45/(1+'数据-取费表'!C42),0)</f>
        <v>1971</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2263</v>
      </c>
      <c r="C73" s="207">
        <f ca="1">C74+C78</f>
        <v>12</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2264</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2265</v>
      </c>
      <c r="C75" s="218"/>
      <c r="D75" s="200" t="s">
        <v>32</v>
      </c>
      <c r="E75" s="219" t="s">
        <v>2266</v>
      </c>
      <c r="F75" s="2516" t="s">
        <v>2267</v>
      </c>
      <c r="G75" s="219" t="s">
        <v>2268</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2269</v>
      </c>
      <c r="C76" s="200">
        <f>IF(F75="购房发票",ROUND(C75*H75*D76,0),0)</f>
        <v>0</v>
      </c>
      <c r="D76" s="222">
        <v>0.05</v>
      </c>
      <c r="E76" s="3096" t="s">
        <v>2270</v>
      </c>
      <c r="F76" s="3073"/>
      <c r="G76" s="3073"/>
      <c r="H76" s="3121"/>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8" t="s">
        <v>2273</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2274</v>
      </c>
      <c r="C78" s="225">
        <f ca="1">ROUND(D45*D78/(1+'数据-取费表'!C42),0)</f>
        <v>12</v>
      </c>
      <c r="D78" s="226">
        <f>'数据-取费表'!B43</f>
        <v>6.000000000000001E-3</v>
      </c>
      <c r="E78" s="3082" t="s">
        <v>2275</v>
      </c>
      <c r="F78" s="3083"/>
      <c r="G78" s="3083"/>
      <c r="H78" s="3092"/>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2276</v>
      </c>
      <c r="C79" s="207">
        <f ca="1">C72-C73</f>
        <v>1959</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2277</v>
      </c>
      <c r="C80" s="227">
        <f ca="1">IF(C79&lt;=0,0,C79/C73)</f>
        <v>163.25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2278</v>
      </c>
      <c r="C81" s="228">
        <f ca="1">ROUND(IF(C79&lt;=0,0,IF(C80&gt;=200%,C79*60%-C73*35%,IF(C80&gt;=100%,C79*50%-C73*15%,IF(C80&gt;=50%,C79*40%-C73*5%,IF(C80&lt;50%,C79*30%,0))))),0)</f>
        <v>1171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22" t="s">
        <v>2279</v>
      </c>
      <c r="B83" s="3123"/>
      <c r="C83" s="3123"/>
      <c r="D83" s="3123"/>
      <c r="E83" s="3123"/>
      <c r="F83" s="3123"/>
      <c r="G83" s="3123"/>
      <c r="H83" s="3123"/>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101" t="s">
        <v>2242</v>
      </c>
      <c r="B84" s="3102"/>
      <c r="C84" s="1804"/>
      <c r="D84" s="1804" t="s">
        <v>2243</v>
      </c>
      <c r="E84" s="213" t="s">
        <v>2244</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2262</v>
      </c>
      <c r="C85" s="207">
        <f ca="1">ROUND(D45/(1+'数据-取费表'!C42),0)</f>
        <v>1971</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2263</v>
      </c>
      <c r="C86" s="207">
        <f ca="1">IF(H88="仅含出让金",C87+C90+C91+C92+C93+C94,C87+C91+C92+C93+C94)</f>
        <v>12</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2280</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2281</v>
      </c>
      <c r="C88" s="236"/>
      <c r="D88" s="226"/>
      <c r="E88" s="237" t="s">
        <v>2282</v>
      </c>
      <c r="F88" s="1800"/>
      <c r="G88" s="238" t="s">
        <v>2283</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2271</v>
      </c>
      <c r="C89" s="225">
        <f>ROUND(C88*D89,0)</f>
        <v>0</v>
      </c>
      <c r="D89" s="226">
        <f>'数据-取费表'!B48+'数据-取费表'!B49</f>
        <v>3.0499999999999999E-2</v>
      </c>
      <c r="E89" s="237" t="s">
        <v>2284</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2285</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2286</v>
      </c>
      <c r="B91" s="198" t="s">
        <v>2287</v>
      </c>
      <c r="C91" s="225">
        <f>IF(H91="——",成本法!C33,I91)</f>
        <v>0</v>
      </c>
      <c r="D91" s="226"/>
      <c r="E91" s="3082" t="s">
        <v>2288</v>
      </c>
      <c r="F91" s="3083"/>
      <c r="G91" s="3083"/>
      <c r="H91" s="2523" t="s">
        <v>2289</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2290</v>
      </c>
      <c r="B92" s="198" t="s">
        <v>2291</v>
      </c>
      <c r="C92" s="225">
        <f>ROUND((C87+C90+C91)*D92,0)</f>
        <v>0</v>
      </c>
      <c r="D92" s="226">
        <v>0.1</v>
      </c>
      <c r="E92" s="3082" t="s">
        <v>2292</v>
      </c>
      <c r="F92" s="3083"/>
      <c r="G92" s="3083"/>
      <c r="H92" s="3092"/>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2293</v>
      </c>
      <c r="B93" s="198" t="s">
        <v>2274</v>
      </c>
      <c r="C93" s="225">
        <f ca="1">ROUND(D45*D93/(1+'数据-取费表'!C42),0)</f>
        <v>12</v>
      </c>
      <c r="D93" s="226">
        <f>'数据-取费表'!B43</f>
        <v>6.000000000000001E-3</v>
      </c>
      <c r="E93" s="3082" t="s">
        <v>2275</v>
      </c>
      <c r="F93" s="3083"/>
      <c r="G93" s="3083"/>
      <c r="H93" s="3092"/>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2294</v>
      </c>
      <c r="B94" s="198" t="s">
        <v>2295</v>
      </c>
      <c r="C94" s="236">
        <f>ROUND((C87+C90+C91)*D94,0)</f>
        <v>0</v>
      </c>
      <c r="D94" s="226">
        <v>0.2</v>
      </c>
      <c r="E94" s="3093" t="s">
        <v>2296</v>
      </c>
      <c r="F94" s="3094"/>
      <c r="G94" s="3094"/>
      <c r="H94" s="3095"/>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2276</v>
      </c>
      <c r="C95" s="207">
        <f ca="1">ROUND(C85-C86,0)</f>
        <v>1959</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2277</v>
      </c>
      <c r="C96" s="227">
        <f ca="1">IF(C95&lt;=0,0,C95/C86)</f>
        <v>163.25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2278</v>
      </c>
      <c r="C97" s="228">
        <f ca="1">ROUND(IF(C95&lt;=0,0,IF(C96&gt;=200%,C95*60%-C86*35%,IF(C96&gt;=100%,C95*50%-C86*15%,IF(C96&gt;=50%,C95*40%-C86*5%,IF(C96&lt;50%,C95*30%,0))))),0)</f>
        <v>1171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2297</v>
      </c>
      <c r="B99" s="2423"/>
      <c r="C99" s="2423"/>
      <c r="D99" s="2423"/>
      <c r="E99" s="2170"/>
      <c r="F99" s="2170"/>
      <c r="G99" s="2170"/>
      <c r="H99" s="2169"/>
      <c r="I99" s="138"/>
    </row>
    <row r="100" spans="1:35" ht="18.75" customHeight="1">
      <c r="A100" s="3067" t="s">
        <v>2298</v>
      </c>
      <c r="B100" s="3068"/>
      <c r="C100" s="3068"/>
      <c r="D100" s="3084"/>
      <c r="E100" s="3068" t="s">
        <v>2299</v>
      </c>
      <c r="F100" s="3068"/>
      <c r="G100" s="3068"/>
      <c r="H100" s="3084"/>
      <c r="I100" s="138"/>
    </row>
    <row r="101" spans="1:35" ht="18.75" customHeight="1">
      <c r="A101" s="3146" t="s">
        <v>2300</v>
      </c>
      <c r="B101" s="3147"/>
      <c r="C101" s="736" t="str">
        <f>C4</f>
        <v>比较法-住宅</v>
      </c>
      <c r="D101" s="737" t="str">
        <f>D4</f>
        <v>成本法 (元)</v>
      </c>
      <c r="E101" s="3160" t="s">
        <v>2301</v>
      </c>
      <c r="F101" s="3114"/>
      <c r="G101" s="2525" t="s">
        <v>2302</v>
      </c>
      <c r="H101" s="1048">
        <f ca="1">H118</f>
        <v>2070</v>
      </c>
      <c r="I101" s="138"/>
    </row>
    <row r="102" spans="1:35" ht="18.75" customHeight="1">
      <c r="A102" s="3116" t="s">
        <v>2303</v>
      </c>
      <c r="B102" s="2525" t="s">
        <v>2302</v>
      </c>
      <c r="C102" s="736">
        <f ca="1">C19</f>
        <v>2272</v>
      </c>
      <c r="D102" s="737">
        <f ca="1">D19</f>
        <v>1260</v>
      </c>
      <c r="E102" s="3160"/>
      <c r="F102" s="3114"/>
      <c r="G102" s="2525" t="s">
        <v>2304</v>
      </c>
      <c r="H102" s="371">
        <f ca="1">I118</f>
        <v>124392</v>
      </c>
      <c r="I102" s="138"/>
    </row>
    <row r="103" spans="1:35" ht="42.75" customHeight="1">
      <c r="A103" s="3116"/>
      <c r="B103" s="2525" t="s">
        <v>2304</v>
      </c>
      <c r="C103" s="738">
        <f ca="1">C20</f>
        <v>136556</v>
      </c>
      <c r="D103" s="739">
        <f ca="1">D20</f>
        <v>75717</v>
      </c>
      <c r="E103" s="3155" t="s">
        <v>2305</v>
      </c>
      <c r="F103" s="3156"/>
      <c r="G103" s="2526" t="s">
        <v>2306</v>
      </c>
      <c r="H103" s="1048">
        <f>IF(D36="正常操作",H104+H105+H106,H105+H106)</f>
        <v>0</v>
      </c>
      <c r="I103" s="138"/>
    </row>
    <row r="104" spans="1:35" ht="18.75" customHeight="1">
      <c r="A104" s="3116" t="s">
        <v>2307</v>
      </c>
      <c r="B104" s="2527" t="s">
        <v>2302</v>
      </c>
      <c r="C104" s="740">
        <f ca="1">H118</f>
        <v>2070</v>
      </c>
      <c r="D104" s="741"/>
      <c r="E104" s="2271" t="s">
        <v>2308</v>
      </c>
      <c r="F104" s="2262"/>
      <c r="G104" s="2526" t="s">
        <v>2306</v>
      </c>
      <c r="H104" s="1049">
        <f>IF(D36="同一抵押权人同一抵押物续贷",C36&amp;"（未扣减，详见特别提示）",C36)</f>
        <v>0</v>
      </c>
      <c r="I104" s="138"/>
    </row>
    <row r="105" spans="1:35" ht="18.75" customHeight="1" thickBot="1">
      <c r="A105" s="3117"/>
      <c r="B105" s="2528" t="s">
        <v>2304</v>
      </c>
      <c r="C105" s="742">
        <f ca="1">I118</f>
        <v>124392</v>
      </c>
      <c r="D105" s="743"/>
      <c r="E105" s="2271" t="s">
        <v>2309</v>
      </c>
      <c r="F105" s="2262"/>
      <c r="G105" s="2526" t="s">
        <v>2306</v>
      </c>
      <c r="H105" s="1049">
        <f>C37</f>
        <v>0</v>
      </c>
      <c r="I105" s="138"/>
    </row>
    <row r="106" spans="1:35" ht="18.75" customHeight="1">
      <c r="A106" s="2423" t="s">
        <v>2310</v>
      </c>
      <c r="B106" s="2423"/>
      <c r="C106" s="2423"/>
      <c r="D106" s="2423"/>
      <c r="E106" s="2529" t="s">
        <v>2311</v>
      </c>
      <c r="F106" s="2262"/>
      <c r="G106" s="2526" t="s">
        <v>2306</v>
      </c>
      <c r="H106" s="1049">
        <f>C38</f>
        <v>0</v>
      </c>
      <c r="I106" s="138"/>
    </row>
    <row r="107" spans="1:35" ht="18.75" customHeight="1">
      <c r="A107" s="138"/>
      <c r="B107" s="138"/>
      <c r="C107" s="138"/>
      <c r="D107" s="138"/>
      <c r="E107" s="3113" t="str">
        <f>IF(项目基本情况!E8="已注销","——","3.房地产抵押价值")</f>
        <v>3.房地产抵押价值</v>
      </c>
      <c r="F107" s="3114"/>
      <c r="G107" s="2525" t="s">
        <v>2302</v>
      </c>
      <c r="H107" s="1048">
        <f ca="1">IF(E107="——","——",H101-H103)</f>
        <v>2070</v>
      </c>
      <c r="I107" s="138"/>
    </row>
    <row r="108" spans="1:35" ht="18.75" customHeight="1">
      <c r="A108" s="138"/>
      <c r="B108" s="138"/>
      <c r="C108" s="138"/>
      <c r="D108" s="138"/>
      <c r="E108" s="3113"/>
      <c r="F108" s="3114"/>
      <c r="G108" s="2525" t="s">
        <v>2304</v>
      </c>
      <c r="H108" s="371">
        <f ca="1">ROUND(H107*10000/'数据-汇总表'!E3,0)</f>
        <v>124392</v>
      </c>
      <c r="I108" s="138"/>
    </row>
    <row r="109" spans="1:35" ht="18.75" customHeight="1">
      <c r="A109" s="138"/>
      <c r="B109" s="138"/>
      <c r="C109" s="138"/>
      <c r="D109" s="138"/>
      <c r="E109" s="3113" t="str">
        <f>IF(项目基本情况!E8="已注销及未注销","4.抵押担保权已注销时的房地产抵押价值",IF(项目基本情况!E8="已注销","3.抵押担保权已注销时的房地产抵押价值","——"))</f>
        <v>——</v>
      </c>
      <c r="F109" s="3114"/>
      <c r="G109" s="2525" t="s">
        <v>2302</v>
      </c>
      <c r="H109" s="348" t="str">
        <f>IF(E109="——","——",H101-H105-H106)</f>
        <v>——</v>
      </c>
      <c r="I109" s="138"/>
    </row>
    <row r="110" spans="1:35" ht="18.75" customHeight="1">
      <c r="A110" s="138"/>
      <c r="B110" s="138"/>
      <c r="C110" s="138"/>
      <c r="D110" s="138"/>
      <c r="E110" s="3113"/>
      <c r="F110" s="3114"/>
      <c r="G110" s="2525" t="s">
        <v>2304</v>
      </c>
      <c r="H110" s="371" t="str">
        <f>IF(H109="——","——",ROUND(H109*10000/'数据-汇总表'!E3,0))</f>
        <v>——</v>
      </c>
      <c r="I110" s="138"/>
    </row>
    <row r="111" spans="1:35" ht="18.75" customHeight="1">
      <c r="A111" s="138"/>
      <c r="B111" s="138"/>
      <c r="C111" s="138"/>
      <c r="D111" s="138"/>
      <c r="E111" s="3148" t="str">
        <f>IF(项目基本情况!E9="抵押净值",IF(OR(项目基本情况!E8="已注销",项目基本情况!E8="房地产抵押价值"),"4.抵押净值","5.抵押净值"),"——")</f>
        <v>——</v>
      </c>
      <c r="F111" s="3149"/>
      <c r="G111" s="2525" t="s">
        <v>2302</v>
      </c>
      <c r="H111" s="1048" t="str">
        <f>IF(E111="——","——",N59)</f>
        <v>——</v>
      </c>
      <c r="I111" s="138"/>
    </row>
    <row r="112" spans="1:35" ht="18.75" customHeight="1" thickBot="1">
      <c r="A112" s="138"/>
      <c r="B112" s="138"/>
      <c r="C112" s="138"/>
      <c r="D112" s="138"/>
      <c r="E112" s="3150"/>
      <c r="F112" s="3151"/>
      <c r="G112" s="2530" t="s">
        <v>2304</v>
      </c>
      <c r="H112" s="790" t="str">
        <f>IF(E111="——","——",N61)</f>
        <v>——</v>
      </c>
      <c r="I112" s="138"/>
    </row>
    <row r="113" spans="1:11" ht="18.75" customHeight="1">
      <c r="A113" s="138"/>
      <c r="B113" s="138"/>
      <c r="C113" s="138"/>
      <c r="D113" s="138"/>
      <c r="E113" s="3118" t="s">
        <v>2310</v>
      </c>
      <c r="F113" s="3118"/>
      <c r="G113" s="3118"/>
      <c r="H113" s="3118"/>
      <c r="I113" s="138"/>
    </row>
    <row r="114" spans="1:11" ht="3.75" customHeight="1">
      <c r="A114" s="2423"/>
      <c r="B114" s="2423"/>
      <c r="C114" s="2423"/>
      <c r="D114" s="2423"/>
      <c r="E114" s="2501"/>
      <c r="F114" s="2501"/>
      <c r="G114" s="2501"/>
      <c r="H114" s="2501"/>
      <c r="I114" s="2423"/>
    </row>
    <row r="115" spans="1:11" ht="18.75" customHeight="1">
      <c r="A115" s="3131" t="s">
        <v>2312</v>
      </c>
      <c r="B115" s="3132"/>
      <c r="C115" s="3132"/>
      <c r="D115" s="3132"/>
      <c r="E115" s="3132"/>
      <c r="F115" s="3132"/>
      <c r="G115" s="3132"/>
      <c r="H115" s="3132"/>
      <c r="I115" s="3133"/>
    </row>
    <row r="116" spans="1:11" ht="27" customHeight="1">
      <c r="A116" s="3024" t="s">
        <v>2313</v>
      </c>
      <c r="B116" s="3119" t="s">
        <v>2314</v>
      </c>
      <c r="C116" s="3119" t="s">
        <v>2315</v>
      </c>
      <c r="D116" s="3135" t="s">
        <v>2316</v>
      </c>
      <c r="E116" s="3136"/>
      <c r="F116" s="3127" t="s">
        <v>2317</v>
      </c>
      <c r="G116" s="3127"/>
      <c r="H116" s="3024" t="s">
        <v>2318</v>
      </c>
      <c r="I116" s="3024"/>
    </row>
    <row r="117" spans="1:11" ht="18.75" customHeight="1">
      <c r="A117" s="3024"/>
      <c r="B117" s="3120"/>
      <c r="C117" s="3120"/>
      <c r="D117" s="1798" t="s">
        <v>2319</v>
      </c>
      <c r="E117" s="1798" t="s">
        <v>2320</v>
      </c>
      <c r="F117" s="1798" t="s">
        <v>2319</v>
      </c>
      <c r="G117" s="1798" t="s">
        <v>2321</v>
      </c>
      <c r="H117" s="1798" t="s">
        <v>2319</v>
      </c>
      <c r="I117" s="1798" t="s">
        <v>2321</v>
      </c>
    </row>
    <row r="118" spans="1:11" ht="24.75" customHeight="1">
      <c r="A118" s="2531" t="str">
        <f>项目基本情况!S2</f>
        <v>北京市房地产</v>
      </c>
      <c r="B118" s="1798">
        <f>M18</f>
        <v>166.41</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2070</v>
      </c>
      <c r="I118" s="1798">
        <f ca="1">ROUND(IF(D32="楼面单价",C32,H118*10000/B118),0)</f>
        <v>124392</v>
      </c>
    </row>
    <row r="119" spans="1:11" ht="18.75" customHeight="1">
      <c r="A119" s="3024" t="s">
        <v>2322</v>
      </c>
      <c r="B119" s="3024"/>
      <c r="C119" s="3024"/>
      <c r="D119" s="3124" t="e">
        <f ca="1">NUMBERSTRING(INT(D118*10000),2)&amp;"元整"</f>
        <v>#REF!</v>
      </c>
      <c r="E119" s="3126"/>
      <c r="F119" s="3124" t="e">
        <f ca="1">NUMBERSTRING(INT(F118*10000),2)&amp;"元整"</f>
        <v>#REF!</v>
      </c>
      <c r="G119" s="3126"/>
      <c r="H119" s="3124" t="str">
        <f ca="1">NUMBERSTRING(INT(H118*10000),2)&amp;"元整"</f>
        <v>贰仟零柒拾万元整</v>
      </c>
      <c r="I119" s="3126"/>
    </row>
    <row r="120" spans="1:11" ht="18.75" customHeight="1">
      <c r="A120" s="3152" t="str">
        <f>IF(项目基本情况!B9="房地产市场价值","",MID(E103,3,LEN(E103)-2))</f>
        <v>估价师知悉的法定优先受偿款</v>
      </c>
      <c r="B120" s="3153"/>
      <c r="C120" s="3154"/>
      <c r="D120" s="3152">
        <f>H103</f>
        <v>0</v>
      </c>
      <c r="E120" s="3153"/>
      <c r="F120" s="3153"/>
      <c r="G120" s="3153"/>
      <c r="H120" s="3153"/>
      <c r="I120" s="3154"/>
      <c r="K120" s="2428" t="str">
        <f>IF(D120=0,"故，本次评估不存在"&amp;A120,"故，本次评估"&amp;A120&amp;"为人民币"&amp;D120&amp;"万元整。")</f>
        <v>故，本次评估不存在估价师知悉的法定优先受偿款</v>
      </c>
    </row>
    <row r="121" spans="1:11" ht="18.75" customHeight="1">
      <c r="A121" s="3128" t="s">
        <v>2322</v>
      </c>
      <c r="B121" s="3129"/>
      <c r="C121" s="3130"/>
      <c r="D121" s="3124" t="str">
        <f>IF(D120=0,"零元整",NUMBERSTRING(INT(D120*10000),2)&amp;"元整")</f>
        <v>零元整</v>
      </c>
      <c r="E121" s="3125"/>
      <c r="F121" s="3125"/>
      <c r="G121" s="3125"/>
      <c r="H121" s="3125"/>
      <c r="I121" s="3126"/>
    </row>
    <row r="122" spans="1:11" ht="18.75" customHeight="1">
      <c r="A122" s="3115" t="str">
        <f>IF(项目基本情况!B9="房地产市场价值","",MID(E107,3,LEN(E107)-2))</f>
        <v>房地产抵押价值</v>
      </c>
      <c r="B122" s="3115"/>
      <c r="C122" s="3115"/>
      <c r="D122" s="3152">
        <f ca="1">H107</f>
        <v>2070</v>
      </c>
      <c r="E122" s="3153"/>
      <c r="F122" s="3153"/>
      <c r="G122" s="3153"/>
      <c r="H122" s="3153"/>
      <c r="I122" s="3154"/>
    </row>
    <row r="123" spans="1:11" ht="18.75" customHeight="1">
      <c r="A123" s="3024" t="s">
        <v>2322</v>
      </c>
      <c r="B123" s="3024"/>
      <c r="C123" s="3024"/>
      <c r="D123" s="3124" t="str">
        <f ca="1">NUMBERSTRING(INT(D122*10000),2)&amp;"元整"</f>
        <v>贰仟零柒拾万元整</v>
      </c>
      <c r="E123" s="3125"/>
      <c r="F123" s="3125"/>
      <c r="G123" s="3125"/>
      <c r="H123" s="3125"/>
      <c r="I123" s="3126"/>
    </row>
    <row r="124" spans="1:11" ht="18.75" customHeight="1">
      <c r="A124" s="3115" t="str">
        <f>IF(项目基本情况!B9="房地产市场价值","",MID(E109,3,LEN(E109)-2))</f>
        <v/>
      </c>
      <c r="B124" s="3115"/>
      <c r="C124" s="3115"/>
      <c r="D124" s="3152" t="str">
        <f>H109</f>
        <v>——</v>
      </c>
      <c r="E124" s="3153"/>
      <c r="F124" s="3153"/>
      <c r="G124" s="3153"/>
      <c r="H124" s="3153"/>
      <c r="I124" s="3154"/>
    </row>
    <row r="125" spans="1:11" ht="18.75" customHeight="1">
      <c r="A125" s="3024" t="s">
        <v>2322</v>
      </c>
      <c r="B125" s="3024"/>
      <c r="C125" s="3024"/>
      <c r="D125" s="3124" t="e">
        <f>NUMBERSTRING(INT(D124*10000),2)&amp;"元整"</f>
        <v>#VALUE!</v>
      </c>
      <c r="E125" s="3125"/>
      <c r="F125" s="3125"/>
      <c r="G125" s="3125"/>
      <c r="H125" s="3125"/>
      <c r="I125" s="3126"/>
    </row>
    <row r="126" spans="1:11" ht="18.75" customHeight="1">
      <c r="A126" s="3115" t="str">
        <f>IF(项目基本情况!B9="房地产市场价值","",MID(E111,3,LEN(E111)-2))</f>
        <v/>
      </c>
      <c r="B126" s="3115"/>
      <c r="C126" s="3115"/>
      <c r="D126" s="3152" t="str">
        <f>H111</f>
        <v>——</v>
      </c>
      <c r="E126" s="3153"/>
      <c r="F126" s="3153"/>
      <c r="G126" s="3153"/>
      <c r="H126" s="3153"/>
      <c r="I126" s="3154"/>
    </row>
    <row r="127" spans="1:11" ht="18.75" customHeight="1">
      <c r="A127" s="3024" t="s">
        <v>2322</v>
      </c>
      <c r="B127" s="3024"/>
      <c r="C127" s="3024"/>
      <c r="D127" s="3124" t="e">
        <f>NUMBERSTRING(INT(D126*10000),2)&amp;"元整"</f>
        <v>#VALUE!</v>
      </c>
      <c r="E127" s="3125"/>
      <c r="F127" s="3125"/>
      <c r="G127" s="3125"/>
      <c r="H127" s="3125"/>
      <c r="I127" s="3126"/>
    </row>
    <row r="128" spans="1:11" ht="21.75" customHeight="1">
      <c r="A128" s="3134" t="s">
        <v>2323</v>
      </c>
      <c r="B128" s="3134"/>
      <c r="C128" s="3134"/>
      <c r="D128" s="3134"/>
      <c r="E128" s="3134"/>
      <c r="F128" s="3134"/>
      <c r="G128" s="3134"/>
      <c r="H128" s="3134"/>
      <c r="I128" s="3134"/>
    </row>
    <row r="129" spans="1:35" ht="21.75" customHeight="1">
      <c r="A129" s="2532" t="s">
        <v>2324</v>
      </c>
      <c r="B129" s="2533"/>
      <c r="C129" s="2534" t="s">
        <v>2325</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2326</v>
      </c>
      <c r="G135" s="2549"/>
      <c r="H135" s="2549"/>
      <c r="I135" s="2550" t="s">
        <v>2327</v>
      </c>
    </row>
    <row r="136" spans="1:35" ht="21.75" customHeight="1">
      <c r="A136" s="795"/>
      <c r="B136" s="2551"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2329</v>
      </c>
    </row>
    <row r="139" spans="1:35" ht="21.75" customHeight="1">
      <c r="A139" s="795"/>
      <c r="B139" s="2551" t="s">
        <v>2330</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2329</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7" zoomScale="90" zoomScaleNormal="90" workbookViewId="0">
      <selection activeCell="K38" sqref="K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9" t="s">
        <v>2534</v>
      </c>
      <c r="C1" s="1637" t="s">
        <v>2535</v>
      </c>
      <c r="D1" s="1624" t="s">
        <v>3087</v>
      </c>
      <c r="E1" s="2590"/>
      <c r="F1" s="2591" t="s">
        <v>2536</v>
      </c>
      <c r="G1" s="1634" t="s">
        <v>2537</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2272</v>
      </c>
      <c r="C2" s="2593" t="s">
        <v>70</v>
      </c>
      <c r="D2" s="1368" t="e">
        <f ca="1">SUMIF(INDIRECT("'"&amp;F2&amp;"'"&amp;"!A:A"),"承租人权益价值",INDIRECT("'"&amp;F2&amp;"'"&amp;"!c:c"))</f>
        <v>#REF!</v>
      </c>
      <c r="E2" s="2594" t="s">
        <v>2538</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f>IF(C2="——",C49,ROUND(B2*10000/D3,0))</f>
        <v>136556</v>
      </c>
      <c r="C3" s="400" t="s">
        <v>2539</v>
      </c>
      <c r="D3" s="399">
        <f>IF(D1="",'数据-汇总表'!E3,SUMIF('数据-汇总表'!$C19:$C33,D1,'数据-汇总表'!$E19:$E33))</f>
        <v>166.41</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2540</v>
      </c>
      <c r="B4" s="402"/>
      <c r="C4" s="3184" t="s">
        <v>2541</v>
      </c>
      <c r="D4" s="3185"/>
      <c r="E4" s="3186" t="s">
        <v>2542</v>
      </c>
      <c r="F4" s="3187"/>
      <c r="G4" s="3184" t="s">
        <v>2543</v>
      </c>
      <c r="H4" s="3185"/>
      <c r="I4" s="3184" t="s">
        <v>2544</v>
      </c>
      <c r="J4" s="3185"/>
      <c r="K4" s="2603" t="s">
        <v>2545</v>
      </c>
      <c r="L4" s="1133"/>
      <c r="M4" s="1134"/>
      <c r="N4" s="1134"/>
      <c r="O4" s="1134"/>
      <c r="P4" s="3188" t="s">
        <v>2546</v>
      </c>
      <c r="Q4" s="3189"/>
      <c r="R4" s="3194" t="s">
        <v>2542</v>
      </c>
      <c r="S4" s="3195"/>
      <c r="T4" s="3194" t="s">
        <v>2543</v>
      </c>
      <c r="U4" s="3195"/>
      <c r="V4" s="3200" t="s">
        <v>2544</v>
      </c>
      <c r="W4" s="3200"/>
      <c r="X4" s="1816"/>
      <c r="Y4" s="3194" t="s">
        <v>2546</v>
      </c>
      <c r="Z4" s="3195"/>
      <c r="AA4" s="3181" t="s">
        <v>2542</v>
      </c>
      <c r="AB4" s="3181" t="s">
        <v>2543</v>
      </c>
      <c r="AC4" s="3181" t="s">
        <v>2544</v>
      </c>
    </row>
    <row r="5" spans="1:29" ht="15">
      <c r="A5" s="404"/>
      <c r="B5" s="405"/>
      <c r="C5" s="3208" t="s">
        <v>2547</v>
      </c>
      <c r="D5" s="3204"/>
      <c r="E5" s="3211" t="s">
        <v>3102</v>
      </c>
      <c r="F5" s="3212"/>
      <c r="G5" s="3203" t="s">
        <v>3097</v>
      </c>
      <c r="H5" s="3204"/>
      <c r="I5" s="3203" t="s">
        <v>3098</v>
      </c>
      <c r="J5" s="3204"/>
      <c r="K5" s="2604"/>
      <c r="L5" s="1133"/>
      <c r="M5" s="1134"/>
      <c r="N5" s="1134"/>
      <c r="O5" s="1134"/>
      <c r="P5" s="3190"/>
      <c r="Q5" s="3191"/>
      <c r="R5" s="3196"/>
      <c r="S5" s="3197"/>
      <c r="T5" s="3196"/>
      <c r="U5" s="3197"/>
      <c r="V5" s="3200"/>
      <c r="W5" s="3200"/>
      <c r="X5" s="1816"/>
      <c r="Y5" s="3196"/>
      <c r="Z5" s="3197"/>
      <c r="AA5" s="3182"/>
      <c r="AB5" s="3182"/>
      <c r="AC5" s="3182"/>
    </row>
    <row r="6" spans="1:29" ht="15.75" thickBot="1">
      <c r="A6" s="406"/>
      <c r="B6" s="407"/>
      <c r="C6" s="3201" t="s">
        <v>2551</v>
      </c>
      <c r="D6" s="3202"/>
      <c r="E6" s="3209" t="s">
        <v>2551</v>
      </c>
      <c r="F6" s="3210"/>
      <c r="G6" s="3201" t="s">
        <v>2551</v>
      </c>
      <c r="H6" s="3202"/>
      <c r="I6" s="3201" t="s">
        <v>2551</v>
      </c>
      <c r="J6" s="3202"/>
      <c r="K6" s="2604" t="s">
        <v>2552</v>
      </c>
      <c r="L6" s="1133"/>
      <c r="M6" s="1134"/>
      <c r="N6" s="1134"/>
      <c r="O6" s="1134"/>
      <c r="P6" s="3192"/>
      <c r="Q6" s="3193"/>
      <c r="R6" s="3196"/>
      <c r="S6" s="3197"/>
      <c r="T6" s="3198"/>
      <c r="U6" s="3199"/>
      <c r="V6" s="3200"/>
      <c r="W6" s="3200"/>
      <c r="X6" s="1816"/>
      <c r="Y6" s="3198"/>
      <c r="Z6" s="3199"/>
      <c r="AA6" s="3183"/>
      <c r="AB6" s="3183"/>
      <c r="AC6" s="3183"/>
    </row>
    <row r="7" spans="1:29" s="117" customFormat="1" ht="15.75" thickBot="1">
      <c r="A7" s="408" t="s">
        <v>2553</v>
      </c>
      <c r="B7" s="409"/>
      <c r="C7" s="410">
        <f>'数据-取费表'!B2</f>
        <v>43280</v>
      </c>
      <c r="D7" s="411">
        <v>100</v>
      </c>
      <c r="E7" s="412">
        <v>43217</v>
      </c>
      <c r="F7" s="413">
        <f>SUMIF(58:58,YEAR(E7)&amp;"-"&amp;MONTH(E7),59:59)</f>
        <v>99</v>
      </c>
      <c r="G7" s="412">
        <v>43077</v>
      </c>
      <c r="H7" s="411">
        <f>SUMIF(58:58,YEAR(G7)&amp;"-"&amp;MONTH(G7),59:59)</f>
        <v>97</v>
      </c>
      <c r="I7" s="412">
        <v>43074</v>
      </c>
      <c r="J7" s="411">
        <f>SUMIF(58:58,YEAR(I7)&amp;"-"&amp;MONTH(I7),59:59)</f>
        <v>97</v>
      </c>
      <c r="K7" s="2605"/>
      <c r="L7" s="1135"/>
      <c r="M7" s="1136"/>
      <c r="N7" s="1136"/>
      <c r="O7" s="1136"/>
      <c r="P7" s="3205" t="s">
        <v>2554</v>
      </c>
      <c r="Q7" s="3207"/>
      <c r="R7" s="770" t="s">
        <v>23</v>
      </c>
      <c r="S7" s="771">
        <f t="shared" ref="S7:S15" si="0">F7</f>
        <v>99</v>
      </c>
      <c r="T7" s="770" t="s">
        <v>23</v>
      </c>
      <c r="U7" s="771">
        <f t="shared" ref="U7:U15" si="1">H7</f>
        <v>97</v>
      </c>
      <c r="V7" s="770" t="s">
        <v>23</v>
      </c>
      <c r="W7" s="771">
        <f t="shared" ref="W7:W15" si="2">J7</f>
        <v>97</v>
      </c>
      <c r="X7" s="772"/>
      <c r="Y7" s="3205" t="s">
        <v>2554</v>
      </c>
      <c r="Z7" s="3206"/>
      <c r="AA7" s="773">
        <f>D7/F7</f>
        <v>1.0101010101010102</v>
      </c>
      <c r="AB7" s="773">
        <f>D7/H7</f>
        <v>1.0309278350515463</v>
      </c>
      <c r="AC7" s="773">
        <f>D7/J7</f>
        <v>1.0309278350515463</v>
      </c>
    </row>
    <row r="8" spans="1:29" s="117" customFormat="1" ht="15.75" thickBot="1">
      <c r="A8" s="408" t="s">
        <v>2555</v>
      </c>
      <c r="B8" s="409"/>
      <c r="C8" s="414" t="s">
        <v>2556</v>
      </c>
      <c r="D8" s="411">
        <v>100</v>
      </c>
      <c r="E8" s="2606" t="s">
        <v>3088</v>
      </c>
      <c r="F8" s="413">
        <f>SUMIF(61:61,E8,62:62)-SUMIF(61:61,C8,62:62)+100</f>
        <v>100</v>
      </c>
      <c r="G8" s="414" t="s">
        <v>3088</v>
      </c>
      <c r="H8" s="411">
        <f>SUMIF(61:61,G8,62:62)-SUMIF(61:61,C8,62:62)+100</f>
        <v>100</v>
      </c>
      <c r="I8" s="2606" t="s">
        <v>3088</v>
      </c>
      <c r="J8" s="411">
        <f>SUMIF(61:61,I8,62:62)-SUMIF(61:61,C8,62:62)+100</f>
        <v>100</v>
      </c>
      <c r="K8" s="2605"/>
      <c r="L8" s="1135"/>
      <c r="M8" s="1136"/>
      <c r="N8" s="1136"/>
      <c r="O8" s="1136"/>
      <c r="P8" s="3205" t="s">
        <v>2557</v>
      </c>
      <c r="Q8" s="3206"/>
      <c r="R8" s="770" t="s">
        <v>23</v>
      </c>
      <c r="S8" s="771">
        <f t="shared" si="0"/>
        <v>100</v>
      </c>
      <c r="T8" s="770" t="s">
        <v>23</v>
      </c>
      <c r="U8" s="771">
        <f t="shared" si="1"/>
        <v>100</v>
      </c>
      <c r="V8" s="770" t="s">
        <v>23</v>
      </c>
      <c r="W8" s="771">
        <f t="shared" si="2"/>
        <v>100</v>
      </c>
      <c r="X8" s="772"/>
      <c r="Y8" s="3205" t="s">
        <v>2557</v>
      </c>
      <c r="Z8" s="3206"/>
      <c r="AA8" s="773">
        <f t="shared" ref="AA8:AA19" si="3">D8/F8</f>
        <v>1</v>
      </c>
      <c r="AB8" s="773">
        <f t="shared" ref="AB8:AB19" si="4">D8/H8</f>
        <v>1</v>
      </c>
      <c r="AC8" s="773">
        <f t="shared" ref="AC8:AC19" si="5">D8/J8</f>
        <v>1</v>
      </c>
    </row>
    <row r="9" spans="1:29" s="117" customFormat="1">
      <c r="A9" s="415" t="s">
        <v>2558</v>
      </c>
      <c r="B9" s="71" t="s">
        <v>2559</v>
      </c>
      <c r="C9" s="2949" t="s">
        <v>3099</v>
      </c>
      <c r="D9" s="135">
        <v>100</v>
      </c>
      <c r="E9" s="2950" t="s">
        <v>3099</v>
      </c>
      <c r="F9" s="418">
        <f>SUMIF(63:63,E9,64:64)-SUMIF(63:63,C9,64:64)+100</f>
        <v>100</v>
      </c>
      <c r="G9" s="2951" t="s">
        <v>3099</v>
      </c>
      <c r="H9" s="135">
        <f>SUMIF(63:63,G9,64:64)-SUMIF(63:63,C9,64:64)+100</f>
        <v>100</v>
      </c>
      <c r="I9" s="2951" t="s">
        <v>3099</v>
      </c>
      <c r="J9" s="135">
        <f>SUMIF(63:63,I9,64:64)-SUMIF(63:63,C9,64:64)+100</f>
        <v>100</v>
      </c>
      <c r="K9" s="2605"/>
      <c r="L9" s="1135"/>
      <c r="M9" s="1136"/>
      <c r="N9" s="1136"/>
      <c r="O9" s="1136"/>
      <c r="P9" s="3180" t="s">
        <v>2560</v>
      </c>
      <c r="Q9" s="1798" t="str">
        <f t="shared" ref="Q9:Q15" si="6">B9</f>
        <v>用途</v>
      </c>
      <c r="R9" s="770" t="s">
        <v>17</v>
      </c>
      <c r="S9" s="771">
        <f t="shared" si="0"/>
        <v>100</v>
      </c>
      <c r="T9" s="770" t="s">
        <v>17</v>
      </c>
      <c r="U9" s="771">
        <f t="shared" si="1"/>
        <v>100</v>
      </c>
      <c r="V9" s="770" t="s">
        <v>17</v>
      </c>
      <c r="W9" s="771">
        <f t="shared" si="2"/>
        <v>100</v>
      </c>
      <c r="X9" s="772"/>
      <c r="Y9" s="3024" t="s">
        <v>2561</v>
      </c>
      <c r="Z9" s="55" t="str">
        <f t="shared" ref="Z9:Z15" si="7">Q9</f>
        <v>用途</v>
      </c>
      <c r="AA9" s="773">
        <f t="shared" si="3"/>
        <v>1</v>
      </c>
      <c r="AB9" s="773">
        <f t="shared" si="4"/>
        <v>1</v>
      </c>
      <c r="AC9" s="773">
        <f t="shared" si="5"/>
        <v>1</v>
      </c>
    </row>
    <row r="10" spans="1:29" s="427" customFormat="1" ht="27.75" thickBot="1">
      <c r="A10" s="421"/>
      <c r="B10" s="422" t="s">
        <v>2562</v>
      </c>
      <c r="C10" s="423" t="s">
        <v>3100</v>
      </c>
      <c r="D10" s="136">
        <v>100</v>
      </c>
      <c r="E10" s="424" t="s">
        <v>3103</v>
      </c>
      <c r="F10" s="425">
        <f>SUMIF(65:65,E10,66:66)-SUMIF(65:65,C10,66:66)+100</f>
        <v>101</v>
      </c>
      <c r="G10" s="423" t="s">
        <v>3100</v>
      </c>
      <c r="H10" s="136">
        <f>SUMIF(65:65,G10,66:66)-SUMIF(65:65,C10,66:66)+100</f>
        <v>100</v>
      </c>
      <c r="I10" s="423" t="s">
        <v>3100</v>
      </c>
      <c r="J10" s="136">
        <f>SUMIF(65:65,I10,66:66)-SUMIF(65:65,C10,66:66)+100</f>
        <v>100</v>
      </c>
      <c r="K10" s="426">
        <v>1</v>
      </c>
      <c r="L10" s="1138"/>
      <c r="M10" s="1139"/>
      <c r="N10" s="1139"/>
      <c r="O10" s="1139"/>
      <c r="P10" s="3180"/>
      <c r="Q10" s="1798" t="str">
        <f t="shared" si="6"/>
        <v>土地使用年限（年）</v>
      </c>
      <c r="R10" s="770" t="s">
        <v>17</v>
      </c>
      <c r="S10" s="771">
        <f t="shared" si="0"/>
        <v>101</v>
      </c>
      <c r="T10" s="770" t="s">
        <v>17</v>
      </c>
      <c r="U10" s="771">
        <f t="shared" si="1"/>
        <v>100</v>
      </c>
      <c r="V10" s="770" t="s">
        <v>17</v>
      </c>
      <c r="W10" s="771">
        <f t="shared" si="2"/>
        <v>100</v>
      </c>
      <c r="X10" s="772"/>
      <c r="Y10" s="3024"/>
      <c r="Z10" s="55" t="str">
        <f t="shared" si="7"/>
        <v>土地使用年限（年）</v>
      </c>
      <c r="AA10" s="773">
        <f t="shared" si="3"/>
        <v>0.99009900990099009</v>
      </c>
      <c r="AB10" s="773">
        <f t="shared" si="4"/>
        <v>1</v>
      </c>
      <c r="AC10" s="773">
        <f t="shared" si="5"/>
        <v>1</v>
      </c>
    </row>
    <row r="11" spans="1:29" ht="15.75" hidden="1" thickBot="1">
      <c r="A11" s="428"/>
      <c r="B11" s="422" t="s">
        <v>2563</v>
      </c>
      <c r="C11" s="429">
        <f>'数据-汇总表'!I7</f>
        <v>4.82</v>
      </c>
      <c r="D11" s="136">
        <v>100</v>
      </c>
      <c r="E11" s="430">
        <v>4.7</v>
      </c>
      <c r="F11" s="425">
        <f>LOOKUP(E11,68:68,69:69)-LOOKUP(C11,68:68,69:69)+100</f>
        <v>100</v>
      </c>
      <c r="G11" s="429">
        <v>4.4000000000000004</v>
      </c>
      <c r="H11" s="136">
        <f>LOOKUP(G11,68:68,69:69)-LOOKUP(C11,68:68,69:69)+100</f>
        <v>100</v>
      </c>
      <c r="I11" s="429">
        <v>2.7</v>
      </c>
      <c r="J11" s="136">
        <f>LOOKUP(I11,68:68,69:69)-LOOKUP(C11,68:68,69:69)+100</f>
        <v>100</v>
      </c>
      <c r="K11" s="426">
        <v>0</v>
      </c>
      <c r="L11" s="1141"/>
      <c r="M11" s="1134"/>
      <c r="N11" s="1134"/>
      <c r="O11" s="1134"/>
      <c r="P11" s="3180"/>
      <c r="Q11" s="1798" t="str">
        <f t="shared" si="6"/>
        <v>容积率</v>
      </c>
      <c r="R11" s="770" t="s">
        <v>21</v>
      </c>
      <c r="S11" s="771">
        <f t="shared" si="0"/>
        <v>100</v>
      </c>
      <c r="T11" s="770" t="s">
        <v>21</v>
      </c>
      <c r="U11" s="771">
        <f t="shared" si="1"/>
        <v>100</v>
      </c>
      <c r="V11" s="770" t="s">
        <v>21</v>
      </c>
      <c r="W11" s="771">
        <f t="shared" si="2"/>
        <v>100</v>
      </c>
      <c r="X11" s="772"/>
      <c r="Y11" s="3024"/>
      <c r="Z11" s="55" t="str">
        <f t="shared" si="7"/>
        <v>容积率</v>
      </c>
      <c r="AA11" s="773">
        <f t="shared" si="3"/>
        <v>1</v>
      </c>
      <c r="AB11" s="773">
        <f t="shared" si="4"/>
        <v>1</v>
      </c>
      <c r="AC11" s="773">
        <f t="shared" si="5"/>
        <v>1</v>
      </c>
    </row>
    <row r="12" spans="1:29" s="117" customFormat="1" ht="15" hidden="1">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80"/>
      <c r="Q12" s="1798">
        <f t="shared" si="6"/>
        <v>111</v>
      </c>
      <c r="R12" s="770" t="s">
        <v>21</v>
      </c>
      <c r="S12" s="771">
        <f t="shared" si="0"/>
        <v>100</v>
      </c>
      <c r="T12" s="770" t="s">
        <v>21</v>
      </c>
      <c r="U12" s="771">
        <f t="shared" si="1"/>
        <v>100</v>
      </c>
      <c r="V12" s="770" t="s">
        <v>21</v>
      </c>
      <c r="W12" s="771">
        <f t="shared" si="2"/>
        <v>100</v>
      </c>
      <c r="X12" s="772"/>
      <c r="Y12" s="3024"/>
      <c r="Z12" s="55">
        <f t="shared" si="7"/>
        <v>111</v>
      </c>
      <c r="AA12" s="773">
        <f>D12/F12</f>
        <v>1</v>
      </c>
      <c r="AB12" s="773">
        <f>D12/H12</f>
        <v>1</v>
      </c>
      <c r="AC12" s="773">
        <f>D12/J12</f>
        <v>1</v>
      </c>
    </row>
    <row r="13" spans="1:29" ht="15" hidden="1">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80"/>
      <c r="Q13" s="1798">
        <f t="shared" si="6"/>
        <v>111</v>
      </c>
      <c r="R13" s="770" t="s">
        <v>21</v>
      </c>
      <c r="S13" s="771">
        <f t="shared" si="0"/>
        <v>100</v>
      </c>
      <c r="T13" s="770" t="s">
        <v>21</v>
      </c>
      <c r="U13" s="771">
        <f t="shared" si="1"/>
        <v>100</v>
      </c>
      <c r="V13" s="770" t="s">
        <v>21</v>
      </c>
      <c r="W13" s="771">
        <f t="shared" si="2"/>
        <v>100</v>
      </c>
      <c r="X13" s="772"/>
      <c r="Y13" s="3024"/>
      <c r="Z13" s="55">
        <f t="shared" si="7"/>
        <v>111</v>
      </c>
      <c r="AA13" s="773">
        <f t="shared" si="3"/>
        <v>1</v>
      </c>
      <c r="AB13" s="773">
        <f t="shared" si="4"/>
        <v>1</v>
      </c>
      <c r="AC13" s="773">
        <f t="shared" si="5"/>
        <v>1</v>
      </c>
    </row>
    <row r="14" spans="1:29" ht="15.75" hidden="1"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80"/>
      <c r="Q14" s="1798">
        <f t="shared" si="6"/>
        <v>111</v>
      </c>
      <c r="R14" s="770" t="s">
        <v>21</v>
      </c>
      <c r="S14" s="771">
        <f t="shared" si="0"/>
        <v>100</v>
      </c>
      <c r="T14" s="770" t="s">
        <v>21</v>
      </c>
      <c r="U14" s="771">
        <f t="shared" si="1"/>
        <v>100</v>
      </c>
      <c r="V14" s="770" t="s">
        <v>21</v>
      </c>
      <c r="W14" s="771">
        <f t="shared" si="2"/>
        <v>100</v>
      </c>
      <c r="X14" s="772"/>
      <c r="Y14" s="3024"/>
      <c r="Z14" s="55">
        <f t="shared" si="7"/>
        <v>111</v>
      </c>
      <c r="AA14" s="773">
        <f t="shared" si="3"/>
        <v>1</v>
      </c>
      <c r="AB14" s="773">
        <f t="shared" si="4"/>
        <v>1</v>
      </c>
      <c r="AC14" s="773">
        <f t="shared" si="5"/>
        <v>1</v>
      </c>
    </row>
    <row r="15" spans="1:29" ht="99.75">
      <c r="A15" s="440" t="s">
        <v>2564</v>
      </c>
      <c r="B15" s="69" t="s">
        <v>2089</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178" t="s">
        <v>2565</v>
      </c>
      <c r="Q15" s="1813" t="str">
        <f t="shared" si="6"/>
        <v>居住社区成熟度</v>
      </c>
      <c r="R15" s="774" t="s">
        <v>21</v>
      </c>
      <c r="S15" s="775">
        <f t="shared" si="0"/>
        <v>100</v>
      </c>
      <c r="T15" s="774" t="s">
        <v>21</v>
      </c>
      <c r="U15" s="775">
        <f t="shared" si="1"/>
        <v>100</v>
      </c>
      <c r="V15" s="774" t="s">
        <v>21</v>
      </c>
      <c r="W15" s="775">
        <f t="shared" si="2"/>
        <v>100</v>
      </c>
      <c r="X15" s="1816"/>
      <c r="Y15" s="3171" t="s">
        <v>2565</v>
      </c>
      <c r="Z15" s="1817" t="str">
        <f t="shared" si="7"/>
        <v>居住社区成熟度</v>
      </c>
      <c r="AA15" s="1814">
        <f t="shared" si="3"/>
        <v>1</v>
      </c>
      <c r="AB15" s="1814">
        <f t="shared" si="4"/>
        <v>1</v>
      </c>
      <c r="AC15" s="1814">
        <f t="shared" si="5"/>
        <v>1</v>
      </c>
    </row>
    <row r="16" spans="1:29" ht="15">
      <c r="A16" s="428"/>
      <c r="B16" s="446"/>
      <c r="C16" s="447" t="s">
        <v>3083</v>
      </c>
      <c r="D16" s="448"/>
      <c r="E16" s="447" t="s">
        <v>3083</v>
      </c>
      <c r="F16" s="448"/>
      <c r="G16" s="447" t="s">
        <v>3083</v>
      </c>
      <c r="H16" s="450"/>
      <c r="I16" s="447" t="s">
        <v>3083</v>
      </c>
      <c r="J16" s="448"/>
      <c r="K16" s="2613"/>
      <c r="L16" s="1143"/>
      <c r="M16" s="1134"/>
      <c r="N16" s="1134"/>
      <c r="O16" s="1134"/>
      <c r="P16" s="3179"/>
      <c r="Q16" s="1813"/>
      <c r="R16" s="774"/>
      <c r="S16" s="775"/>
      <c r="T16" s="774"/>
      <c r="U16" s="775"/>
      <c r="V16" s="774"/>
      <c r="W16" s="775"/>
      <c r="X16" s="1816"/>
      <c r="Y16" s="3172"/>
      <c r="Z16" s="1817"/>
      <c r="AA16" s="1814">
        <v>1</v>
      </c>
      <c r="AB16" s="1814">
        <v>1</v>
      </c>
      <c r="AC16" s="1814">
        <v>1</v>
      </c>
    </row>
    <row r="17" spans="1:29" ht="85.5">
      <c r="A17" s="428"/>
      <c r="B17" s="451" t="s">
        <v>2101</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179"/>
      <c r="Q17" s="1813" t="str">
        <f>B17</f>
        <v>交通便捷度</v>
      </c>
      <c r="R17" s="774" t="s">
        <v>21</v>
      </c>
      <c r="S17" s="775">
        <f>F17</f>
        <v>100</v>
      </c>
      <c r="T17" s="774" t="s">
        <v>21</v>
      </c>
      <c r="U17" s="775">
        <f>H17</f>
        <v>100</v>
      </c>
      <c r="V17" s="774" t="s">
        <v>21</v>
      </c>
      <c r="W17" s="775">
        <f>J17</f>
        <v>100</v>
      </c>
      <c r="X17" s="1816"/>
      <c r="Y17" s="3172"/>
      <c r="Z17" s="1817" t="str">
        <f>Q17</f>
        <v>交通便捷度</v>
      </c>
      <c r="AA17" s="1814">
        <f t="shared" si="3"/>
        <v>1</v>
      </c>
      <c r="AB17" s="1814">
        <f t="shared" si="4"/>
        <v>1</v>
      </c>
      <c r="AC17" s="1814">
        <f t="shared" si="5"/>
        <v>1</v>
      </c>
    </row>
    <row r="18" spans="1:29" ht="15">
      <c r="A18" s="428"/>
      <c r="B18" s="456"/>
      <c r="C18" s="2615" t="s">
        <v>3083</v>
      </c>
      <c r="D18" s="450"/>
      <c r="E18" s="447" t="s">
        <v>3083</v>
      </c>
      <c r="F18" s="450"/>
      <c r="G18" s="447" t="s">
        <v>3083</v>
      </c>
      <c r="H18" s="448"/>
      <c r="I18" s="447" t="s">
        <v>3083</v>
      </c>
      <c r="J18" s="448"/>
      <c r="K18" s="2613"/>
      <c r="L18" s="1143"/>
      <c r="M18" s="1134"/>
      <c r="N18" s="1134"/>
      <c r="O18" s="1134"/>
      <c r="P18" s="3179"/>
      <c r="Q18" s="1813"/>
      <c r="R18" s="774"/>
      <c r="S18" s="775"/>
      <c r="T18" s="774"/>
      <c r="U18" s="775"/>
      <c r="V18" s="774"/>
      <c r="W18" s="775"/>
      <c r="X18" s="1816"/>
      <c r="Y18" s="3172"/>
      <c r="Z18" s="1817"/>
      <c r="AA18" s="1814">
        <v>1</v>
      </c>
      <c r="AB18" s="1814">
        <v>1</v>
      </c>
      <c r="AC18" s="1814">
        <v>1</v>
      </c>
    </row>
    <row r="19" spans="1:29" ht="42.75">
      <c r="A19" s="428"/>
      <c r="B19" s="451" t="s">
        <v>2099</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179"/>
      <c r="Q19" s="1813" t="str">
        <f>B19</f>
        <v>公共配套设施</v>
      </c>
      <c r="R19" s="774" t="s">
        <v>21</v>
      </c>
      <c r="S19" s="775">
        <f>F19</f>
        <v>100</v>
      </c>
      <c r="T19" s="774" t="s">
        <v>21</v>
      </c>
      <c r="U19" s="775">
        <f>H19</f>
        <v>100</v>
      </c>
      <c r="V19" s="774" t="s">
        <v>21</v>
      </c>
      <c r="W19" s="775">
        <f>J19</f>
        <v>100</v>
      </c>
      <c r="X19" s="1816"/>
      <c r="Y19" s="3172"/>
      <c r="Z19" s="1817" t="str">
        <f>Q19</f>
        <v>公共配套设施</v>
      </c>
      <c r="AA19" s="1814">
        <f t="shared" si="3"/>
        <v>1</v>
      </c>
      <c r="AB19" s="1814">
        <f t="shared" si="4"/>
        <v>1</v>
      </c>
      <c r="AC19" s="1814">
        <f t="shared" si="5"/>
        <v>1</v>
      </c>
    </row>
    <row r="20" spans="1:29" ht="15">
      <c r="A20" s="428"/>
      <c r="B20" s="456"/>
      <c r="C20" s="447" t="s">
        <v>3083</v>
      </c>
      <c r="D20" s="448"/>
      <c r="E20" s="447" t="s">
        <v>3083</v>
      </c>
      <c r="F20" s="448"/>
      <c r="G20" s="447" t="s">
        <v>3083</v>
      </c>
      <c r="H20" s="448"/>
      <c r="I20" s="447" t="s">
        <v>3083</v>
      </c>
      <c r="J20" s="448"/>
      <c r="K20" s="2613"/>
      <c r="L20" s="1143"/>
      <c r="M20" s="1134"/>
      <c r="N20" s="1134"/>
      <c r="O20" s="1134"/>
      <c r="P20" s="3179"/>
      <c r="Q20" s="1813"/>
      <c r="R20" s="774"/>
      <c r="S20" s="775"/>
      <c r="T20" s="774"/>
      <c r="U20" s="775"/>
      <c r="V20" s="774"/>
      <c r="W20" s="775"/>
      <c r="X20" s="1816"/>
      <c r="Y20" s="3172"/>
      <c r="Z20" s="1817"/>
      <c r="AA20" s="1814">
        <v>1</v>
      </c>
      <c r="AB20" s="1814">
        <v>1</v>
      </c>
      <c r="AC20" s="1814">
        <v>1</v>
      </c>
    </row>
    <row r="21" spans="1:29" ht="28.5">
      <c r="A21" s="428"/>
      <c r="B21" s="1387" t="s">
        <v>2102</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179"/>
      <c r="Q21" s="1813" t="str">
        <f>B21</f>
        <v>基础设施水平</v>
      </c>
      <c r="R21" s="774" t="s">
        <v>17</v>
      </c>
      <c r="S21" s="775">
        <f>F21</f>
        <v>100</v>
      </c>
      <c r="T21" s="774" t="s">
        <v>17</v>
      </c>
      <c r="U21" s="775">
        <f>H21</f>
        <v>100</v>
      </c>
      <c r="V21" s="774" t="s">
        <v>17</v>
      </c>
      <c r="W21" s="775">
        <f>J21</f>
        <v>100</v>
      </c>
      <c r="X21" s="1816"/>
      <c r="Y21" s="3172"/>
      <c r="Z21" s="1817" t="str">
        <f>Q21</f>
        <v>基础设施水平</v>
      </c>
      <c r="AA21" s="1814">
        <f t="shared" ref="AA21" si="8">D21/F21</f>
        <v>1</v>
      </c>
      <c r="AB21" s="1814">
        <f t="shared" ref="AB21" si="9">D21/H21</f>
        <v>1</v>
      </c>
      <c r="AC21" s="1814">
        <f t="shared" ref="AC21" si="10">D21/J21</f>
        <v>1</v>
      </c>
    </row>
    <row r="22" spans="1:29" ht="15">
      <c r="A22" s="428"/>
      <c r="B22" s="1387"/>
      <c r="C22" s="2615" t="s">
        <v>3101</v>
      </c>
      <c r="D22" s="448"/>
      <c r="E22" s="2615" t="s">
        <v>3101</v>
      </c>
      <c r="F22" s="448"/>
      <c r="G22" s="2615" t="s">
        <v>3101</v>
      </c>
      <c r="H22" s="448"/>
      <c r="I22" s="2615" t="s">
        <v>3101</v>
      </c>
      <c r="J22" s="448"/>
      <c r="K22" s="2619"/>
      <c r="L22" s="1143"/>
      <c r="M22" s="1134"/>
      <c r="N22" s="1134"/>
      <c r="O22" s="1134"/>
      <c r="P22" s="3179"/>
      <c r="Q22" s="1813"/>
      <c r="R22" s="774"/>
      <c r="S22" s="775"/>
      <c r="T22" s="774"/>
      <c r="U22" s="775"/>
      <c r="V22" s="774"/>
      <c r="W22" s="775"/>
      <c r="X22" s="1816"/>
      <c r="Y22" s="3172"/>
      <c r="Z22" s="1817"/>
      <c r="AA22" s="1814">
        <v>1</v>
      </c>
      <c r="AB22" s="1814">
        <v>1</v>
      </c>
      <c r="AC22" s="1814">
        <v>1</v>
      </c>
    </row>
    <row r="23" spans="1:29" ht="57">
      <c r="A23" s="428"/>
      <c r="B23" s="451" t="s">
        <v>2106</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179"/>
      <c r="Q23" s="1813" t="str">
        <f>B23</f>
        <v>自然及人文环境</v>
      </c>
      <c r="R23" s="774" t="s">
        <v>21</v>
      </c>
      <c r="S23" s="775">
        <f>F23</f>
        <v>100</v>
      </c>
      <c r="T23" s="774" t="s">
        <v>21</v>
      </c>
      <c r="U23" s="775">
        <f>H23</f>
        <v>100</v>
      </c>
      <c r="V23" s="774" t="s">
        <v>21</v>
      </c>
      <c r="W23" s="775">
        <f>J23</f>
        <v>100</v>
      </c>
      <c r="X23" s="1816"/>
      <c r="Y23" s="3172"/>
      <c r="Z23" s="1817" t="str">
        <f>Q23</f>
        <v>自然及人文环境</v>
      </c>
      <c r="AA23" s="1814">
        <f>D23/F23</f>
        <v>1</v>
      </c>
      <c r="AB23" s="1814">
        <f>D23/H23</f>
        <v>1</v>
      </c>
      <c r="AC23" s="1814">
        <f>D23/J23</f>
        <v>1</v>
      </c>
    </row>
    <row r="24" spans="1:29" ht="15">
      <c r="A24" s="428"/>
      <c r="B24" s="456"/>
      <c r="C24" s="447" t="s">
        <v>3084</v>
      </c>
      <c r="D24" s="448"/>
      <c r="E24" s="447" t="s">
        <v>3084</v>
      </c>
      <c r="F24" s="448"/>
      <c r="G24" s="447" t="s">
        <v>3084</v>
      </c>
      <c r="H24" s="448"/>
      <c r="I24" s="447" t="s">
        <v>3084</v>
      </c>
      <c r="J24" s="448"/>
      <c r="K24" s="2613"/>
      <c r="L24" s="1143"/>
      <c r="M24" s="1134"/>
      <c r="N24" s="1134"/>
      <c r="O24" s="1134"/>
      <c r="P24" s="3179"/>
      <c r="Q24" s="1813"/>
      <c r="R24" s="774"/>
      <c r="S24" s="775"/>
      <c r="T24" s="774"/>
      <c r="U24" s="775"/>
      <c r="V24" s="774"/>
      <c r="W24" s="775"/>
      <c r="X24" s="1816"/>
      <c r="Y24" s="3172"/>
      <c r="Z24" s="1817"/>
      <c r="AA24" s="1814">
        <v>1</v>
      </c>
      <c r="AB24" s="1814">
        <v>1</v>
      </c>
      <c r="AC24" s="1814">
        <v>1</v>
      </c>
    </row>
    <row r="25" spans="1:29" ht="15" hidden="1">
      <c r="A25" s="428"/>
      <c r="B25" s="422" t="s">
        <v>2566</v>
      </c>
      <c r="C25" s="460"/>
      <c r="D25" s="435">
        <v>100</v>
      </c>
      <c r="E25" s="2620"/>
      <c r="F25" s="435">
        <f>SUMIF(86:86,E25,87:87)-SUMIF(86:86,C25,87:87)+100</f>
        <v>100</v>
      </c>
      <c r="G25" s="2621"/>
      <c r="H25" s="435">
        <f>SUMIF(86:86,G25,87:87)-SUMIF(86:86,C25,87:87)+100</f>
        <v>100</v>
      </c>
      <c r="I25" s="2621"/>
      <c r="J25" s="435">
        <f>SUMIF(86:86,I25,87:87)-SUMIF(86:86,C25,87:87)+100</f>
        <v>100</v>
      </c>
      <c r="K25" s="426">
        <v>1</v>
      </c>
      <c r="L25" s="1143"/>
      <c r="M25" s="1134"/>
      <c r="N25" s="1134"/>
      <c r="O25" s="1134"/>
      <c r="P25" s="317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2"/>
      <c r="Z25" s="1817" t="str">
        <f>Q25</f>
        <v>楼层-1</v>
      </c>
      <c r="AA25" s="1814">
        <f t="shared" ref="AA25:AA46" si="15">D25/F25</f>
        <v>1</v>
      </c>
      <c r="AB25" s="1814">
        <f t="shared" ref="AB25:AB46" si="16">D25/H25</f>
        <v>1</v>
      </c>
      <c r="AC25" s="1814">
        <f t="shared" ref="AC25:AC46" si="17">D25/J25</f>
        <v>1</v>
      </c>
    </row>
    <row r="26" spans="1:29" ht="15">
      <c r="A26" s="428"/>
      <c r="B26" s="422" t="s">
        <v>2567</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179"/>
      <c r="Q26" s="1813" t="str">
        <f t="shared" si="11"/>
        <v>朝向</v>
      </c>
      <c r="R26" s="774" t="s">
        <v>21</v>
      </c>
      <c r="S26" s="775">
        <f t="shared" si="12"/>
        <v>100</v>
      </c>
      <c r="T26" s="774" t="s">
        <v>21</v>
      </c>
      <c r="U26" s="775">
        <f t="shared" si="13"/>
        <v>100</v>
      </c>
      <c r="V26" s="774" t="s">
        <v>21</v>
      </c>
      <c r="W26" s="775">
        <f t="shared" si="14"/>
        <v>100</v>
      </c>
      <c r="X26" s="1816"/>
      <c r="Y26" s="3172"/>
      <c r="Z26" s="1817" t="str">
        <f>Q26</f>
        <v>朝向</v>
      </c>
      <c r="AA26" s="1814">
        <f t="shared" si="15"/>
        <v>1</v>
      </c>
      <c r="AB26" s="1814">
        <f t="shared" si="16"/>
        <v>1</v>
      </c>
      <c r="AC26" s="1814">
        <f t="shared" si="17"/>
        <v>1</v>
      </c>
    </row>
    <row r="27" spans="1:29" s="117" customFormat="1" ht="15.75" thickBot="1">
      <c r="A27" s="431"/>
      <c r="B27" s="2955" t="s">
        <v>3128</v>
      </c>
      <c r="C27" s="2957" t="s">
        <v>3106</v>
      </c>
      <c r="D27" s="462">
        <v>100</v>
      </c>
      <c r="E27" s="2958" t="s">
        <v>3107</v>
      </c>
      <c r="F27" s="462">
        <f>SUMIF(90:90,E27,91:91)-SUMIF(90:90,C27,91:91)+100</f>
        <v>97</v>
      </c>
      <c r="G27" s="2959" t="s">
        <v>3106</v>
      </c>
      <c r="H27" s="462">
        <f>SUMIF(90:90,G27,91:91)-SUMIF(90:90,C27,91:91)+100</f>
        <v>100</v>
      </c>
      <c r="I27" s="2959" t="s">
        <v>3107</v>
      </c>
      <c r="J27" s="462">
        <f>SUMIF(90:90,I27,91:91)-SUMIF(90:90,C27,91:91)+100</f>
        <v>97</v>
      </c>
      <c r="K27" s="2608"/>
      <c r="L27" s="1135"/>
      <c r="M27" s="1136"/>
      <c r="N27" s="1136"/>
      <c r="O27" s="1136"/>
      <c r="P27" s="3179"/>
      <c r="Q27" s="1798" t="str">
        <f t="shared" si="11"/>
        <v>楼层</v>
      </c>
      <c r="R27" s="770" t="s">
        <v>21</v>
      </c>
      <c r="S27" s="771">
        <f t="shared" si="12"/>
        <v>97</v>
      </c>
      <c r="T27" s="770" t="s">
        <v>21</v>
      </c>
      <c r="U27" s="771">
        <f t="shared" si="13"/>
        <v>100</v>
      </c>
      <c r="V27" s="770" t="s">
        <v>21</v>
      </c>
      <c r="W27" s="771">
        <f t="shared" si="14"/>
        <v>97</v>
      </c>
      <c r="X27" s="772"/>
      <c r="Y27" s="3172"/>
      <c r="Z27" s="55" t="str">
        <f>Q27</f>
        <v>楼层</v>
      </c>
      <c r="AA27" s="1814">
        <f t="shared" si="15"/>
        <v>1.0309278350515463</v>
      </c>
      <c r="AB27" s="1814">
        <f t="shared" si="16"/>
        <v>1</v>
      </c>
      <c r="AC27" s="1814">
        <f t="shared" si="17"/>
        <v>1.0309278350515463</v>
      </c>
    </row>
    <row r="28" spans="1:29" ht="15" hidden="1">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179"/>
      <c r="Q28" s="1813">
        <f t="shared" si="11"/>
        <v>111</v>
      </c>
      <c r="R28" s="774" t="s">
        <v>21</v>
      </c>
      <c r="S28" s="775">
        <f t="shared" si="12"/>
        <v>100</v>
      </c>
      <c r="T28" s="774" t="s">
        <v>21</v>
      </c>
      <c r="U28" s="775">
        <f t="shared" si="13"/>
        <v>100</v>
      </c>
      <c r="V28" s="774" t="s">
        <v>21</v>
      </c>
      <c r="W28" s="775">
        <f t="shared" si="14"/>
        <v>100</v>
      </c>
      <c r="X28" s="1816"/>
      <c r="Y28" s="3172"/>
      <c r="Z28" s="1817">
        <f t="shared" ref="Z28:Z46" si="18">Q28</f>
        <v>111</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79"/>
      <c r="Q29" s="1813">
        <f t="shared" si="11"/>
        <v>111</v>
      </c>
      <c r="R29" s="774" t="s">
        <v>21</v>
      </c>
      <c r="S29" s="775">
        <f t="shared" si="12"/>
        <v>100</v>
      </c>
      <c r="T29" s="774" t="s">
        <v>21</v>
      </c>
      <c r="U29" s="775">
        <f t="shared" si="13"/>
        <v>100</v>
      </c>
      <c r="V29" s="774" t="s">
        <v>21</v>
      </c>
      <c r="W29" s="775">
        <f t="shared" si="14"/>
        <v>100</v>
      </c>
      <c r="X29" s="1816"/>
      <c r="Y29" s="3172"/>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79"/>
      <c r="Q30" s="1813">
        <f t="shared" si="11"/>
        <v>111</v>
      </c>
      <c r="R30" s="774" t="s">
        <v>21</v>
      </c>
      <c r="S30" s="775">
        <f t="shared" si="12"/>
        <v>100</v>
      </c>
      <c r="T30" s="774" t="s">
        <v>21</v>
      </c>
      <c r="U30" s="775">
        <f t="shared" si="13"/>
        <v>100</v>
      </c>
      <c r="V30" s="774" t="s">
        <v>21</v>
      </c>
      <c r="W30" s="775">
        <f t="shared" si="14"/>
        <v>100</v>
      </c>
      <c r="X30" s="1816"/>
      <c r="Y30" s="3172"/>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79"/>
      <c r="Q31" s="1813">
        <f t="shared" si="11"/>
        <v>111</v>
      </c>
      <c r="R31" s="774" t="s">
        <v>21</v>
      </c>
      <c r="S31" s="775">
        <f t="shared" si="12"/>
        <v>100</v>
      </c>
      <c r="T31" s="774" t="s">
        <v>21</v>
      </c>
      <c r="U31" s="775">
        <f t="shared" si="13"/>
        <v>100</v>
      </c>
      <c r="V31" s="774" t="s">
        <v>21</v>
      </c>
      <c r="W31" s="775">
        <f t="shared" si="14"/>
        <v>100</v>
      </c>
      <c r="X31" s="1816"/>
      <c r="Y31" s="3172"/>
      <c r="Z31" s="1817">
        <f t="shared" si="18"/>
        <v>111</v>
      </c>
      <c r="AA31" s="1814">
        <f t="shared" si="15"/>
        <v>1</v>
      </c>
      <c r="AB31" s="1814">
        <f t="shared" si="16"/>
        <v>1</v>
      </c>
      <c r="AC31" s="1814">
        <f t="shared" si="17"/>
        <v>1</v>
      </c>
    </row>
    <row r="32" spans="1:29" ht="15">
      <c r="A32" s="440" t="s">
        <v>2568</v>
      </c>
      <c r="B32" s="71" t="s">
        <v>2569</v>
      </c>
      <c r="C32" s="2624" t="s">
        <v>3108</v>
      </c>
      <c r="D32" s="467">
        <v>100</v>
      </c>
      <c r="E32" s="2624" t="s">
        <v>3108</v>
      </c>
      <c r="F32" s="461">
        <f>SUMIF(100:100,E32,101:101)-SUMIF(100:100,C32,101:101)+100</f>
        <v>100</v>
      </c>
      <c r="G32" s="2624" t="s">
        <v>3108</v>
      </c>
      <c r="H32" s="467">
        <f>SUMIF(100:100,G32,101:101)-SUMIF(100:100,C32,101:101)+100</f>
        <v>100</v>
      </c>
      <c r="I32" s="2624" t="s">
        <v>3108</v>
      </c>
      <c r="J32" s="435">
        <f>SUMIF(100:100,I32,101:101)-SUMIF(100:100,C32,101:101)+100</f>
        <v>100</v>
      </c>
      <c r="K32" s="426">
        <v>2</v>
      </c>
      <c r="L32" s="1143"/>
      <c r="M32" s="1134"/>
      <c r="N32" s="1134"/>
      <c r="O32" s="1134"/>
      <c r="P32" s="3173" t="s">
        <v>2570</v>
      </c>
      <c r="Q32" s="1813" t="str">
        <f t="shared" si="11"/>
        <v>建筑类型</v>
      </c>
      <c r="R32" s="774" t="s">
        <v>21</v>
      </c>
      <c r="S32" s="775">
        <f t="shared" si="12"/>
        <v>100</v>
      </c>
      <c r="T32" s="774" t="s">
        <v>21</v>
      </c>
      <c r="U32" s="775">
        <f t="shared" si="13"/>
        <v>100</v>
      </c>
      <c r="V32" s="774" t="s">
        <v>21</v>
      </c>
      <c r="W32" s="775">
        <f t="shared" si="14"/>
        <v>100</v>
      </c>
      <c r="X32" s="1816"/>
      <c r="Y32" s="3176" t="s">
        <v>2570</v>
      </c>
      <c r="Z32" s="1817" t="str">
        <f t="shared" si="18"/>
        <v>建筑类型</v>
      </c>
      <c r="AA32" s="1814">
        <f t="shared" si="15"/>
        <v>1</v>
      </c>
      <c r="AB32" s="1814">
        <f t="shared" si="16"/>
        <v>1</v>
      </c>
      <c r="AC32" s="1814">
        <f t="shared" si="17"/>
        <v>1</v>
      </c>
    </row>
    <row r="33" spans="1:29" s="471" customFormat="1" ht="15" hidden="1">
      <c r="A33" s="468"/>
      <c r="B33" s="422" t="s">
        <v>2571</v>
      </c>
      <c r="C33" s="469">
        <v>78850</v>
      </c>
      <c r="D33" s="136">
        <v>100</v>
      </c>
      <c r="E33" s="430">
        <v>45922</v>
      </c>
      <c r="F33" s="425">
        <f>LOOKUP(E33,103:103,104:104)-LOOKUP(C33,103:103,104:104)+100</f>
        <v>100</v>
      </c>
      <c r="G33" s="429">
        <v>24320</v>
      </c>
      <c r="H33" s="136">
        <f>LOOKUP(G33,103:103,104:104)-LOOKUP(C33,103:103,104:104)+100</f>
        <v>100</v>
      </c>
      <c r="I33" s="430">
        <v>36517</v>
      </c>
      <c r="J33" s="136">
        <f>LOOKUP(I33,103:103,104:104)-LOOKUP(C33,103:103,104:104)+100</f>
        <v>100</v>
      </c>
      <c r="K33" s="2608"/>
      <c r="L33" s="1141"/>
      <c r="M33" s="1144"/>
      <c r="N33" s="1144"/>
      <c r="O33" s="1144"/>
      <c r="P33" s="3174"/>
      <c r="Q33" s="776" t="str">
        <f t="shared" si="11"/>
        <v>项目建筑规模</v>
      </c>
      <c r="R33" s="777" t="s">
        <v>21</v>
      </c>
      <c r="S33" s="778">
        <f t="shared" si="12"/>
        <v>100</v>
      </c>
      <c r="T33" s="777" t="s">
        <v>21</v>
      </c>
      <c r="U33" s="778">
        <f t="shared" si="13"/>
        <v>100</v>
      </c>
      <c r="V33" s="777" t="s">
        <v>21</v>
      </c>
      <c r="W33" s="778">
        <f t="shared" si="14"/>
        <v>100</v>
      </c>
      <c r="X33" s="779"/>
      <c r="Y33" s="3176"/>
      <c r="Z33" s="780" t="str">
        <f t="shared" si="18"/>
        <v>项目建筑规模</v>
      </c>
      <c r="AA33" s="1814">
        <f t="shared" si="15"/>
        <v>1</v>
      </c>
      <c r="AB33" s="1814">
        <f t="shared" si="16"/>
        <v>1</v>
      </c>
      <c r="AC33" s="1814">
        <f t="shared" si="17"/>
        <v>1</v>
      </c>
    </row>
    <row r="34" spans="1:29" ht="15">
      <c r="A34" s="472"/>
      <c r="B34" s="422" t="s">
        <v>2572</v>
      </c>
      <c r="C34" s="2625" t="s">
        <v>3110</v>
      </c>
      <c r="D34" s="435">
        <v>100</v>
      </c>
      <c r="E34" s="2625" t="s">
        <v>3110</v>
      </c>
      <c r="F34" s="461">
        <f>SUMIF(105:105,E34,106:106)-SUMIF(105:105,C34,106:106)+100</f>
        <v>100</v>
      </c>
      <c r="G34" s="2625" t="s">
        <v>3110</v>
      </c>
      <c r="H34" s="435">
        <f>SUMIF(105:105,G34,106:106)-SUMIF(105:105,C34,106:106)+100</f>
        <v>100</v>
      </c>
      <c r="I34" s="2625" t="s">
        <v>3110</v>
      </c>
      <c r="J34" s="435">
        <f>SUMIF(105:105,I34,106:106)-SUMIF(105:105,C34,106:106)+100</f>
        <v>100</v>
      </c>
      <c r="K34" s="426">
        <v>2</v>
      </c>
      <c r="L34" s="1143"/>
      <c r="M34" s="1134"/>
      <c r="N34" s="1134"/>
      <c r="O34" s="1134"/>
      <c r="P34" s="3174"/>
      <c r="Q34" s="1813" t="str">
        <f t="shared" si="11"/>
        <v>建筑结构</v>
      </c>
      <c r="R34" s="774" t="s">
        <v>21</v>
      </c>
      <c r="S34" s="775">
        <f t="shared" si="12"/>
        <v>100</v>
      </c>
      <c r="T34" s="774" t="s">
        <v>21</v>
      </c>
      <c r="U34" s="775">
        <f t="shared" si="13"/>
        <v>100</v>
      </c>
      <c r="V34" s="774" t="s">
        <v>21</v>
      </c>
      <c r="W34" s="775">
        <f t="shared" si="14"/>
        <v>100</v>
      </c>
      <c r="X34" s="1816"/>
      <c r="Y34" s="3176"/>
      <c r="Z34" s="1817" t="str">
        <f t="shared" si="18"/>
        <v>建筑结构</v>
      </c>
      <c r="AA34" s="1814">
        <f t="shared" si="15"/>
        <v>1</v>
      </c>
      <c r="AB34" s="1814">
        <f t="shared" si="16"/>
        <v>1</v>
      </c>
      <c r="AC34" s="1814">
        <f t="shared" si="17"/>
        <v>1</v>
      </c>
    </row>
    <row r="35" spans="1:29" ht="15">
      <c r="A35" s="472"/>
      <c r="B35" s="422" t="s">
        <v>2573</v>
      </c>
      <c r="C35" s="2620" t="s">
        <v>3112</v>
      </c>
      <c r="D35" s="435">
        <v>100</v>
      </c>
      <c r="E35" s="2620" t="s">
        <v>3112</v>
      </c>
      <c r="F35" s="461">
        <f>SUMIF(107:107,E35,108:108)-SUMIF(107:107,C35,108:108)+100</f>
        <v>100</v>
      </c>
      <c r="G35" s="2620" t="s">
        <v>3112</v>
      </c>
      <c r="H35" s="435">
        <f>SUMIF(107:107,G35,108:108)-SUMIF(107:107,C35,108:108)+100</f>
        <v>100</v>
      </c>
      <c r="I35" s="2620" t="s">
        <v>3112</v>
      </c>
      <c r="J35" s="435">
        <f>SUMIF(107:107,I35,108:108)-SUMIF(107:107,C35,108:108)+100</f>
        <v>100</v>
      </c>
      <c r="K35" s="426">
        <v>2</v>
      </c>
      <c r="L35" s="1143"/>
      <c r="M35" s="1134"/>
      <c r="N35" s="1134"/>
      <c r="O35" s="1134"/>
      <c r="P35" s="3174"/>
      <c r="Q35" s="1813" t="str">
        <f t="shared" si="11"/>
        <v>建筑品质</v>
      </c>
      <c r="R35" s="774" t="s">
        <v>21</v>
      </c>
      <c r="S35" s="775">
        <f t="shared" si="12"/>
        <v>100</v>
      </c>
      <c r="T35" s="774" t="s">
        <v>21</v>
      </c>
      <c r="U35" s="775">
        <f t="shared" si="13"/>
        <v>100</v>
      </c>
      <c r="V35" s="774" t="s">
        <v>21</v>
      </c>
      <c r="W35" s="775">
        <f t="shared" si="14"/>
        <v>100</v>
      </c>
      <c r="X35" s="1816"/>
      <c r="Y35" s="3176"/>
      <c r="Z35" s="1817" t="str">
        <f t="shared" si="18"/>
        <v>建筑品质</v>
      </c>
      <c r="AA35" s="1814">
        <f t="shared" si="15"/>
        <v>1</v>
      </c>
      <c r="AB35" s="1814">
        <f t="shared" si="16"/>
        <v>1</v>
      </c>
      <c r="AC35" s="1814">
        <f t="shared" si="17"/>
        <v>1</v>
      </c>
    </row>
    <row r="36" spans="1:29" ht="15">
      <c r="A36" s="472"/>
      <c r="B36" s="422" t="s">
        <v>2574</v>
      </c>
      <c r="C36" s="2620" t="s">
        <v>3114</v>
      </c>
      <c r="D36" s="435">
        <v>100</v>
      </c>
      <c r="E36" s="2620" t="s">
        <v>3114</v>
      </c>
      <c r="F36" s="461">
        <f>SUMIF(109:109,E36,110:110)-SUMIF(109:109,C36,110:110)+100</f>
        <v>100</v>
      </c>
      <c r="G36" s="2620" t="s">
        <v>3114</v>
      </c>
      <c r="H36" s="435">
        <f>SUMIF(109:109,G36,110:110)-SUMIF(109:109,C36,110:110)+100</f>
        <v>100</v>
      </c>
      <c r="I36" s="2620" t="s">
        <v>3114</v>
      </c>
      <c r="J36" s="435">
        <f>SUMIF(109:109,I36,110:110)-SUMIF(109:109,C36,110:110)+100</f>
        <v>100</v>
      </c>
      <c r="K36" s="426">
        <v>2</v>
      </c>
      <c r="L36" s="1143"/>
      <c r="M36" s="1134"/>
      <c r="N36" s="1134"/>
      <c r="O36" s="1134"/>
      <c r="P36" s="3174"/>
      <c r="Q36" s="1813" t="str">
        <f t="shared" si="11"/>
        <v>公共部分装修</v>
      </c>
      <c r="R36" s="774" t="s">
        <v>21</v>
      </c>
      <c r="S36" s="775">
        <f t="shared" si="12"/>
        <v>100</v>
      </c>
      <c r="T36" s="774" t="s">
        <v>21</v>
      </c>
      <c r="U36" s="775">
        <f t="shared" si="13"/>
        <v>100</v>
      </c>
      <c r="V36" s="774" t="s">
        <v>21</v>
      </c>
      <c r="W36" s="775">
        <f t="shared" si="14"/>
        <v>100</v>
      </c>
      <c r="X36" s="1816"/>
      <c r="Y36" s="3176"/>
      <c r="Z36" s="1817" t="str">
        <f t="shared" si="18"/>
        <v>公共部分装修</v>
      </c>
      <c r="AA36" s="1814">
        <f t="shared" si="15"/>
        <v>1</v>
      </c>
      <c r="AB36" s="1814">
        <f t="shared" si="16"/>
        <v>1</v>
      </c>
      <c r="AC36" s="1814">
        <f t="shared" si="17"/>
        <v>1</v>
      </c>
    </row>
    <row r="37" spans="1:29" s="117" customFormat="1" ht="15">
      <c r="A37" s="473"/>
      <c r="B37" s="422" t="s">
        <v>2575</v>
      </c>
      <c r="C37" s="474">
        <f>'数据-取费表'!N6</f>
        <v>0.88</v>
      </c>
      <c r="D37" s="136">
        <v>100</v>
      </c>
      <c r="E37" s="474">
        <v>1</v>
      </c>
      <c r="F37" s="425">
        <f>LOOKUP(E37,112:112,113:113)-LOOKUP(C37,112:112,113:113)+100</f>
        <v>101</v>
      </c>
      <c r="G37" s="476">
        <v>0.87</v>
      </c>
      <c r="H37" s="136">
        <f>LOOKUP(G37,112:112,113:113)-LOOKUP(C37,112:112,113:113)+100</f>
        <v>100</v>
      </c>
      <c r="I37" s="475">
        <v>0.83</v>
      </c>
      <c r="J37" s="136">
        <f>LOOKUP(I37,112:112,113:113)-LOOKUP(C37,112:112,113:113)+100</f>
        <v>100</v>
      </c>
      <c r="K37" s="426">
        <v>1</v>
      </c>
      <c r="L37" s="1135"/>
      <c r="M37" s="1136"/>
      <c r="N37" s="1136"/>
      <c r="O37" s="1136"/>
      <c r="P37" s="3174"/>
      <c r="Q37" s="1798" t="str">
        <f t="shared" si="11"/>
        <v>成新度</v>
      </c>
      <c r="R37" s="770" t="s">
        <v>21</v>
      </c>
      <c r="S37" s="771">
        <f t="shared" si="12"/>
        <v>101</v>
      </c>
      <c r="T37" s="770" t="s">
        <v>21</v>
      </c>
      <c r="U37" s="771">
        <f t="shared" si="13"/>
        <v>100</v>
      </c>
      <c r="V37" s="770" t="s">
        <v>21</v>
      </c>
      <c r="W37" s="771">
        <f t="shared" si="14"/>
        <v>100</v>
      </c>
      <c r="X37" s="772"/>
      <c r="Y37" s="3176"/>
      <c r="Z37" s="55" t="str">
        <f t="shared" si="18"/>
        <v>成新度</v>
      </c>
      <c r="AA37" s="773">
        <f t="shared" si="15"/>
        <v>0.99009900990099009</v>
      </c>
      <c r="AB37" s="773">
        <f t="shared" si="16"/>
        <v>1</v>
      </c>
      <c r="AC37" s="773">
        <f t="shared" si="17"/>
        <v>1</v>
      </c>
    </row>
    <row r="38" spans="1:29" ht="15">
      <c r="A38" s="472"/>
      <c r="B38" s="422" t="s">
        <v>2576</v>
      </c>
      <c r="C38" s="2620" t="s">
        <v>3116</v>
      </c>
      <c r="D38" s="435">
        <v>100</v>
      </c>
      <c r="E38" s="2620" t="s">
        <v>3116</v>
      </c>
      <c r="F38" s="461">
        <f>SUMIF(114:114,E38,115:115)-SUMIF(114:114,C38,115:115)+100</f>
        <v>100</v>
      </c>
      <c r="G38" s="2620" t="s">
        <v>3116</v>
      </c>
      <c r="H38" s="435">
        <f>SUMIF(114:114,G38,115:115)-SUMIF(114:114,C38,115:115)+100</f>
        <v>100</v>
      </c>
      <c r="I38" s="2620" t="s">
        <v>3116</v>
      </c>
      <c r="J38" s="435">
        <f>SUMIF(114:114,I38,115:115)-SUMIF(114:114,C38,115:115)+100</f>
        <v>100</v>
      </c>
      <c r="K38" s="426">
        <v>2</v>
      </c>
      <c r="L38" s="1143"/>
      <c r="M38" s="1134"/>
      <c r="N38" s="1134"/>
      <c r="O38" s="1134"/>
      <c r="P38" s="3174" t="s">
        <v>2570</v>
      </c>
      <c r="Q38" s="1813" t="str">
        <f t="shared" si="11"/>
        <v>物业管理</v>
      </c>
      <c r="R38" s="774" t="s">
        <v>21</v>
      </c>
      <c r="S38" s="775">
        <f t="shared" si="12"/>
        <v>100</v>
      </c>
      <c r="T38" s="774" t="s">
        <v>21</v>
      </c>
      <c r="U38" s="775">
        <f t="shared" si="13"/>
        <v>100</v>
      </c>
      <c r="V38" s="774" t="s">
        <v>21</v>
      </c>
      <c r="W38" s="775">
        <f t="shared" si="14"/>
        <v>100</v>
      </c>
      <c r="X38" s="1816"/>
      <c r="Y38" s="3176" t="s">
        <v>2570</v>
      </c>
      <c r="Z38" s="1817" t="str">
        <f t="shared" si="18"/>
        <v>物业管理</v>
      </c>
      <c r="AA38" s="1814">
        <f t="shared" si="15"/>
        <v>1</v>
      </c>
      <c r="AB38" s="1814">
        <f t="shared" si="16"/>
        <v>1</v>
      </c>
      <c r="AC38" s="1814">
        <f t="shared" si="17"/>
        <v>1</v>
      </c>
    </row>
    <row r="39" spans="1:29" ht="15">
      <c r="A39" s="472"/>
      <c r="B39" s="422" t="s">
        <v>2577</v>
      </c>
      <c r="C39" s="2620" t="s">
        <v>3101</v>
      </c>
      <c r="D39" s="435">
        <v>100</v>
      </c>
      <c r="E39" s="2620" t="s">
        <v>3101</v>
      </c>
      <c r="F39" s="461">
        <f>SUMIF(116:116,E39,117:117)-SUMIF(116:116,C39,117:117)+100</f>
        <v>100</v>
      </c>
      <c r="G39" s="2620" t="s">
        <v>3101</v>
      </c>
      <c r="H39" s="435">
        <f>SUMIF(116:116,G39,117:117)-SUMIF(116:116,C39,117:117)+100</f>
        <v>100</v>
      </c>
      <c r="I39" s="2620" t="s">
        <v>3101</v>
      </c>
      <c r="J39" s="435">
        <f>SUMIF(116:116,I39,117:117)-SUMIF(116:116,C39,117:117)+100</f>
        <v>100</v>
      </c>
      <c r="K39" s="426">
        <v>1</v>
      </c>
      <c r="L39" s="1143"/>
      <c r="M39" s="1134"/>
      <c r="N39" s="1134"/>
      <c r="O39" s="1134"/>
      <c r="P39" s="3174"/>
      <c r="Q39" s="1813" t="str">
        <f t="shared" si="11"/>
        <v>市政基础设施</v>
      </c>
      <c r="R39" s="774" t="s">
        <v>21</v>
      </c>
      <c r="S39" s="775">
        <f t="shared" si="12"/>
        <v>100</v>
      </c>
      <c r="T39" s="774" t="s">
        <v>21</v>
      </c>
      <c r="U39" s="775">
        <f t="shared" si="13"/>
        <v>100</v>
      </c>
      <c r="V39" s="774" t="s">
        <v>21</v>
      </c>
      <c r="W39" s="775">
        <f t="shared" si="14"/>
        <v>100</v>
      </c>
      <c r="X39" s="1816"/>
      <c r="Y39" s="3176"/>
      <c r="Z39" s="1817" t="str">
        <f t="shared" si="18"/>
        <v>市政基础设施</v>
      </c>
      <c r="AA39" s="1814">
        <f t="shared" si="15"/>
        <v>1</v>
      </c>
      <c r="AB39" s="1814">
        <f t="shared" si="16"/>
        <v>1</v>
      </c>
      <c r="AC39" s="1814">
        <f t="shared" si="17"/>
        <v>1</v>
      </c>
    </row>
    <row r="40" spans="1:29" ht="15">
      <c r="A40" s="472"/>
      <c r="B40" s="422" t="s">
        <v>2578</v>
      </c>
      <c r="C40" s="2620" t="s">
        <v>3134</v>
      </c>
      <c r="D40" s="435">
        <v>100</v>
      </c>
      <c r="E40" s="2621" t="s">
        <v>3135</v>
      </c>
      <c r="F40" s="461">
        <f>SUMIF(118:118,E40,119:119)-SUMIF(118:118,C40,119:119)+100</f>
        <v>100</v>
      </c>
      <c r="G40" s="2620" t="s">
        <v>3136</v>
      </c>
      <c r="H40" s="435">
        <f>SUMIF(118:118,G40,119:119)-SUMIF(118:118,C40,119:119)+100</f>
        <v>100</v>
      </c>
      <c r="I40" s="2621" t="s">
        <v>3137</v>
      </c>
      <c r="J40" s="435">
        <f>SUMIF(118:118,I40,119:119)-SUMIF(118:118,C40,119:119)+100</f>
        <v>100</v>
      </c>
      <c r="K40" s="426">
        <v>1</v>
      </c>
      <c r="L40" s="1143"/>
      <c r="M40" s="1134"/>
      <c r="N40" s="1134"/>
      <c r="O40" s="1134"/>
      <c r="P40" s="3174"/>
      <c r="Q40" s="1813" t="str">
        <f t="shared" si="11"/>
        <v>房型</v>
      </c>
      <c r="R40" s="774" t="s">
        <v>21</v>
      </c>
      <c r="S40" s="775">
        <f t="shared" si="12"/>
        <v>100</v>
      </c>
      <c r="T40" s="774" t="s">
        <v>21</v>
      </c>
      <c r="U40" s="775">
        <f t="shared" si="13"/>
        <v>100</v>
      </c>
      <c r="V40" s="774" t="s">
        <v>21</v>
      </c>
      <c r="W40" s="775">
        <f t="shared" si="14"/>
        <v>100</v>
      </c>
      <c r="X40" s="1816"/>
      <c r="Y40" s="3176"/>
      <c r="Z40" s="1817" t="str">
        <f t="shared" si="18"/>
        <v>房型</v>
      </c>
      <c r="AA40" s="1814">
        <f t="shared" si="15"/>
        <v>1</v>
      </c>
      <c r="AB40" s="1814">
        <f t="shared" si="16"/>
        <v>1</v>
      </c>
      <c r="AC40" s="1814">
        <f t="shared" si="17"/>
        <v>1</v>
      </c>
    </row>
    <row r="41" spans="1:29" s="471" customFormat="1" ht="28.5">
      <c r="A41" s="468"/>
      <c r="B41" s="422" t="s">
        <v>2579</v>
      </c>
      <c r="C41" s="469" t="s">
        <v>3130</v>
      </c>
      <c r="D41" s="136">
        <v>100</v>
      </c>
      <c r="E41" s="430" t="s">
        <v>3131</v>
      </c>
      <c r="F41" s="425">
        <f>SUMIF(120:120,E41,121:121)-SUMIF(120:120,C41,121:121)+100</f>
        <v>98</v>
      </c>
      <c r="G41" s="429" t="s">
        <v>3131</v>
      </c>
      <c r="H41" s="136">
        <f>SUMIF(120:120,G41,121:121)-SUMIF(120:120,C41,121:121)+100</f>
        <v>98</v>
      </c>
      <c r="I41" s="477" t="s">
        <v>3138</v>
      </c>
      <c r="J41" s="435">
        <f>SUMIF(120:120,I41,121:121)-SUMIF(120:120,C41,121:121)+100</f>
        <v>100</v>
      </c>
      <c r="K41" s="2608"/>
      <c r="L41" s="1141"/>
      <c r="M41" s="1144"/>
      <c r="N41" s="1144"/>
      <c r="O41" s="1144"/>
      <c r="P41" s="3174"/>
      <c r="Q41" s="776" t="str">
        <f t="shared" si="11"/>
        <v>单套/主力户型建筑面积</v>
      </c>
      <c r="R41" s="777" t="s">
        <v>21</v>
      </c>
      <c r="S41" s="778">
        <f t="shared" si="12"/>
        <v>98</v>
      </c>
      <c r="T41" s="777" t="s">
        <v>21</v>
      </c>
      <c r="U41" s="778">
        <f t="shared" si="13"/>
        <v>98</v>
      </c>
      <c r="V41" s="777" t="s">
        <v>21</v>
      </c>
      <c r="W41" s="778">
        <f t="shared" si="14"/>
        <v>100</v>
      </c>
      <c r="X41" s="779"/>
      <c r="Y41" s="3176"/>
      <c r="Z41" s="780" t="str">
        <f t="shared" si="18"/>
        <v>单套/主力户型建筑面积</v>
      </c>
      <c r="AA41" s="1814">
        <f t="shared" si="15"/>
        <v>1.0204081632653061</v>
      </c>
      <c r="AB41" s="1814">
        <f t="shared" si="16"/>
        <v>1.0204081632653061</v>
      </c>
      <c r="AC41" s="1814">
        <f t="shared" si="17"/>
        <v>1</v>
      </c>
    </row>
    <row r="42" spans="1:29" ht="15">
      <c r="A42" s="472"/>
      <c r="B42" s="422" t="s">
        <v>2580</v>
      </c>
      <c r="C42" s="2620" t="s">
        <v>3119</v>
      </c>
      <c r="D42" s="435">
        <v>100</v>
      </c>
      <c r="E42" s="2621" t="s">
        <v>3114</v>
      </c>
      <c r="F42" s="461">
        <f>SUMIF(122:122,E42,123:123)-SUMIF(122:122,C42,123:123)+100</f>
        <v>106</v>
      </c>
      <c r="G42" s="2620" t="s">
        <v>3114</v>
      </c>
      <c r="H42" s="435">
        <f>SUMIF(122:122,G42,123:123)-SUMIF(122:122,C42,123:123)+100</f>
        <v>106</v>
      </c>
      <c r="I42" s="2621" t="s">
        <v>3114</v>
      </c>
      <c r="J42" s="435">
        <f>SUMIF(122:122,I42,123:123)-SUMIF(122:122,C42,123:123)+100</f>
        <v>106</v>
      </c>
      <c r="K42" s="426">
        <v>2</v>
      </c>
      <c r="L42" s="1143"/>
      <c r="M42" s="1134"/>
      <c r="N42" s="1134"/>
      <c r="O42" s="1134"/>
      <c r="P42" s="3174"/>
      <c r="Q42" s="1813" t="str">
        <f t="shared" si="11"/>
        <v>内部装修</v>
      </c>
      <c r="R42" s="774" t="s">
        <v>21</v>
      </c>
      <c r="S42" s="775">
        <f t="shared" si="12"/>
        <v>106</v>
      </c>
      <c r="T42" s="774" t="s">
        <v>21</v>
      </c>
      <c r="U42" s="775">
        <f t="shared" si="13"/>
        <v>106</v>
      </c>
      <c r="V42" s="774" t="s">
        <v>21</v>
      </c>
      <c r="W42" s="775">
        <f t="shared" si="14"/>
        <v>106</v>
      </c>
      <c r="X42" s="1816"/>
      <c r="Y42" s="3176"/>
      <c r="Z42" s="1817" t="str">
        <f t="shared" si="18"/>
        <v>内部装修</v>
      </c>
      <c r="AA42" s="1814">
        <f t="shared" si="15"/>
        <v>0.94339622641509435</v>
      </c>
      <c r="AB42" s="1814">
        <f t="shared" si="16"/>
        <v>0.94339622641509435</v>
      </c>
      <c r="AC42" s="1814">
        <f t="shared" si="17"/>
        <v>0.94339622641509435</v>
      </c>
    </row>
    <row r="43" spans="1:29" ht="15">
      <c r="A43" s="472"/>
      <c r="B43" s="422" t="s">
        <v>2581</v>
      </c>
      <c r="C43" s="2620" t="s">
        <v>3084</v>
      </c>
      <c r="D43" s="435">
        <v>100</v>
      </c>
      <c r="E43" s="2621" t="s">
        <v>3083</v>
      </c>
      <c r="F43" s="461">
        <f>SUMIF(124:124,E43,125:125)-SUMIF(124:124,C43,125:125)+100</f>
        <v>101</v>
      </c>
      <c r="G43" s="2620" t="s">
        <v>3084</v>
      </c>
      <c r="H43" s="435">
        <f>SUMIF(124:124,G43,125:125)-SUMIF(124:124,C43,125:125)+100</f>
        <v>100</v>
      </c>
      <c r="I43" s="2621" t="s">
        <v>3084</v>
      </c>
      <c r="J43" s="435">
        <f>SUMIF(124:124,I43,125:125)-SUMIF(124:124,C43,125:125)+100</f>
        <v>100</v>
      </c>
      <c r="K43" s="426">
        <v>1</v>
      </c>
      <c r="L43" s="1143"/>
      <c r="M43" s="1134"/>
      <c r="N43" s="1134"/>
      <c r="O43" s="1134"/>
      <c r="P43" s="3174"/>
      <c r="Q43" s="1813" t="str">
        <f t="shared" si="11"/>
        <v>内部装修维护情况</v>
      </c>
      <c r="R43" s="774" t="s">
        <v>21</v>
      </c>
      <c r="S43" s="775">
        <f t="shared" si="12"/>
        <v>101</v>
      </c>
      <c r="T43" s="774" t="s">
        <v>21</v>
      </c>
      <c r="U43" s="775">
        <f t="shared" si="13"/>
        <v>100</v>
      </c>
      <c r="V43" s="774" t="s">
        <v>21</v>
      </c>
      <c r="W43" s="775">
        <f t="shared" si="14"/>
        <v>100</v>
      </c>
      <c r="X43" s="1816"/>
      <c r="Y43" s="3176"/>
      <c r="Z43" s="1817" t="str">
        <f t="shared" si="18"/>
        <v>内部装修维护情况</v>
      </c>
      <c r="AA43" s="1814">
        <f t="shared" si="15"/>
        <v>0.99009900990099009</v>
      </c>
      <c r="AB43" s="1814">
        <f t="shared" si="16"/>
        <v>1</v>
      </c>
      <c r="AC43" s="1814">
        <f t="shared" si="17"/>
        <v>1</v>
      </c>
    </row>
    <row r="44" spans="1:29" s="117" customFormat="1" ht="15.75" thickBot="1">
      <c r="A44" s="473"/>
      <c r="B44" s="2955" t="s">
        <v>3124</v>
      </c>
      <c r="C44" s="2956" t="s">
        <v>3127</v>
      </c>
      <c r="D44" s="136">
        <v>100</v>
      </c>
      <c r="E44" s="2956" t="s">
        <v>3126</v>
      </c>
      <c r="F44" s="425">
        <f>SUMIF(126:126,E44,127:127)-SUMIF(126:126,C44,127:127)+100</f>
        <v>95</v>
      </c>
      <c r="G44" s="2956" t="s">
        <v>3125</v>
      </c>
      <c r="H44" s="136">
        <f>SUMIF(126:126,G44,127:127)-SUMIF(126:126,C44,127:127)+100</f>
        <v>100</v>
      </c>
      <c r="I44" s="2956" t="s">
        <v>3125</v>
      </c>
      <c r="J44" s="136">
        <f>SUMIF(126:126,I44,127:127)-SUMIF(126:126,C44,127:127)+100</f>
        <v>100</v>
      </c>
      <c r="K44" s="2608"/>
      <c r="L44" s="1135"/>
      <c r="M44" s="1136"/>
      <c r="N44" s="1136"/>
      <c r="O44" s="1136"/>
      <c r="P44" s="3174"/>
      <c r="Q44" s="1798" t="str">
        <f t="shared" si="11"/>
        <v>项目状态</v>
      </c>
      <c r="R44" s="770" t="s">
        <v>21</v>
      </c>
      <c r="S44" s="771">
        <f t="shared" si="12"/>
        <v>95</v>
      </c>
      <c r="T44" s="770" t="s">
        <v>21</v>
      </c>
      <c r="U44" s="771">
        <f t="shared" si="13"/>
        <v>100</v>
      </c>
      <c r="V44" s="770" t="s">
        <v>21</v>
      </c>
      <c r="W44" s="771">
        <f t="shared" si="14"/>
        <v>100</v>
      </c>
      <c r="X44" s="772"/>
      <c r="Y44" s="3176"/>
      <c r="Z44" s="55" t="str">
        <f t="shared" si="18"/>
        <v>项目状态</v>
      </c>
      <c r="AA44" s="773">
        <f t="shared" si="15"/>
        <v>1.0526315789473684</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74"/>
      <c r="Q45" s="1813">
        <f t="shared" si="11"/>
        <v>111</v>
      </c>
      <c r="R45" s="774" t="s">
        <v>21</v>
      </c>
      <c r="S45" s="775">
        <f t="shared" si="12"/>
        <v>100</v>
      </c>
      <c r="T45" s="774" t="s">
        <v>21</v>
      </c>
      <c r="U45" s="775">
        <f t="shared" si="13"/>
        <v>100</v>
      </c>
      <c r="V45" s="774" t="s">
        <v>21</v>
      </c>
      <c r="W45" s="775">
        <f t="shared" si="14"/>
        <v>100</v>
      </c>
      <c r="X45" s="1816"/>
      <c r="Y45" s="3176"/>
      <c r="Z45" s="1817">
        <f t="shared" si="18"/>
        <v>111</v>
      </c>
      <c r="AA45" s="1814">
        <f t="shared" si="15"/>
        <v>1</v>
      </c>
      <c r="AB45" s="1814">
        <f t="shared" si="16"/>
        <v>1</v>
      </c>
      <c r="AC45" s="1814">
        <f t="shared" si="17"/>
        <v>1</v>
      </c>
    </row>
    <row r="46" spans="1:29" ht="15.75" hidden="1"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75"/>
      <c r="Q46" s="1813">
        <f t="shared" si="11"/>
        <v>111</v>
      </c>
      <c r="R46" s="774" t="s">
        <v>20</v>
      </c>
      <c r="S46" s="775">
        <f t="shared" si="12"/>
        <v>100</v>
      </c>
      <c r="T46" s="774" t="s">
        <v>20</v>
      </c>
      <c r="U46" s="775">
        <f t="shared" si="13"/>
        <v>100</v>
      </c>
      <c r="V46" s="774" t="s">
        <v>20</v>
      </c>
      <c r="W46" s="775">
        <f t="shared" si="14"/>
        <v>100</v>
      </c>
      <c r="X46" s="1816"/>
      <c r="Y46" s="3177"/>
      <c r="Z46" s="1817">
        <f t="shared" si="18"/>
        <v>111</v>
      </c>
      <c r="AA46" s="1814">
        <f t="shared" si="15"/>
        <v>1</v>
      </c>
      <c r="AB46" s="1814">
        <f t="shared" si="16"/>
        <v>1</v>
      </c>
      <c r="AC46" s="1814">
        <f t="shared" si="17"/>
        <v>1</v>
      </c>
    </row>
    <row r="47" spans="1:29" ht="15">
      <c r="A47" s="479" t="s">
        <v>2582</v>
      </c>
      <c r="B47" s="480"/>
      <c r="C47" s="1410" t="s">
        <v>19</v>
      </c>
      <c r="D47" s="1411"/>
      <c r="E47" s="1412">
        <v>133000</v>
      </c>
      <c r="F47" s="1413"/>
      <c r="G47" s="1414">
        <v>138736</v>
      </c>
      <c r="H47" s="1415"/>
      <c r="I47" s="1412">
        <v>135410</v>
      </c>
      <c r="J47" s="1415"/>
      <c r="K47" s="2626"/>
      <c r="L47" s="1146"/>
      <c r="M47" s="1147"/>
      <c r="N47" s="1134"/>
      <c r="O47" s="1147"/>
      <c r="P47" s="3169" t="str">
        <f>A47</f>
        <v>成交单价（元/平方米）</v>
      </c>
      <c r="Q47" s="3169"/>
      <c r="R47" s="3170">
        <f>E47</f>
        <v>133000</v>
      </c>
      <c r="S47" s="3170"/>
      <c r="T47" s="3170">
        <f>G47</f>
        <v>138736</v>
      </c>
      <c r="U47" s="3170"/>
      <c r="V47" s="3170">
        <f>I47</f>
        <v>135410</v>
      </c>
      <c r="W47" s="3170"/>
      <c r="X47" s="759"/>
      <c r="Y47" s="781"/>
      <c r="Z47" s="759"/>
      <c r="AA47" s="759"/>
      <c r="AB47" s="759"/>
      <c r="AC47" s="759"/>
    </row>
    <row r="48" spans="1:29" ht="15.75" thickBot="1">
      <c r="A48" s="486" t="s">
        <v>2583</v>
      </c>
      <c r="B48" s="487"/>
      <c r="C48" s="1416">
        <f>R49</f>
        <v>136556</v>
      </c>
      <c r="D48" s="1417"/>
      <c r="E48" s="1418">
        <f>R48</f>
        <v>136215</v>
      </c>
      <c r="F48" s="1418"/>
      <c r="G48" s="1416">
        <f>T48</f>
        <v>137685</v>
      </c>
      <c r="H48" s="1417"/>
      <c r="I48" s="1418">
        <f>V48</f>
        <v>135769</v>
      </c>
      <c r="J48" s="1417"/>
      <c r="K48" s="2627"/>
      <c r="L48" s="1146"/>
      <c r="M48" s="1147"/>
      <c r="N48" s="1147"/>
      <c r="O48" s="1147"/>
      <c r="P48" s="3169" t="str">
        <f>A48</f>
        <v>比较价值（元/平方米）</v>
      </c>
      <c r="Q48" s="3169"/>
      <c r="R48" s="3170">
        <f>IF(F1="售价",ROUND(PRODUCT(R47,AA7:AA46),0),ROUND(PRODUCT(R47,AA7:AA46),1))</f>
        <v>136215</v>
      </c>
      <c r="S48" s="3170"/>
      <c r="T48" s="3170">
        <f>IF(F1="售价",ROUND(PRODUCT(T47,AB7:AB46),0),ROUND(PRODUCT(T47,AB7:AB46),1))</f>
        <v>137685</v>
      </c>
      <c r="U48" s="3170"/>
      <c r="V48" s="3170">
        <f>IF(F1="售价",ROUND(PRODUCT(V47,AC7:AC46),0),ROUND(PRODUCT(V47,AC7:AC46),1))</f>
        <v>135769</v>
      </c>
      <c r="W48" s="3170"/>
      <c r="X48" s="759"/>
      <c r="Y48" s="759"/>
      <c r="Z48" s="759"/>
      <c r="AA48" s="759"/>
      <c r="AB48" s="759"/>
      <c r="AC48" s="759"/>
    </row>
    <row r="49" spans="1:29" ht="15.75" thickBot="1">
      <c r="A49" s="492" t="s">
        <v>2584</v>
      </c>
      <c r="B49" s="493"/>
      <c r="C49" s="1419">
        <f>R49</f>
        <v>136556</v>
      </c>
      <c r="D49" s="1420"/>
      <c r="E49" s="1420"/>
      <c r="F49" s="1420"/>
      <c r="G49" s="1420"/>
      <c r="H49" s="1420"/>
      <c r="I49" s="1420"/>
      <c r="J49" s="1420"/>
      <c r="K49" s="2628"/>
      <c r="L49" s="1146"/>
      <c r="M49" s="1147"/>
      <c r="N49" s="1147"/>
      <c r="O49" s="1147"/>
      <c r="P49" s="3166" t="str">
        <f>A49</f>
        <v>估价对象XX用房的比较价值（楼面单价，元/平方米）</v>
      </c>
      <c r="Q49" s="3167"/>
      <c r="R49" s="3168">
        <f>IF(F1="售价",ROUND(AVERAGE(R48:V48),0),ROUND(AVERAGE(R48:V48),1))</f>
        <v>136556</v>
      </c>
      <c r="S49" s="3168"/>
      <c r="T49" s="3168"/>
      <c r="U49" s="3168"/>
      <c r="V49" s="3168"/>
      <c r="W49" s="316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f>IF(E47&lt;E48,E48/E47-1,E47/E48-1)</f>
        <v>2.4172932330827068E-2</v>
      </c>
      <c r="F52" s="500" t="str">
        <f>IF(OR(E52&gt;=0.3,E52&lt;=-0.3),"超过30%","")</f>
        <v/>
      </c>
      <c r="G52" s="499">
        <f>IF(G47&lt;G48,G48/G47-1,G47/G48-1)</f>
        <v>7.6333660166321149E-3</v>
      </c>
      <c r="H52" s="500" t="str">
        <f>IF(OR(G52&gt;=0.3,G52&lt;=-0.3),"超过30%","")</f>
        <v/>
      </c>
      <c r="I52" s="499">
        <f>IF(I47&lt;I48,I48/I47-1,I47/I48-1)</f>
        <v>2.6512074440587785E-3</v>
      </c>
      <c r="J52" s="500" t="str">
        <f>IF(OR(I52&gt;=0.3,I52&lt;=-0.3),"超过30%","")</f>
        <v/>
      </c>
      <c r="K52" s="1108"/>
      <c r="L52" s="1109"/>
      <c r="M52" s="1147"/>
      <c r="N52" s="1147"/>
      <c r="O52" s="1147"/>
    </row>
    <row r="53" spans="1:29" ht="13.5" customHeight="1">
      <c r="A53" s="1147"/>
      <c r="B53" s="1147"/>
      <c r="C53" s="497" t="s">
        <v>2586</v>
      </c>
      <c r="D53" s="501"/>
      <c r="E53" s="499">
        <f>IF(E48&lt;G48,G48/E48-1,E48/G48-1)</f>
        <v>1.0791763021693601E-2</v>
      </c>
      <c r="F53" s="500" t="str">
        <f>IF(OR(E53&gt;=0.2,E53&lt;=-0.2),"超过20%","")</f>
        <v/>
      </c>
      <c r="G53" s="499">
        <f>IF(G48&lt;I48,I48/G48-1,G48/I48-1)</f>
        <v>1.4112205289867452E-2</v>
      </c>
      <c r="H53" s="500" t="str">
        <f>IF(OR(G53&gt;=0.2,G53&lt;=-0.2),"超过20%","")</f>
        <v/>
      </c>
      <c r="I53" s="499">
        <f>IF(I48&lt;E48,E48/I48-1,I48/E48-1)</f>
        <v>3.2849914192487617E-3</v>
      </c>
      <c r="J53" s="500" t="str">
        <f>IF(OR(I53&gt;=0.2,I53&lt;=-0.2),"超过20%","")</f>
        <v/>
      </c>
      <c r="K53" s="1108"/>
      <c r="L53" s="1109"/>
      <c r="M53" s="1147"/>
      <c r="N53" s="1147"/>
      <c r="O53" s="1147"/>
    </row>
    <row r="54" spans="1:29" s="502" customFormat="1" ht="13.5" customHeight="1">
      <c r="A54" s="1148"/>
      <c r="B54" s="1148"/>
      <c r="C54" s="497" t="s">
        <v>2587</v>
      </c>
      <c r="D54" s="501"/>
      <c r="E54" s="499">
        <f>IF(E47&lt;G47,G47/E47-1,E47/G47-1)</f>
        <v>4.3127819548872237E-2</v>
      </c>
      <c r="F54" s="500" t="str">
        <f>IF(OR(E54&gt;=0.3,E54&lt;=-0.3),"超过30%","")</f>
        <v/>
      </c>
      <c r="G54" s="499">
        <f>IF(G47&lt;I47,I47/G47-1,G47/I47-1)</f>
        <v>2.4562439997046104E-2</v>
      </c>
      <c r="H54" s="500" t="str">
        <f>IF(OR(G54&gt;=0.3,G54&lt;=-0.3),"超过30%","")</f>
        <v/>
      </c>
      <c r="I54" s="499">
        <f>IF(I47&lt;E47,E47/I47-1,I47/E47-1)</f>
        <v>1.8120300751879759E-2</v>
      </c>
      <c r="J54" s="500" t="str">
        <f>IF(OR(I54&gt;=0.3,I54&lt;=-0.3),"超过30%","")</f>
        <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31"/>
      <c r="Q57" s="504"/>
    </row>
    <row r="58" spans="1:29" s="508" customFormat="1" ht="15">
      <c r="A58" s="505" t="s">
        <v>2589</v>
      </c>
      <c r="B58" s="506"/>
      <c r="C58" s="1579" t="str">
        <f>YEAR(C7)&amp;"-"&amp;MONTH(C7)</f>
        <v>2018-6</v>
      </c>
      <c r="D58" s="1578">
        <f>EDATE(C58,-1)</f>
        <v>43221</v>
      </c>
      <c r="E58" s="1578">
        <f>EDATE(D58,-1)</f>
        <v>43191</v>
      </c>
      <c r="F58" s="1578">
        <f t="shared" ref="F58:O58" si="19">EDATE(E58,-1)</f>
        <v>43160</v>
      </c>
      <c r="G58" s="1578">
        <f t="shared" si="19"/>
        <v>43132</v>
      </c>
      <c r="H58" s="1578">
        <f t="shared" si="19"/>
        <v>43101</v>
      </c>
      <c r="I58" s="1578">
        <f t="shared" si="19"/>
        <v>43070</v>
      </c>
      <c r="J58" s="1578">
        <f t="shared" si="19"/>
        <v>43040</v>
      </c>
      <c r="K58" s="1578">
        <f t="shared" si="19"/>
        <v>43009</v>
      </c>
      <c r="L58" s="1578">
        <f t="shared" si="19"/>
        <v>42979</v>
      </c>
      <c r="M58" s="1578">
        <f t="shared" si="19"/>
        <v>42948</v>
      </c>
      <c r="N58" s="1578">
        <f t="shared" si="19"/>
        <v>42917</v>
      </c>
      <c r="O58" s="1578">
        <f t="shared" si="19"/>
        <v>42887</v>
      </c>
      <c r="P58" s="1573"/>
    </row>
    <row r="59" spans="1:29" s="117" customFormat="1" ht="15">
      <c r="A59" s="509"/>
      <c r="B59" s="2632"/>
      <c r="C59" s="1576">
        <v>100</v>
      </c>
      <c r="D59" s="511">
        <v>99.5</v>
      </c>
      <c r="E59" s="512">
        <v>99</v>
      </c>
      <c r="F59" s="511">
        <v>98.5</v>
      </c>
      <c r="G59" s="512">
        <v>98</v>
      </c>
      <c r="H59" s="511">
        <v>97.5</v>
      </c>
      <c r="I59" s="512">
        <v>97</v>
      </c>
      <c r="J59" s="511">
        <v>96.5</v>
      </c>
      <c r="K59" s="512">
        <v>96</v>
      </c>
      <c r="L59" s="511">
        <v>95.5</v>
      </c>
      <c r="M59" s="512">
        <v>95</v>
      </c>
      <c r="N59" s="512"/>
      <c r="O59" s="513"/>
      <c r="P59" s="2633"/>
    </row>
    <row r="60" spans="1:29" s="117" customFormat="1" ht="15.75" thickBot="1">
      <c r="A60" s="515" t="s">
        <v>2590</v>
      </c>
      <c r="B60" s="516"/>
      <c r="C60" s="517"/>
      <c r="D60" s="518"/>
      <c r="E60" s="518"/>
      <c r="F60" s="518"/>
      <c r="G60" s="518"/>
      <c r="H60" s="518"/>
      <c r="I60" s="518"/>
      <c r="J60" s="518"/>
      <c r="K60" s="518"/>
      <c r="L60" s="518"/>
      <c r="M60" s="519"/>
      <c r="N60" s="518"/>
      <c r="O60" s="519"/>
      <c r="P60" s="2633"/>
      <c r="Q60" s="504"/>
    </row>
    <row r="61" spans="1:29" s="117" customFormat="1" ht="15">
      <c r="A61" s="521" t="s">
        <v>2591</v>
      </c>
      <c r="B61" s="510"/>
      <c r="C61" s="522" t="s">
        <v>2592</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2593</v>
      </c>
      <c r="B63" s="528" t="s">
        <v>2559</v>
      </c>
      <c r="C63" s="529" t="str">
        <f>C9</f>
        <v>住宅</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5"/>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5"/>
      <c r="Q66" s="504"/>
    </row>
    <row r="67" spans="1:17" ht="15.75" thickTop="1">
      <c r="A67" s="534"/>
      <c r="B67" s="546" t="s">
        <v>2563</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v>0</v>
      </c>
      <c r="D68" s="549">
        <v>1</v>
      </c>
      <c r="E68" s="549">
        <v>2</v>
      </c>
      <c r="F68" s="549">
        <v>3</v>
      </c>
      <c r="G68" s="549">
        <v>4</v>
      </c>
      <c r="H68" s="549">
        <v>5</v>
      </c>
      <c r="I68" s="549">
        <v>6</v>
      </c>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5"/>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5"/>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5"/>
      <c r="Q81" s="504"/>
    </row>
    <row r="82" spans="1:17" ht="15.75" thickTop="1">
      <c r="A82" s="534"/>
      <c r="B82" s="546" t="s">
        <v>2102</v>
      </c>
      <c r="C82" s="539" t="s">
        <v>2609</v>
      </c>
      <c r="D82" s="539" t="s">
        <v>2610</v>
      </c>
      <c r="E82" s="539" t="s">
        <v>2611</v>
      </c>
      <c r="F82" s="539" t="s">
        <v>2612</v>
      </c>
      <c r="G82" s="539" t="s">
        <v>2613</v>
      </c>
      <c r="H82" s="539"/>
      <c r="I82" s="539"/>
      <c r="J82" s="539"/>
      <c r="K82" s="539"/>
      <c r="L82" s="539"/>
      <c r="M82" s="1385"/>
      <c r="N82" s="1156"/>
      <c r="O82" s="1156"/>
      <c r="P82" s="2635"/>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5"/>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5"/>
      <c r="Q85" s="504"/>
    </row>
    <row r="86" spans="1:17" s="117" customFormat="1" ht="15.75" thickTop="1">
      <c r="A86" s="579"/>
      <c r="B86" s="538" t="s">
        <v>2615</v>
      </c>
      <c r="C86" s="2952">
        <v>1</v>
      </c>
      <c r="D86" s="2952">
        <v>2</v>
      </c>
      <c r="E86" s="2952">
        <v>3</v>
      </c>
      <c r="F86" s="554">
        <v>4</v>
      </c>
      <c r="G86" s="554">
        <v>5</v>
      </c>
      <c r="H86" s="554">
        <v>6</v>
      </c>
      <c r="I86" s="554">
        <v>7</v>
      </c>
      <c r="J86" s="554">
        <v>8</v>
      </c>
      <c r="K86" s="554">
        <v>9</v>
      </c>
      <c r="L86" s="580">
        <v>10</v>
      </c>
      <c r="M86" s="581">
        <v>11</v>
      </c>
      <c r="N86" s="1154"/>
      <c r="O86" s="1154"/>
      <c r="P86" s="2635"/>
      <c r="Q86" s="504"/>
    </row>
    <row r="87" spans="1:17" s="117" customFormat="1" ht="15.75" thickBot="1">
      <c r="A87" s="579"/>
      <c r="B87" s="543"/>
      <c r="C87" s="582">
        <v>100</v>
      </c>
      <c r="D87" s="544">
        <f t="shared" ref="D87:M87" si="24">$C$87-($C$86-D86)*$K$25</f>
        <v>101</v>
      </c>
      <c r="E87" s="544">
        <f t="shared" si="24"/>
        <v>102</v>
      </c>
      <c r="F87" s="544">
        <f t="shared" si="24"/>
        <v>103</v>
      </c>
      <c r="G87" s="544">
        <f t="shared" si="24"/>
        <v>104</v>
      </c>
      <c r="H87" s="544">
        <f t="shared" si="24"/>
        <v>105</v>
      </c>
      <c r="I87" s="544">
        <f t="shared" si="24"/>
        <v>106</v>
      </c>
      <c r="J87" s="544">
        <f t="shared" si="24"/>
        <v>107</v>
      </c>
      <c r="K87" s="544">
        <f t="shared" si="24"/>
        <v>108</v>
      </c>
      <c r="L87" s="544">
        <f t="shared" si="24"/>
        <v>109</v>
      </c>
      <c r="M87" s="544">
        <f t="shared" si="24"/>
        <v>110</v>
      </c>
      <c r="N87" s="1156"/>
      <c r="O87" s="1156"/>
      <c r="P87" s="2635"/>
      <c r="Q87" s="504"/>
    </row>
    <row r="88" spans="1:17" s="117" customFormat="1" ht="15.75" thickTop="1">
      <c r="A88" s="579"/>
      <c r="B88" s="538" t="s">
        <v>2616</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t="str">
        <f>B27</f>
        <v>楼层</v>
      </c>
      <c r="C90" s="2952" t="s">
        <v>3104</v>
      </c>
      <c r="D90" s="2952" t="s">
        <v>3106</v>
      </c>
      <c r="E90" s="2952" t="s">
        <v>3107</v>
      </c>
      <c r="F90" s="554"/>
      <c r="G90" s="554"/>
      <c r="H90" s="555"/>
      <c r="I90" s="555"/>
      <c r="J90" s="555"/>
      <c r="K90" s="555"/>
      <c r="L90" s="556"/>
      <c r="M90" s="557"/>
      <c r="N90" s="1157"/>
      <c r="O90" s="1157"/>
      <c r="P90" s="2636"/>
      <c r="Q90" s="559"/>
    </row>
    <row r="91" spans="1:17" s="471" customFormat="1" ht="15.75" thickBot="1">
      <c r="A91" s="553"/>
      <c r="B91" s="543"/>
      <c r="C91" s="560">
        <v>100</v>
      </c>
      <c r="D91" s="560">
        <v>97</v>
      </c>
      <c r="E91" s="560">
        <v>94</v>
      </c>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2568</v>
      </c>
      <c r="B100" s="528" t="s">
        <v>2617</v>
      </c>
      <c r="C100" s="2953" t="s">
        <v>3109</v>
      </c>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35"/>
      <c r="Q101" s="504"/>
    </row>
    <row r="102" spans="1:17" ht="29.25" thickTop="1">
      <c r="A102" s="534"/>
      <c r="B102" s="538" t="s">
        <v>2618</v>
      </c>
      <c r="C102" s="578" t="str">
        <f>C103&amp;"(含)"&amp;"-"&amp;D103</f>
        <v>0(含)-30000</v>
      </c>
      <c r="D102" s="578" t="str">
        <f t="shared" ref="D102:L102" si="27">D103&amp;"(含)"&amp;"-"&amp;E103</f>
        <v>30000(含)-60000</v>
      </c>
      <c r="E102" s="578" t="str">
        <f t="shared" si="27"/>
        <v>60000(含)-90000</v>
      </c>
      <c r="F102" s="578" t="str">
        <f t="shared" si="27"/>
        <v>90000(含)-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v>0</v>
      </c>
      <c r="D103" s="595">
        <v>30000</v>
      </c>
      <c r="E103" s="595">
        <v>60000</v>
      </c>
      <c r="F103" s="595">
        <v>90000</v>
      </c>
      <c r="G103" s="595"/>
      <c r="H103" s="595"/>
      <c r="I103" s="595"/>
      <c r="J103" s="596"/>
      <c r="K103" s="596"/>
      <c r="L103" s="597"/>
      <c r="M103" s="598"/>
      <c r="N103" s="1157"/>
      <c r="O103" s="1157"/>
      <c r="P103" s="2636"/>
      <c r="Q103" s="559"/>
    </row>
    <row r="104" spans="1:17" s="471" customFormat="1" ht="15.75" thickBot="1">
      <c r="A104" s="553"/>
      <c r="B104" s="543"/>
      <c r="C104" s="560">
        <v>100</v>
      </c>
      <c r="D104" s="536">
        <v>100</v>
      </c>
      <c r="E104" s="536">
        <v>100</v>
      </c>
      <c r="F104" s="536">
        <v>100</v>
      </c>
      <c r="G104" s="536"/>
      <c r="H104" s="536"/>
      <c r="I104" s="536"/>
      <c r="J104" s="536"/>
      <c r="K104" s="536"/>
      <c r="L104" s="536"/>
      <c r="M104" s="536"/>
      <c r="N104" s="1156"/>
      <c r="O104" s="1156"/>
      <c r="P104" s="2636"/>
      <c r="Q104" s="559"/>
    </row>
    <row r="105" spans="1:17" ht="15" thickTop="1">
      <c r="A105" s="599"/>
      <c r="B105" s="538" t="s">
        <v>2619</v>
      </c>
      <c r="C105" s="2952" t="s">
        <v>3111</v>
      </c>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35"/>
      <c r="Q106" s="504"/>
    </row>
    <row r="107" spans="1:17" ht="15" thickTop="1">
      <c r="A107" s="599"/>
      <c r="B107" s="538" t="s">
        <v>2620</v>
      </c>
      <c r="C107" s="2954" t="s">
        <v>3113</v>
      </c>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6"/>
      <c r="O108" s="1156"/>
      <c r="P108" s="2635"/>
      <c r="Q108" s="504"/>
    </row>
    <row r="109" spans="1:17" ht="15" thickTop="1">
      <c r="A109" s="599"/>
      <c r="B109" s="538" t="s">
        <v>2621</v>
      </c>
      <c r="C109" s="2952" t="s">
        <v>3115</v>
      </c>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35"/>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6"/>
      <c r="Q113" s="559"/>
    </row>
    <row r="114" spans="1:17" ht="15" thickTop="1">
      <c r="A114" s="599"/>
      <c r="B114" s="538" t="s">
        <v>2622</v>
      </c>
      <c r="C114" s="2952" t="s">
        <v>3117</v>
      </c>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35"/>
      <c r="Q115" s="504"/>
    </row>
    <row r="116" spans="1:17" ht="15" thickTop="1">
      <c r="A116" s="599"/>
      <c r="B116" s="538" t="s">
        <v>2623</v>
      </c>
      <c r="C116" s="2952" t="s">
        <v>3118</v>
      </c>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5"/>
      <c r="Q117" s="504"/>
    </row>
    <row r="118" spans="1:17" ht="15" thickTop="1">
      <c r="A118" s="599"/>
      <c r="B118" s="538" t="s">
        <v>2624</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5"/>
      <c r="Q119" s="504"/>
    </row>
    <row r="120" spans="1:17" s="471" customFormat="1" ht="28.5" thickTop="1">
      <c r="A120" s="593"/>
      <c r="B120" s="538" t="s">
        <v>2579</v>
      </c>
      <c r="C120" s="554" t="s">
        <v>3129</v>
      </c>
      <c r="D120" s="554" t="s">
        <v>3130</v>
      </c>
      <c r="E120" s="554" t="s">
        <v>3131</v>
      </c>
      <c r="F120" s="554" t="s">
        <v>3132</v>
      </c>
      <c r="G120" s="554" t="s">
        <v>3133</v>
      </c>
      <c r="H120" s="554"/>
      <c r="I120" s="554"/>
      <c r="J120" s="554"/>
      <c r="K120" s="554"/>
      <c r="L120" s="580"/>
      <c r="M120" s="581"/>
      <c r="N120" s="1157"/>
      <c r="O120" s="1157"/>
      <c r="P120" s="2636"/>
      <c r="Q120" s="559"/>
    </row>
    <row r="121" spans="1:17" s="471" customFormat="1" ht="15.75" thickBot="1">
      <c r="A121" s="553"/>
      <c r="B121" s="535"/>
      <c r="C121" s="560">
        <v>100</v>
      </c>
      <c r="D121" s="536">
        <v>98</v>
      </c>
      <c r="E121" s="536">
        <v>96</v>
      </c>
      <c r="F121" s="536">
        <v>94</v>
      </c>
      <c r="G121" s="536">
        <v>92</v>
      </c>
      <c r="H121" s="536"/>
      <c r="I121" s="536"/>
      <c r="J121" s="536"/>
      <c r="K121" s="536"/>
      <c r="L121" s="536"/>
      <c r="M121" s="536"/>
      <c r="N121" s="1157"/>
      <c r="O121" s="1157"/>
      <c r="P121" s="2636"/>
      <c r="Q121" s="559"/>
    </row>
    <row r="122" spans="1:17" ht="15" thickTop="1">
      <c r="A122" s="599"/>
      <c r="B122" s="538" t="s">
        <v>2625</v>
      </c>
      <c r="C122" s="2952" t="s">
        <v>3120</v>
      </c>
      <c r="D122" s="2952" t="s">
        <v>3121</v>
      </c>
      <c r="E122" s="2952" t="s">
        <v>3122</v>
      </c>
      <c r="F122" s="2954" t="s">
        <v>3123</v>
      </c>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35"/>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6"/>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5"/>
      <c r="Q125" s="504"/>
    </row>
    <row r="126" spans="1:17" s="471" customFormat="1" ht="15" thickTop="1">
      <c r="A126" s="593"/>
      <c r="B126" s="538" t="str">
        <f>B44</f>
        <v>项目状态</v>
      </c>
      <c r="C126" s="2952" t="s">
        <v>3052</v>
      </c>
      <c r="D126" s="2952" t="s">
        <v>3126</v>
      </c>
      <c r="E126" s="554"/>
      <c r="F126" s="554"/>
      <c r="G126" s="554"/>
      <c r="H126" s="555"/>
      <c r="I126" s="555"/>
      <c r="J126" s="555"/>
      <c r="K126" s="555"/>
      <c r="L126" s="556"/>
      <c r="M126" s="557"/>
      <c r="N126" s="1157"/>
      <c r="O126" s="1157"/>
      <c r="P126" s="2636"/>
      <c r="Q126" s="559"/>
    </row>
    <row r="127" spans="1:17" s="471" customFormat="1" ht="15.75" thickBot="1">
      <c r="A127" s="553"/>
      <c r="B127" s="543"/>
      <c r="C127" s="560">
        <v>100</v>
      </c>
      <c r="D127" s="536">
        <v>95</v>
      </c>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2627</v>
      </c>
    </row>
    <row r="137" spans="1:17" ht="15">
      <c r="B137" s="2643" t="s">
        <v>2628</v>
      </c>
      <c r="C137" s="2644"/>
      <c r="D137" s="2644"/>
      <c r="E137" s="2644"/>
      <c r="F137" s="2644"/>
      <c r="G137" s="2645"/>
      <c r="H137" s="2646"/>
      <c r="I137" s="2647" t="s">
        <v>2629</v>
      </c>
      <c r="J137" s="2644"/>
      <c r="K137" s="2648"/>
    </row>
    <row r="138" spans="1:17" ht="15">
      <c r="B138" s="2649"/>
      <c r="C138" s="146" t="s">
        <v>2630</v>
      </c>
      <c r="D138" s="146" t="s">
        <v>2631</v>
      </c>
      <c r="E138" s="2650" t="s">
        <v>2632</v>
      </c>
      <c r="F138" s="2651" t="s">
        <v>2633</v>
      </c>
      <c r="G138" s="146" t="s">
        <v>2631</v>
      </c>
      <c r="H138" s="147" t="s">
        <v>2632</v>
      </c>
      <c r="I138" s="2652"/>
      <c r="J138" s="146" t="s">
        <v>2634</v>
      </c>
      <c r="K138" s="147" t="s">
        <v>2635</v>
      </c>
    </row>
    <row r="139" spans="1:17" ht="15">
      <c r="B139" s="1087">
        <v>6</v>
      </c>
      <c r="C139" s="1088">
        <v>96</v>
      </c>
      <c r="D139" s="2653" t="s">
        <v>2636</v>
      </c>
      <c r="E139" s="1089">
        <v>100</v>
      </c>
      <c r="F139" s="1090">
        <v>102.5</v>
      </c>
      <c r="G139" s="2653" t="s">
        <v>2636</v>
      </c>
      <c r="H139" s="1091">
        <v>105</v>
      </c>
      <c r="I139" s="2654" t="s">
        <v>2637</v>
      </c>
      <c r="J139" s="1088">
        <v>20</v>
      </c>
      <c r="K139" s="1092">
        <f>C145/(J139-2)</f>
        <v>4.0555555555555553E-3</v>
      </c>
    </row>
    <row r="140" spans="1:17" ht="15">
      <c r="B140" s="1093">
        <v>5</v>
      </c>
      <c r="C140" s="1094">
        <v>100</v>
      </c>
      <c r="D140" s="1094"/>
      <c r="E140" s="1095"/>
      <c r="F140" s="1096">
        <v>102</v>
      </c>
      <c r="G140" s="1094"/>
      <c r="H140" s="1097"/>
      <c r="I140" s="2655" t="s">
        <v>2638</v>
      </c>
      <c r="J140" s="315">
        <f>ROUNDUP((J139-1)/2,0)</f>
        <v>10</v>
      </c>
      <c r="K140" s="1098">
        <v>100</v>
      </c>
    </row>
    <row r="141" spans="1:17" ht="15">
      <c r="B141" s="1093">
        <v>4</v>
      </c>
      <c r="C141" s="1094">
        <v>102</v>
      </c>
      <c r="D141" s="1094"/>
      <c r="E141" s="1095"/>
      <c r="F141" s="1096">
        <v>101.5</v>
      </c>
      <c r="G141" s="1094"/>
      <c r="H141" s="1097"/>
      <c r="I141" s="2655" t="s">
        <v>2639</v>
      </c>
      <c r="J141" s="315">
        <v>1</v>
      </c>
      <c r="K141" s="1099">
        <f>ROUND(100+(J141-J140)*K139*100,1)</f>
        <v>96.4</v>
      </c>
    </row>
    <row r="142" spans="1:17" ht="15">
      <c r="B142" s="1093">
        <v>3</v>
      </c>
      <c r="C142" s="1094">
        <v>103</v>
      </c>
      <c r="D142" s="1094"/>
      <c r="E142" s="1095"/>
      <c r="F142" s="1096">
        <v>101</v>
      </c>
      <c r="G142" s="1094"/>
      <c r="H142" s="1097"/>
      <c r="I142" s="2655" t="s">
        <v>2640</v>
      </c>
      <c r="J142" s="315">
        <f>J139</f>
        <v>20</v>
      </c>
      <c r="K142" s="1100">
        <v>95</v>
      </c>
    </row>
    <row r="143" spans="1:17" ht="15">
      <c r="B143" s="1093">
        <v>2</v>
      </c>
      <c r="C143" s="1094">
        <v>100</v>
      </c>
      <c r="D143" s="1094"/>
      <c r="E143" s="1095"/>
      <c r="F143" s="1096">
        <v>100.5</v>
      </c>
      <c r="G143" s="1094"/>
      <c r="H143" s="1097"/>
      <c r="I143" s="2655" t="s">
        <v>2641</v>
      </c>
      <c r="J143" s="1094">
        <v>15</v>
      </c>
      <c r="K143" s="1099">
        <f>ROUND(100+(J143-J140)*K139*100,1)</f>
        <v>102</v>
      </c>
    </row>
    <row r="144" spans="1:17" ht="15">
      <c r="B144" s="1093">
        <v>1</v>
      </c>
      <c r="C144" s="1094">
        <v>98</v>
      </c>
      <c r="D144" s="2656" t="s">
        <v>2642</v>
      </c>
      <c r="E144" s="1095">
        <v>102</v>
      </c>
      <c r="F144" s="1101">
        <v>100</v>
      </c>
      <c r="G144" s="2656" t="s">
        <v>2642</v>
      </c>
      <c r="H144" s="1097">
        <v>105</v>
      </c>
      <c r="I144" s="2655" t="s">
        <v>2641</v>
      </c>
      <c r="J144" s="1094">
        <v>18</v>
      </c>
      <c r="K144" s="1099">
        <f>ROUND(100+(J144-J140)*K139*100,1)</f>
        <v>103.2</v>
      </c>
    </row>
    <row r="145" spans="2:11" ht="15.75" thickBot="1">
      <c r="B145" s="2657" t="s">
        <v>2643</v>
      </c>
      <c r="C145" s="1102">
        <f>ROUND(MAX(C139:C144)/MIN(C139:C144)-1,3)</f>
        <v>7.2999999999999995E-2</v>
      </c>
      <c r="D145" s="1103"/>
      <c r="E145" s="1103"/>
      <c r="F145" s="2658" t="s">
        <v>2644</v>
      </c>
      <c r="G145" s="2659"/>
      <c r="H145" s="2660"/>
      <c r="I145" s="2661" t="s">
        <v>2641</v>
      </c>
      <c r="J145" s="1104">
        <v>8</v>
      </c>
      <c r="K145" s="1105">
        <f>ROUND(100+(J145-J140)*K139*100,1)</f>
        <v>99.2</v>
      </c>
    </row>
    <row r="147" spans="2:11">
      <c r="B147" s="2642" t="s">
        <v>2645</v>
      </c>
    </row>
    <row r="148" spans="2:11">
      <c r="B148" s="2642"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0" t="str">
        <f>项目基本情况!B1</f>
        <v>北京市房地产抵押价值预评估</v>
      </c>
      <c r="C37" s="2980"/>
      <c r="D37" s="2980"/>
      <c r="E37" s="2980"/>
      <c r="F37" s="2980"/>
      <c r="G37" s="2980"/>
      <c r="H37" s="2980"/>
      <c r="I37" s="2980"/>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40"/>
      <c r="C1" s="242"/>
      <c r="D1" s="242"/>
      <c r="E1" s="242"/>
      <c r="F1" s="242"/>
      <c r="G1" s="1382">
        <f>MATCH(B1,'数据-取费表'!A6:A16,0)+5</f>
        <v>7</v>
      </c>
    </row>
    <row r="2" spans="1:9" s="244" customFormat="1" ht="18" customHeight="1">
      <c r="A2" s="245" t="s">
        <v>2332</v>
      </c>
      <c r="B2" s="246">
        <f ca="1">IF(D2="——",C52,C52-E2)</f>
        <v>40738</v>
      </c>
      <c r="C2" s="243" t="s">
        <v>2333</v>
      </c>
      <c r="D2" s="2554" t="s">
        <v>70</v>
      </c>
      <c r="E2" s="1443" t="e">
        <f ca="1">SUMIF(INDIRECT("'"&amp;G2&amp;"'"&amp;"!A:A"),"承租人权益价值",INDIRECT("'"&amp;G2&amp;"'"&amp;"!c:c"))</f>
        <v>#REF!</v>
      </c>
      <c r="F2" s="2555" t="s">
        <v>2333</v>
      </c>
      <c r="G2" s="2556"/>
    </row>
    <row r="3" spans="1:9" s="244" customFormat="1" ht="18" customHeight="1" thickBot="1">
      <c r="A3" s="247" t="s">
        <v>2334</v>
      </c>
      <c r="B3" s="248">
        <f ca="1">ROUND(B2*10000/(IF(B1="",'数据-汇总表'!E3,INDIRECT("'数据-取费表'!k"&amp;$G$1))),0)</f>
        <v>2448050</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 ca="1">C6+C7+C8</f>
        <v>26626</v>
      </c>
      <c r="D5" s="255" t="s">
        <v>2339</v>
      </c>
      <c r="E5" s="256" t="s">
        <v>2340</v>
      </c>
      <c r="F5" s="256" t="s">
        <v>2341</v>
      </c>
      <c r="G5" s="257"/>
    </row>
    <row r="6" spans="1:9" s="258" customFormat="1" ht="13.5" customHeight="1">
      <c r="A6" s="952" t="s">
        <v>2342</v>
      </c>
      <c r="B6" s="259" t="s">
        <v>2343</v>
      </c>
      <c r="C6" s="260"/>
      <c r="D6" s="261"/>
      <c r="E6" s="262"/>
      <c r="F6" s="262"/>
      <c r="G6" s="263"/>
    </row>
    <row r="7" spans="1:9" s="258" customFormat="1" ht="13.5" customHeight="1">
      <c r="A7" s="952" t="s">
        <v>2344</v>
      </c>
      <c r="B7" s="259" t="s">
        <v>2345</v>
      </c>
      <c r="C7" s="264">
        <f>ROUND(C6*F7,0)</f>
        <v>0</v>
      </c>
      <c r="D7" s="264"/>
      <c r="E7" s="262"/>
      <c r="F7" s="265">
        <f>'数据-取费表'!B48+'数据-取费表'!B49</f>
        <v>3.0499999999999999E-2</v>
      </c>
      <c r="G7" s="263"/>
    </row>
    <row r="8" spans="1:9" s="267" customFormat="1">
      <c r="A8" s="952" t="s">
        <v>2346</v>
      </c>
      <c r="B8" s="259" t="s">
        <v>2347</v>
      </c>
      <c r="C8" s="264">
        <f ca="1">IF(G8="已包含在土地购买价格中","0",IF(B1="",'数据-取费表'!B29,IF(G9="全部缴纳",C9+C10,H9)))</f>
        <v>26626</v>
      </c>
      <c r="D8" s="266"/>
      <c r="E8" s="264"/>
      <c r="F8" s="265"/>
      <c r="G8" s="2557"/>
    </row>
    <row r="9" spans="1:9" s="258" customFormat="1" ht="13.5" customHeight="1">
      <c r="A9" s="953" t="s">
        <v>800</v>
      </c>
      <c r="B9" s="268" t="s">
        <v>2348</v>
      </c>
      <c r="C9" s="269">
        <f ca="1">ROUND(D9*E9/10000,0)</f>
        <v>3</v>
      </c>
      <c r="D9" s="1035">
        <f ca="1">IF(B1="",'数据-汇总表'!E5,IF(INDIRECT("'数据-取费表'!c"&amp;$G$1)="住宅",INDIRECT("'数据-取费表'!k"&amp;$G$1),0))</f>
        <v>166.41</v>
      </c>
      <c r="E9" s="269">
        <f>'数据-取费表'!B27</f>
        <v>160</v>
      </c>
      <c r="F9" s="265"/>
      <c r="G9" s="2558"/>
      <c r="H9" s="1393"/>
      <c r="I9" s="2559" t="s">
        <v>2349</v>
      </c>
    </row>
    <row r="10" spans="1:9" s="258" customFormat="1" ht="13.5" customHeight="1">
      <c r="A10" s="953" t="s">
        <v>801</v>
      </c>
      <c r="B10" s="268" t="s">
        <v>2350</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2351</v>
      </c>
      <c r="C11" s="255"/>
      <c r="D11" s="1037"/>
      <c r="E11" s="262"/>
      <c r="F11" s="262"/>
      <c r="G11" s="263"/>
    </row>
    <row r="12" spans="1:9" s="258" customFormat="1" ht="13.5" hidden="1" customHeight="1">
      <c r="A12" s="271" t="s">
        <v>8</v>
      </c>
      <c r="B12" s="259" t="s">
        <v>2352</v>
      </c>
      <c r="C12" s="255">
        <v>0</v>
      </c>
      <c r="D12" s="1037"/>
      <c r="E12" s="272"/>
      <c r="F12" s="265">
        <v>3.0499999999999999E-2</v>
      </c>
      <c r="G12" s="263"/>
    </row>
    <row r="13" spans="1:9" s="258" customFormat="1" ht="13.5" hidden="1" customHeight="1">
      <c r="A13" s="271" t="s">
        <v>9</v>
      </c>
      <c r="B13" s="259" t="s">
        <v>2353</v>
      </c>
      <c r="C13" s="255"/>
      <c r="D13" s="1037"/>
      <c r="E13" s="262"/>
      <c r="F13" s="262"/>
      <c r="G13" s="263"/>
    </row>
    <row r="14" spans="1:9" s="258" customFormat="1" ht="13.5" hidden="1" customHeight="1">
      <c r="A14" s="271" t="s">
        <v>10</v>
      </c>
      <c r="B14" s="259" t="s">
        <v>2354</v>
      </c>
      <c r="C14" s="255"/>
      <c r="D14" s="1037"/>
      <c r="E14" s="262"/>
      <c r="F14" s="262"/>
      <c r="G14" s="263" t="s">
        <v>2355</v>
      </c>
    </row>
    <row r="15" spans="1:9" s="258" customFormat="1" ht="13.5" hidden="1" customHeight="1">
      <c r="A15" s="271" t="s">
        <v>11</v>
      </c>
      <c r="B15" s="259" t="s">
        <v>2356</v>
      </c>
      <c r="C15" s="264"/>
      <c r="D15" s="1037"/>
      <c r="E15" s="262"/>
      <c r="F15" s="262"/>
      <c r="G15" s="263" t="s">
        <v>2357</v>
      </c>
    </row>
    <row r="16" spans="1:9" s="258" customFormat="1" ht="13.5" hidden="1" customHeight="1">
      <c r="A16" s="271" t="s">
        <v>12</v>
      </c>
      <c r="B16" s="259" t="s">
        <v>2354</v>
      </c>
      <c r="C16" s="264"/>
      <c r="D16" s="1037"/>
      <c r="E16" s="262"/>
      <c r="F16" s="262"/>
      <c r="G16" s="263"/>
    </row>
    <row r="17" spans="1:7" s="258" customFormat="1" ht="13.5" hidden="1" customHeight="1">
      <c r="A17" s="271" t="s">
        <v>13</v>
      </c>
      <c r="B17" s="259" t="s">
        <v>2358</v>
      </c>
      <c r="C17" s="273"/>
      <c r="D17" s="1038"/>
      <c r="E17" s="273"/>
      <c r="F17" s="273"/>
      <c r="G17" s="263" t="s">
        <v>2357</v>
      </c>
    </row>
    <row r="18" spans="1:7" s="258" customFormat="1" ht="13.5" hidden="1" customHeight="1">
      <c r="A18" s="271" t="s">
        <v>14</v>
      </c>
      <c r="B18" s="259" t="s">
        <v>2359</v>
      </c>
      <c r="C18" s="264">
        <v>0</v>
      </c>
      <c r="D18" s="1037"/>
      <c r="E18" s="262"/>
      <c r="F18" s="265">
        <v>3.0499999999999999E-2</v>
      </c>
      <c r="G18" s="263" t="s">
        <v>2360</v>
      </c>
    </row>
    <row r="19" spans="1:7" s="267" customFormat="1" ht="13.5" customHeight="1">
      <c r="A19" s="299" t="s">
        <v>2361</v>
      </c>
      <c r="B19" s="254" t="s">
        <v>2362</v>
      </c>
      <c r="C19" s="255">
        <f ca="1">IF(G19="已包含在土地取得成本中","0",ROUND(D19*E19/10000,0))</f>
        <v>3</v>
      </c>
      <c r="D19" s="1039">
        <f ca="1">D9+D10</f>
        <v>166.41</v>
      </c>
      <c r="E19" s="255">
        <f>'数据-取费表'!B31</f>
        <v>200</v>
      </c>
      <c r="F19" s="275"/>
      <c r="G19" s="2557"/>
    </row>
    <row r="20" spans="1:7" s="258" customFormat="1" ht="13.5" customHeight="1">
      <c r="A20" s="299" t="s">
        <v>2363</v>
      </c>
      <c r="B20" s="254" t="s">
        <v>2364</v>
      </c>
      <c r="C20" s="276">
        <f ca="1">ROUND((C5+C19)*F20,0)</f>
        <v>799</v>
      </c>
      <c r="D20" s="276"/>
      <c r="E20" s="276"/>
      <c r="F20" s="277">
        <f>'数据-取费表'!B37</f>
        <v>0.03</v>
      </c>
      <c r="G20" s="278" t="s">
        <v>2365</v>
      </c>
    </row>
    <row r="21" spans="1:7" s="258" customFormat="1" ht="13.5" customHeight="1">
      <c r="A21" s="299" t="s">
        <v>2366</v>
      </c>
      <c r="B21" s="254" t="s">
        <v>2367</v>
      </c>
      <c r="C21" s="279">
        <f>F21</f>
        <v>0.03</v>
      </c>
      <c r="D21" s="280" t="s">
        <v>2368</v>
      </c>
      <c r="E21" s="276"/>
      <c r="F21" s="277">
        <f>'数据-取费表'!B38</f>
        <v>0.03</v>
      </c>
      <c r="G21" s="278" t="s">
        <v>2369</v>
      </c>
    </row>
    <row r="22" spans="1:7" s="258" customFormat="1" ht="13.5" customHeight="1">
      <c r="A22" s="299" t="s">
        <v>2370</v>
      </c>
      <c r="B22" s="254" t="s">
        <v>2371</v>
      </c>
      <c r="C22" s="1357">
        <f ca="1">ROUND(SUM(C23:C25),0)</f>
        <v>2628</v>
      </c>
      <c r="D22" s="279">
        <f ca="1">C26</f>
        <v>1.4E-3</v>
      </c>
      <c r="E22" s="280" t="s">
        <v>2368</v>
      </c>
      <c r="F22" s="281">
        <f ca="1">'数据-取费表'!B40</f>
        <v>4.7500000000000001E-2</v>
      </c>
      <c r="G22" s="278" t="str">
        <f>IF('数据-取费表'!B22&lt;=1,"单利计息","复利计息")</f>
        <v>复利计息</v>
      </c>
    </row>
    <row r="23" spans="1:7" s="258" customFormat="1" ht="13.5" customHeight="1">
      <c r="A23" s="954" t="s">
        <v>2372</v>
      </c>
      <c r="B23" s="259" t="s">
        <v>2373</v>
      </c>
      <c r="C23" s="1358">
        <f ca="1">ROUND(IF('数据-取费表'!B22&lt;=1,C5*F22*'数据-取费表'!B23,C5*(POWER((1+F22),'数据-取费表'!B23)-1)),0)</f>
        <v>2590</v>
      </c>
      <c r="D23" s="282"/>
      <c r="E23" s="282"/>
      <c r="F23" s="283"/>
      <c r="G23" s="284" t="s">
        <v>2374</v>
      </c>
    </row>
    <row r="24" spans="1:7" s="258" customFormat="1" ht="13.5" customHeight="1">
      <c r="A24" s="954" t="s">
        <v>2375</v>
      </c>
      <c r="B24" s="259" t="s">
        <v>2376</v>
      </c>
      <c r="C24" s="1358">
        <f ca="1">ROUND(IF('数据-取费表'!B22&lt;=1,C19*F22*('数据-取费表'!B19/2+'数据-取费表'!B21),C19*(POWER((1+F22),('数据-取费表'!B19/2+'数据-取费表'!B21))-1)),0)</f>
        <v>0</v>
      </c>
      <c r="D24" s="282"/>
      <c r="E24" s="282"/>
      <c r="F24" s="283"/>
      <c r="G24" s="284" t="s">
        <v>2377</v>
      </c>
    </row>
    <row r="25" spans="1:7" s="258" customFormat="1" ht="24">
      <c r="A25" s="954" t="s">
        <v>2378</v>
      </c>
      <c r="B25" s="259" t="s">
        <v>2379</v>
      </c>
      <c r="C25" s="1358">
        <f ca="1">ROUND(IF('数据-取费表'!B22&lt;=1,C20*F22*'数据-取费表'!B23/2,C20*(POWER((1+F22),'数据-取费表'!B23/2)-1)),0)</f>
        <v>38</v>
      </c>
      <c r="D25" s="282"/>
      <c r="E25" s="285"/>
      <c r="F25" s="283"/>
      <c r="G25" s="286" t="s">
        <v>2380</v>
      </c>
    </row>
    <row r="26" spans="1:7" s="258" customFormat="1">
      <c r="A26" s="954" t="s">
        <v>795</v>
      </c>
      <c r="B26" s="259" t="s">
        <v>2381</v>
      </c>
      <c r="C26" s="282">
        <f ca="1">ROUND(IF('数据-取费表'!B22&lt;=1,F21*F22*'数据-取费表'!B23/2,F21*(POWER((1+F22),'数据-取费表'!B23/2)-1)),4)</f>
        <v>1.4E-3</v>
      </c>
      <c r="D26" s="282"/>
      <c r="E26" s="285"/>
      <c r="F26" s="283"/>
      <c r="G26" s="287"/>
    </row>
    <row r="27" spans="1:7" s="258" customFormat="1" ht="24.75">
      <c r="A27" s="299" t="s">
        <v>2382</v>
      </c>
      <c r="B27" s="288" t="s">
        <v>2383</v>
      </c>
      <c r="C27" s="289">
        <f ca="1">C28</f>
        <v>6857</v>
      </c>
      <c r="D27" s="279">
        <f ca="1">C29</f>
        <v>7.4999999999999997E-3</v>
      </c>
      <c r="E27" s="280" t="s">
        <v>2384</v>
      </c>
      <c r="F27" s="290">
        <f ca="1">IF(B1="",'数据-取费表'!Q16,INDIRECT("'数据-取费表'!q"&amp;$G$1))</f>
        <v>0.25</v>
      </c>
      <c r="G27" s="291" t="s">
        <v>2385</v>
      </c>
    </row>
    <row r="28" spans="1:7" s="258" customFormat="1" ht="13.5" customHeight="1">
      <c r="A28" s="954" t="s">
        <v>791</v>
      </c>
      <c r="B28" s="292" t="s">
        <v>2386</v>
      </c>
      <c r="C28" s="293">
        <f ca="1">ROUND((C5+C19+C20)*F27*'数据-取费表'!B21/'数据-取费表'!B20,0)</f>
        <v>6857</v>
      </c>
      <c r="D28" s="279"/>
      <c r="E28" s="280"/>
      <c r="F28" s="290"/>
      <c r="G28" s="291"/>
    </row>
    <row r="29" spans="1:7" s="258" customFormat="1" ht="13.5" customHeight="1">
      <c r="A29" s="954" t="s">
        <v>792</v>
      </c>
      <c r="B29" s="292" t="s">
        <v>2387</v>
      </c>
      <c r="C29" s="282">
        <f ca="1">ROUND(C21*F27*'数据-取费表'!B21/'数据-取费表'!B20,4)</f>
        <v>7.4999999999999997E-3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40662</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58</v>
      </c>
      <c r="D33" s="276"/>
      <c r="E33" s="256"/>
      <c r="F33" s="285"/>
      <c r="G33" s="278"/>
    </row>
    <row r="34" spans="1:7" s="302" customFormat="1" ht="13.5" customHeight="1">
      <c r="A34" s="954" t="s">
        <v>791</v>
      </c>
      <c r="B34" s="259" t="s">
        <v>2395</v>
      </c>
      <c r="C34" s="264">
        <f ca="1">IF(B1="",IF(F34=100%,'数据-取费表'!M16,'数据-取费表'!O16),IF(F34=100%,INDIRECT("'数据-取费表'!m"&amp;$G$1)+INDIRECT("'数据-取费表'!t"&amp;$G$1),INDIRECT("'数据-取费表'!o"&amp;$G$1)+INDIRECT("'数据-取费表'!aq"&amp;$G$1)))</f>
        <v>50</v>
      </c>
      <c r="D34" s="261"/>
      <c r="E34" s="264"/>
      <c r="F34" s="301">
        <f ca="1">IF('数据-取费表'!B24=0,1,IF(B1="",'数据-取费表'!N16,INDIRECT("'数据-取费表'!n"&amp;$G$1)))</f>
        <v>1</v>
      </c>
      <c r="G34" s="263" t="s">
        <v>2396</v>
      </c>
    </row>
    <row r="35" spans="1:7" ht="13.5" customHeight="1">
      <c r="A35" s="954" t="s">
        <v>796</v>
      </c>
      <c r="B35" s="259" t="s">
        <v>2397</v>
      </c>
      <c r="C35" s="264">
        <f ca="1">ROUND(C34*F35,0)</f>
        <v>2</v>
      </c>
      <c r="D35" s="264"/>
      <c r="E35" s="264"/>
      <c r="F35" s="303">
        <f>'数据-取费表'!B33</f>
        <v>0.03</v>
      </c>
      <c r="G35" s="263" t="s">
        <v>2398</v>
      </c>
    </row>
    <row r="36" spans="1:7" ht="24">
      <c r="A36" s="954" t="s">
        <v>797</v>
      </c>
      <c r="B36" s="259" t="s">
        <v>2399</v>
      </c>
      <c r="C36" s="264">
        <f ca="1">ROUND(IF(B1="",SUMIF('数据-取费表'!C:C,"住宅",IF(F34=100%,'数据-取费表'!M:M,'数据-取费表'!O:O))*F36,IF(INDIRECT("'数据-取费表'!c"&amp;$G$1)="住宅",IF(F34=100%,INDIRECT("'数据-取费表'!m"&amp;$G$1)*F36,INDIRECT("'数据-取费表'!o"&amp;$G$1)*F36),0)),0)</f>
        <v>2</v>
      </c>
      <c r="D36" s="264"/>
      <c r="E36" s="264"/>
      <c r="F36" s="303">
        <f>'数据-取费表'!B34</f>
        <v>0.03</v>
      </c>
      <c r="G36" s="304" t="s">
        <v>2400</v>
      </c>
    </row>
    <row r="37" spans="1:7" s="302" customFormat="1" ht="13.5" customHeight="1">
      <c r="A37" s="954" t="s">
        <v>798</v>
      </c>
      <c r="B37" s="259" t="s">
        <v>2401</v>
      </c>
      <c r="C37" s="293">
        <f ca="1">ROUND(E37*D37*F34/10000,0)</f>
        <v>3</v>
      </c>
      <c r="D37" s="261">
        <f ca="1">D19</f>
        <v>166.41</v>
      </c>
      <c r="E37" s="293">
        <f>'数据-取费表'!B35</f>
        <v>200</v>
      </c>
      <c r="F37" s="303"/>
      <c r="G37" s="305" t="s">
        <v>2402</v>
      </c>
    </row>
    <row r="38" spans="1:7" ht="13.5" customHeight="1">
      <c r="A38" s="954" t="s">
        <v>799</v>
      </c>
      <c r="B38" s="259" t="s">
        <v>2403</v>
      </c>
      <c r="C38" s="264">
        <f ca="1">ROUND(C34*F38,0)</f>
        <v>1</v>
      </c>
      <c r="D38" s="264"/>
      <c r="E38" s="264"/>
      <c r="F38" s="303">
        <f>'数据-取费表'!B36</f>
        <v>1.4999999999999999E-2</v>
      </c>
      <c r="G38" s="263" t="s">
        <v>2398</v>
      </c>
    </row>
    <row r="39" spans="1:7" s="258" customFormat="1" ht="13.5" customHeight="1">
      <c r="A39" s="299" t="s">
        <v>2404</v>
      </c>
      <c r="B39" s="254" t="s">
        <v>2405</v>
      </c>
      <c r="C39" s="276">
        <f ca="1">ROUND(C33*F20,0)</f>
        <v>2</v>
      </c>
      <c r="D39" s="276"/>
      <c r="E39" s="276"/>
      <c r="F39" s="277"/>
      <c r="G39" s="278" t="s">
        <v>2406</v>
      </c>
    </row>
    <row r="40" spans="1:7" s="258" customFormat="1" ht="13.5" customHeight="1">
      <c r="A40" s="299" t="s">
        <v>2407</v>
      </c>
      <c r="B40" s="254" t="s">
        <v>2408</v>
      </c>
      <c r="C40" s="1731">
        <f>F21</f>
        <v>0.03</v>
      </c>
      <c r="D40" s="280" t="s">
        <v>2409</v>
      </c>
      <c r="E40" s="276"/>
      <c r="F40" s="277"/>
      <c r="G40" s="278" t="s">
        <v>2410</v>
      </c>
    </row>
    <row r="41" spans="1:7" s="258" customFormat="1" ht="13.5" customHeight="1">
      <c r="A41" s="299" t="s">
        <v>2411</v>
      </c>
      <c r="B41" s="254" t="s">
        <v>2412</v>
      </c>
      <c r="C41" s="276">
        <f ca="1">ROUND(SUM(C42:C43),0)</f>
        <v>3</v>
      </c>
      <c r="D41" s="279">
        <f ca="1">C44</f>
        <v>1.4E-3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ROUND(IF('数据-取费表'!B22&lt;=1,C33*F22*'数据-取费表'!B21/2,C33*(POWER((1+F22),'数据-取费表'!B21/2)-1)),0)</f>
        <v>3</v>
      </c>
      <c r="D42" s="282"/>
      <c r="E42" s="282"/>
      <c r="F42" s="283"/>
      <c r="G42" s="3213" t="s">
        <v>2414</v>
      </c>
    </row>
    <row r="43" spans="1:7" ht="13.5" customHeight="1">
      <c r="A43" s="954" t="s">
        <v>792</v>
      </c>
      <c r="B43" s="259" t="s">
        <v>2415</v>
      </c>
      <c r="C43" s="282">
        <f ca="1">ROUND(IF('数据-取费表'!B22&lt;=1,C39*F22*'数据-取费表'!B21/2,C39*(POWER((1+F22),'数据-取费表'!B21/2)-1)),0)</f>
        <v>0</v>
      </c>
      <c r="D43" s="282"/>
      <c r="E43" s="282"/>
      <c r="F43" s="283"/>
      <c r="G43" s="3214"/>
    </row>
    <row r="44" spans="1:7" ht="13.5" customHeight="1">
      <c r="A44" s="954" t="s">
        <v>793</v>
      </c>
      <c r="B44" s="259" t="s">
        <v>2416</v>
      </c>
      <c r="C44" s="282">
        <f ca="1">ROUND(IF('数据-取费表'!B22&lt;=1,C40*F22*'数据-取费表'!B21/2,C40*(POWER((1+F22),'数据-取费表'!B21/2)-1)),4)</f>
        <v>1.4E-3</v>
      </c>
      <c r="D44" s="282"/>
      <c r="E44" s="282"/>
      <c r="F44" s="283"/>
      <c r="G44" s="3215"/>
    </row>
    <row r="45" spans="1:7" s="258" customFormat="1" ht="13.5" customHeight="1">
      <c r="A45" s="299" t="s">
        <v>2417</v>
      </c>
      <c r="B45" s="288" t="s">
        <v>2383</v>
      </c>
      <c r="C45" s="289">
        <f ca="1">C46</f>
        <v>15</v>
      </c>
      <c r="D45" s="279">
        <f ca="1">C47</f>
        <v>7.4999999999999997E-3</v>
      </c>
      <c r="E45" s="280" t="s">
        <v>2409</v>
      </c>
      <c r="F45" s="290"/>
      <c r="G45" s="291" t="s">
        <v>2418</v>
      </c>
    </row>
    <row r="46" spans="1:7" s="258" customFormat="1" ht="13.5" customHeight="1">
      <c r="A46" s="954" t="s">
        <v>791</v>
      </c>
      <c r="B46" s="292" t="s">
        <v>2419</v>
      </c>
      <c r="C46" s="293">
        <f ca="1">ROUND((C33+C39)*F27,0)</f>
        <v>15</v>
      </c>
      <c r="D46" s="307"/>
      <c r="E46" s="280"/>
      <c r="F46" s="290"/>
      <c r="G46" s="291"/>
    </row>
    <row r="47" spans="1:7" s="258" customFormat="1" ht="13.5" customHeight="1">
      <c r="A47" s="954" t="s">
        <v>792</v>
      </c>
      <c r="B47" s="292" t="s">
        <v>2420</v>
      </c>
      <c r="C47" s="282">
        <f ca="1">ROUND(C40*F27,4)</f>
        <v>7.4999999999999997E-3</v>
      </c>
      <c r="D47" s="307"/>
      <c r="E47" s="280"/>
      <c r="F47" s="290"/>
      <c r="G47" s="291"/>
    </row>
    <row r="48" spans="1:7" s="258" customFormat="1" ht="13.5" customHeight="1">
      <c r="A48" s="299" t="s">
        <v>2382</v>
      </c>
      <c r="B48" s="254" t="s">
        <v>2421</v>
      </c>
      <c r="C48" s="1731">
        <f>ROUND(F30/(1+'数据-取费表'!C42),4)</f>
        <v>5.33E-2</v>
      </c>
      <c r="D48" s="280" t="s">
        <v>2409</v>
      </c>
      <c r="E48" s="276"/>
      <c r="F48" s="281"/>
      <c r="G48" s="278" t="s">
        <v>2422</v>
      </c>
    </row>
    <row r="49" spans="1:7" ht="16.5" customHeight="1">
      <c r="A49" s="299" t="s">
        <v>2388</v>
      </c>
      <c r="B49" s="254" t="s">
        <v>2423</v>
      </c>
      <c r="C49" s="276">
        <f ca="1">ROUND((C33+C39+C41+C45)/(1-C40-D41-D45-C48),0)</f>
        <v>86</v>
      </c>
      <c r="D49" s="276"/>
      <c r="E49" s="276"/>
      <c r="F49" s="308"/>
      <c r="G49" s="278" t="s">
        <v>2424</v>
      </c>
    </row>
    <row r="50" spans="1:7" s="302" customFormat="1" ht="24">
      <c r="A50" s="299" t="s">
        <v>2425</v>
      </c>
      <c r="B50" s="254" t="s">
        <v>2426</v>
      </c>
      <c r="C50" s="276"/>
      <c r="D50" s="276"/>
      <c r="E50" s="276"/>
      <c r="F50" s="308">
        <f>IF('数据-取费表'!B24=0,'数据-取费表'!N16,1)</f>
        <v>0.88</v>
      </c>
      <c r="G50" s="291" t="s">
        <v>2427</v>
      </c>
    </row>
    <row r="51" spans="1:7" ht="16.5" customHeight="1">
      <c r="A51" s="299" t="s">
        <v>2428</v>
      </c>
      <c r="B51" s="254" t="s">
        <v>2429</v>
      </c>
      <c r="C51" s="276">
        <f ca="1">ROUND(C49*F50,0)</f>
        <v>76</v>
      </c>
      <c r="D51" s="276"/>
      <c r="E51" s="276"/>
      <c r="F51" s="308"/>
      <c r="G51" s="278" t="s">
        <v>2430</v>
      </c>
    </row>
    <row r="52" spans="1:7" s="252" customFormat="1" ht="16.5" thickBot="1">
      <c r="A52" s="309" t="s">
        <v>2431</v>
      </c>
      <c r="B52" s="310"/>
      <c r="C52" s="311">
        <f ca="1">C31+C51</f>
        <v>40738</v>
      </c>
      <c r="D52" s="310"/>
      <c r="E52" s="310"/>
      <c r="F52" s="310"/>
      <c r="G52" s="312"/>
    </row>
    <row r="55" spans="1:7" ht="15">
      <c r="B55" s="314" t="s">
        <v>2432</v>
      </c>
      <c r="C55" s="315"/>
    </row>
    <row r="56" spans="1:7">
      <c r="B56" s="317" t="s">
        <v>1513</v>
      </c>
      <c r="C56" s="319">
        <f ca="1">1-C57</f>
        <v>0.998</v>
      </c>
    </row>
    <row r="57" spans="1:7">
      <c r="B57" s="317" t="s">
        <v>1514</v>
      </c>
      <c r="C57" s="318">
        <f ca="1">ROUND(C51/C52,3)</f>
        <v>2E-3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6:I150"/>
  <sheetViews>
    <sheetView topLeftCell="A37" workbookViewId="0">
      <selection activeCell="A135" sqref="A135:I150"/>
    </sheetView>
  </sheetViews>
  <sheetFormatPr defaultRowHeight="13.5"/>
  <sheetData>
    <row r="116" spans="1:5" ht="14.25" thickBot="1"/>
    <row r="117" spans="1:5" ht="26.25" thickBot="1">
      <c r="A117" s="2963" t="s">
        <v>3143</v>
      </c>
      <c r="B117" s="2964" t="s">
        <v>3144</v>
      </c>
      <c r="C117" s="2964" t="s">
        <v>3145</v>
      </c>
      <c r="D117" s="2964" t="s">
        <v>3146</v>
      </c>
      <c r="E117" s="2964" t="s">
        <v>3147</v>
      </c>
    </row>
    <row r="118" spans="1:5" ht="51.75" thickBot="1">
      <c r="A118" s="2965">
        <v>1</v>
      </c>
      <c r="B118" s="2966" t="s">
        <v>3148</v>
      </c>
      <c r="C118" s="2967" t="s">
        <v>3155</v>
      </c>
      <c r="D118" s="2968">
        <v>166.41</v>
      </c>
      <c r="E118" s="2969" t="s">
        <v>3060</v>
      </c>
    </row>
    <row r="119" spans="1:5" ht="51.75" thickBot="1">
      <c r="A119" s="2965">
        <v>2</v>
      </c>
      <c r="B119" s="2966" t="s">
        <v>3149</v>
      </c>
      <c r="C119" s="2967" t="s">
        <v>3156</v>
      </c>
      <c r="D119" s="2968">
        <v>287.17</v>
      </c>
      <c r="E119" s="2969" t="s">
        <v>3060</v>
      </c>
    </row>
    <row r="120" spans="1:5" ht="51.75" thickBot="1">
      <c r="A120" s="2965">
        <v>3</v>
      </c>
      <c r="B120" s="2966" t="s">
        <v>3150</v>
      </c>
      <c r="C120" s="2967" t="s">
        <v>3157</v>
      </c>
      <c r="D120" s="2968">
        <v>97.32</v>
      </c>
      <c r="E120" s="2969" t="s">
        <v>3060</v>
      </c>
    </row>
    <row r="121" spans="1:5" ht="51.75" thickBot="1">
      <c r="A121" s="2965">
        <v>4</v>
      </c>
      <c r="B121" s="2966" t="s">
        <v>3151</v>
      </c>
      <c r="C121" s="2967" t="s">
        <v>3158</v>
      </c>
      <c r="D121" s="2968">
        <v>166.41</v>
      </c>
      <c r="E121" s="2969" t="s">
        <v>3060</v>
      </c>
    </row>
    <row r="122" spans="1:5" ht="51.75" thickBot="1">
      <c r="A122" s="2965">
        <v>5</v>
      </c>
      <c r="B122" s="2966" t="s">
        <v>3152</v>
      </c>
      <c r="C122" s="2967" t="s">
        <v>3159</v>
      </c>
      <c r="D122" s="2968">
        <v>287.17</v>
      </c>
      <c r="E122" s="2969" t="s">
        <v>3060</v>
      </c>
    </row>
    <row r="123" spans="1:5" ht="51.75" thickBot="1">
      <c r="A123" s="2965">
        <v>6</v>
      </c>
      <c r="B123" s="2966" t="s">
        <v>3153</v>
      </c>
      <c r="C123" s="2967" t="s">
        <v>3160</v>
      </c>
      <c r="D123" s="2968">
        <v>97.32</v>
      </c>
      <c r="E123" s="2969" t="s">
        <v>3060</v>
      </c>
    </row>
    <row r="124" spans="1:5" ht="51.75" thickBot="1">
      <c r="A124" s="2965">
        <v>7</v>
      </c>
      <c r="B124" s="2966" t="s">
        <v>3154</v>
      </c>
      <c r="C124" s="2967" t="s">
        <v>3161</v>
      </c>
      <c r="D124" s="2968">
        <v>288.72000000000003</v>
      </c>
      <c r="E124" s="2969" t="s">
        <v>3060</v>
      </c>
    </row>
    <row r="125" spans="1:5" ht="14.25" thickBot="1">
      <c r="A125" s="3216" t="s">
        <v>37</v>
      </c>
      <c r="B125" s="3217"/>
      <c r="C125" s="3218"/>
      <c r="D125" s="2966">
        <f>D118+D119+D120+D121+D122+D123+D124</f>
        <v>1390.52</v>
      </c>
      <c r="E125" s="2966" t="s">
        <v>70</v>
      </c>
    </row>
    <row r="135" spans="1:9" ht="15" thickBot="1">
      <c r="A135" s="2974" t="s">
        <v>3176</v>
      </c>
    </row>
    <row r="136" spans="1:9" ht="25.5" customHeight="1" thickTop="1">
      <c r="A136" s="3219" t="s">
        <v>3177</v>
      </c>
      <c r="B136" s="3219" t="s">
        <v>3146</v>
      </c>
      <c r="C136" s="3221" t="s">
        <v>3178</v>
      </c>
      <c r="D136" s="3223" t="s">
        <v>3179</v>
      </c>
      <c r="E136" s="3224"/>
      <c r="F136" s="3223" t="s">
        <v>3180</v>
      </c>
      <c r="G136" s="3224"/>
      <c r="H136" s="3223" t="s">
        <v>3181</v>
      </c>
      <c r="I136" s="3224"/>
    </row>
    <row r="137" spans="1:9">
      <c r="A137" s="3220"/>
      <c r="B137" s="3220"/>
      <c r="C137" s="3222"/>
      <c r="D137" s="2976" t="s">
        <v>3182</v>
      </c>
      <c r="E137" s="2976" t="s">
        <v>3183</v>
      </c>
      <c r="F137" s="2976" t="s">
        <v>3184</v>
      </c>
      <c r="G137" s="2976" t="s">
        <v>3183</v>
      </c>
      <c r="H137" s="2976" t="s">
        <v>3184</v>
      </c>
      <c r="I137" s="2976" t="s">
        <v>3183</v>
      </c>
    </row>
    <row r="138" spans="1:9" ht="191.25">
      <c r="A138" s="2977" t="s">
        <v>3185</v>
      </c>
      <c r="B138" s="2978">
        <v>65165.95</v>
      </c>
      <c r="C138" s="2978">
        <v>12007.03</v>
      </c>
      <c r="D138" s="2978">
        <v>27814</v>
      </c>
      <c r="E138" s="2978">
        <v>4268</v>
      </c>
      <c r="F138" s="2978">
        <v>17933</v>
      </c>
      <c r="G138" s="2978">
        <v>2752</v>
      </c>
      <c r="H138" s="2978">
        <v>45899</v>
      </c>
      <c r="I138" s="2978">
        <v>7043</v>
      </c>
    </row>
    <row r="139" spans="1:9">
      <c r="A139" s="2979" t="s">
        <v>3186</v>
      </c>
      <c r="B139" s="2978"/>
      <c r="C139" s="2978"/>
      <c r="D139" s="2978"/>
      <c r="E139" s="2978"/>
      <c r="F139" s="2978"/>
      <c r="G139" s="2978"/>
      <c r="H139" s="2978"/>
      <c r="I139" s="2978"/>
    </row>
    <row r="140" spans="1:9">
      <c r="A140" s="2979" t="s">
        <v>37</v>
      </c>
      <c r="B140" s="2978"/>
      <c r="C140" s="2978"/>
      <c r="D140" s="2978"/>
      <c r="E140" s="2978"/>
      <c r="F140" s="2978"/>
      <c r="G140" s="2978"/>
      <c r="H140" s="2978"/>
      <c r="I140" s="2978"/>
    </row>
    <row r="141" spans="1:9" ht="25.5" customHeight="1">
      <c r="A141" s="3225" t="s">
        <v>3187</v>
      </c>
      <c r="B141" s="3226"/>
      <c r="C141" s="3227"/>
      <c r="D141" s="3225" t="s">
        <v>3188</v>
      </c>
      <c r="E141" s="3227"/>
      <c r="F141" s="3225" t="s">
        <v>3189</v>
      </c>
      <c r="G141" s="3227"/>
      <c r="H141" s="3225" t="s">
        <v>3190</v>
      </c>
      <c r="I141" s="3227"/>
    </row>
    <row r="142" spans="1:9">
      <c r="A142" s="3228" t="s">
        <v>3191</v>
      </c>
      <c r="B142" s="3229"/>
      <c r="C142" s="3230"/>
      <c r="D142" s="3231">
        <v>0</v>
      </c>
      <c r="E142" s="3232"/>
      <c r="F142" s="3232"/>
      <c r="G142" s="3232"/>
      <c r="H142" s="3232"/>
      <c r="I142" s="3233"/>
    </row>
    <row r="143" spans="1:9">
      <c r="A143" s="3225" t="s">
        <v>3187</v>
      </c>
      <c r="B143" s="3226"/>
      <c r="C143" s="3227"/>
      <c r="D143" s="3225" t="s">
        <v>3192</v>
      </c>
      <c r="E143" s="3226"/>
      <c r="F143" s="3226"/>
      <c r="G143" s="3226"/>
      <c r="H143" s="3226"/>
      <c r="I143" s="3227"/>
    </row>
    <row r="144" spans="1:9">
      <c r="A144" s="3228" t="s">
        <v>3047</v>
      </c>
      <c r="B144" s="3229"/>
      <c r="C144" s="3230"/>
      <c r="D144" s="3231">
        <v>45747</v>
      </c>
      <c r="E144" s="3232"/>
      <c r="F144" s="3232"/>
      <c r="G144" s="3232"/>
      <c r="H144" s="3232"/>
      <c r="I144" s="3233"/>
    </row>
    <row r="145" spans="1:9">
      <c r="A145" s="3225" t="s">
        <v>3187</v>
      </c>
      <c r="B145" s="3226"/>
      <c r="C145" s="3227"/>
      <c r="D145" s="3225" t="s">
        <v>3193</v>
      </c>
      <c r="E145" s="3226"/>
      <c r="F145" s="3226"/>
      <c r="G145" s="3226"/>
      <c r="H145" s="3226"/>
      <c r="I145" s="3227"/>
    </row>
    <row r="146" spans="1:9">
      <c r="A146" s="3231"/>
      <c r="B146" s="3232"/>
      <c r="C146" s="3233"/>
      <c r="D146" s="3228" t="s">
        <v>70</v>
      </c>
      <c r="E146" s="3229"/>
      <c r="F146" s="3229"/>
      <c r="G146" s="3229"/>
      <c r="H146" s="3229"/>
      <c r="I146" s="3230"/>
    </row>
    <row r="147" spans="1:9">
      <c r="A147" s="3225" t="s">
        <v>3187</v>
      </c>
      <c r="B147" s="3226"/>
      <c r="C147" s="3227"/>
      <c r="D147" s="3237" t="e">
        <v>#VALUE!</v>
      </c>
      <c r="E147" s="3238"/>
      <c r="F147" s="3238"/>
      <c r="G147" s="3238"/>
      <c r="H147" s="3238"/>
      <c r="I147" s="3239"/>
    </row>
    <row r="148" spans="1:9">
      <c r="A148" s="3228" t="s">
        <v>1285</v>
      </c>
      <c r="B148" s="3229"/>
      <c r="C148" s="3230"/>
      <c r="D148" s="3231">
        <v>26524</v>
      </c>
      <c r="E148" s="3232"/>
      <c r="F148" s="3232"/>
      <c r="G148" s="3232"/>
      <c r="H148" s="3232"/>
      <c r="I148" s="3233"/>
    </row>
    <row r="149" spans="1:9" ht="14.25" thickBot="1">
      <c r="A149" s="3234" t="s">
        <v>3187</v>
      </c>
      <c r="B149" s="3235"/>
      <c r="C149" s="3236"/>
      <c r="D149" s="3234" t="s">
        <v>3194</v>
      </c>
      <c r="E149" s="3235"/>
      <c r="F149" s="3235"/>
      <c r="G149" s="3235"/>
      <c r="H149" s="3235"/>
      <c r="I149" s="3236"/>
    </row>
    <row r="150" spans="1:9" ht="14.25" thickTop="1">
      <c r="A150" s="2975" t="s">
        <v>3195</v>
      </c>
    </row>
  </sheetData>
  <mergeCells count="27">
    <mergeCell ref="A148:C148"/>
    <mergeCell ref="D148:I148"/>
    <mergeCell ref="A149:C149"/>
    <mergeCell ref="D149:I149"/>
    <mergeCell ref="A145:C145"/>
    <mergeCell ref="D145:I145"/>
    <mergeCell ref="A146:C146"/>
    <mergeCell ref="D146:I146"/>
    <mergeCell ref="A147:C147"/>
    <mergeCell ref="D147:I147"/>
    <mergeCell ref="A142:C142"/>
    <mergeCell ref="D142:I142"/>
    <mergeCell ref="A143:C143"/>
    <mergeCell ref="D143:I143"/>
    <mergeCell ref="A144:C144"/>
    <mergeCell ref="D144:I144"/>
    <mergeCell ref="F136:G136"/>
    <mergeCell ref="H136:I136"/>
    <mergeCell ref="A141:C141"/>
    <mergeCell ref="D141:E141"/>
    <mergeCell ref="F141:G141"/>
    <mergeCell ref="H141:I141"/>
    <mergeCell ref="A125:C125"/>
    <mergeCell ref="A136:A137"/>
    <mergeCell ref="B136:B137"/>
    <mergeCell ref="C136:C137"/>
    <mergeCell ref="D136:E136"/>
  </mergeCells>
  <phoneticPr fontId="14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9" sqref="C9"/>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40" t="s">
        <v>3087</v>
      </c>
      <c r="C1" s="2560" t="s">
        <v>2433</v>
      </c>
      <c r="D1" s="242"/>
      <c r="E1" s="242"/>
      <c r="F1" s="242"/>
      <c r="G1" s="1382">
        <f>MATCH(B1,'数据-取费表'!A6:A16,0)+5</f>
        <v>6</v>
      </c>
      <c r="H1" s="1285" t="str">
        <f>IF(ISERROR(FIND("住宅",B1)),"非住宅","住宅")</f>
        <v>住宅</v>
      </c>
    </row>
    <row r="2" spans="1:8" s="244" customFormat="1" ht="18" customHeight="1">
      <c r="A2" s="245" t="s">
        <v>2332</v>
      </c>
      <c r="B2" s="246">
        <f ca="1">ROUND(IF(D2="——",C52/10000,C52/10000-E2),0)</f>
        <v>1260</v>
      </c>
      <c r="C2" s="243" t="s">
        <v>2333</v>
      </c>
      <c r="D2" s="2554" t="s">
        <v>70</v>
      </c>
      <c r="E2" s="1443" t="e">
        <f ca="1">SUMIF(INDIRECT("'"&amp;G2&amp;"'"&amp;"!A:A"),"承租人权益价值",INDIRECT("'"&amp;G2&amp;"'"&amp;"!c:c"))</f>
        <v>#REF!</v>
      </c>
      <c r="F2" s="2555" t="s">
        <v>2333</v>
      </c>
      <c r="G2" s="2556"/>
    </row>
    <row r="3" spans="1:8" s="244" customFormat="1" ht="18" customHeight="1" thickBot="1">
      <c r="A3" s="247" t="s">
        <v>2334</v>
      </c>
      <c r="B3" s="248">
        <f ca="1">ROUND(B2*10000/(IF(B1="",'数据-汇总表'!E3,INDIRECT("'数据-取费表'!k"&amp;$G$1))),0)</f>
        <v>75717</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7770226</v>
      </c>
      <c r="D5" s="255" t="s">
        <v>2339</v>
      </c>
      <c r="E5" s="256" t="s">
        <v>2340</v>
      </c>
      <c r="F5" s="256" t="s">
        <v>2341</v>
      </c>
      <c r="G5" s="257"/>
    </row>
    <row r="6" spans="1:8" s="258" customFormat="1" ht="13.5" customHeight="1">
      <c r="A6" s="952" t="s">
        <v>2342</v>
      </c>
      <c r="B6" s="259" t="s">
        <v>2343</v>
      </c>
      <c r="C6" s="260">
        <f ca="1">ROUND(基准地价修正!C29*基准地价修正!D29,0)</f>
        <v>7514410</v>
      </c>
      <c r="D6" s="261"/>
      <c r="E6" s="262"/>
      <c r="F6" s="262"/>
      <c r="G6" s="263"/>
    </row>
    <row r="7" spans="1:8" s="258" customFormat="1" ht="13.5" customHeight="1">
      <c r="A7" s="952" t="s">
        <v>2344</v>
      </c>
      <c r="B7" s="259" t="s">
        <v>2345</v>
      </c>
      <c r="C7" s="264">
        <f ca="1">ROUND(C6*F7,0)</f>
        <v>229190</v>
      </c>
      <c r="D7" s="264"/>
      <c r="E7" s="262"/>
      <c r="F7" s="265">
        <f>'数据-取费表'!B48+'数据-取费表'!B49</f>
        <v>3.0499999999999999E-2</v>
      </c>
      <c r="G7" s="263"/>
    </row>
    <row r="8" spans="1:8" s="267" customFormat="1">
      <c r="A8" s="952" t="s">
        <v>2346</v>
      </c>
      <c r="B8" s="259" t="s">
        <v>2347</v>
      </c>
      <c r="C8" s="264">
        <f ca="1">IF(G8="已包含在土地购买价格中",0,C9+C10)</f>
        <v>26626</v>
      </c>
      <c r="D8" s="266"/>
      <c r="E8" s="264"/>
      <c r="F8" s="265"/>
      <c r="G8" s="2557" t="s">
        <v>3085</v>
      </c>
    </row>
    <row r="9" spans="1:8" s="258" customFormat="1" ht="13.5" customHeight="1">
      <c r="A9" s="953" t="s">
        <v>800</v>
      </c>
      <c r="B9" s="268" t="s">
        <v>2348</v>
      </c>
      <c r="C9" s="269">
        <f ca="1">ROUND(D9*E9,0)</f>
        <v>26626</v>
      </c>
      <c r="D9" s="1035">
        <f ca="1">IF(B1="",'数据-汇总表'!E5,IF(INDIRECT("'数据-取费表'!c"&amp;$G$1)="住宅",INDIRECT("'数据-取费表'!k"&amp;$G$1),0))</f>
        <v>166.41</v>
      </c>
      <c r="E9" s="269">
        <f>'数据-取费表'!B27</f>
        <v>160</v>
      </c>
      <c r="F9" s="265"/>
      <c r="G9" s="270"/>
    </row>
    <row r="10" spans="1:8" s="258" customFormat="1" ht="13.5" customHeight="1">
      <c r="A10" s="953" t="s">
        <v>801</v>
      </c>
      <c r="B10" s="268" t="s">
        <v>2350</v>
      </c>
      <c r="C10" s="269">
        <f ca="1">ROUND(D10*E10,0)</f>
        <v>0</v>
      </c>
      <c r="D10" s="1035">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2351</v>
      </c>
      <c r="C11" s="255"/>
      <c r="D11" s="1037"/>
      <c r="E11" s="262"/>
      <c r="F11" s="262"/>
      <c r="G11" s="263"/>
    </row>
    <row r="12" spans="1:8" s="258" customFormat="1" ht="13.5" hidden="1" customHeight="1">
      <c r="A12" s="271" t="s">
        <v>8</v>
      </c>
      <c r="B12" s="259" t="s">
        <v>2434</v>
      </c>
      <c r="C12" s="255">
        <v>0</v>
      </c>
      <c r="D12" s="1037"/>
      <c r="E12" s="272"/>
      <c r="F12" s="265">
        <v>3.0499999999999999E-2</v>
      </c>
      <c r="G12" s="263"/>
    </row>
    <row r="13" spans="1:8" s="258" customFormat="1" ht="13.5" hidden="1" customHeight="1">
      <c r="A13" s="271" t="s">
        <v>9</v>
      </c>
      <c r="B13" s="259" t="s">
        <v>2435</v>
      </c>
      <c r="C13" s="255"/>
      <c r="D13" s="1037"/>
      <c r="E13" s="262"/>
      <c r="F13" s="262"/>
      <c r="G13" s="263"/>
    </row>
    <row r="14" spans="1:8" s="258" customFormat="1" ht="13.5" hidden="1" customHeight="1">
      <c r="A14" s="271" t="s">
        <v>10</v>
      </c>
      <c r="B14" s="259" t="s">
        <v>2347</v>
      </c>
      <c r="C14" s="255"/>
      <c r="D14" s="1037"/>
      <c r="E14" s="262"/>
      <c r="F14" s="262"/>
      <c r="G14" s="263" t="s">
        <v>2436</v>
      </c>
    </row>
    <row r="15" spans="1:8" s="258" customFormat="1" ht="13.5" hidden="1" customHeight="1">
      <c r="A15" s="271" t="s">
        <v>11</v>
      </c>
      <c r="B15" s="259" t="s">
        <v>2437</v>
      </c>
      <c r="C15" s="264"/>
      <c r="D15" s="1037"/>
      <c r="E15" s="262"/>
      <c r="F15" s="262"/>
      <c r="G15" s="263" t="s">
        <v>2438</v>
      </c>
    </row>
    <row r="16" spans="1:8" s="258" customFormat="1" ht="13.5" hidden="1" customHeight="1">
      <c r="A16" s="271" t="s">
        <v>12</v>
      </c>
      <c r="B16" s="259" t="s">
        <v>2347</v>
      </c>
      <c r="C16" s="264"/>
      <c r="D16" s="1037"/>
      <c r="E16" s="262"/>
      <c r="F16" s="262"/>
      <c r="G16" s="263"/>
    </row>
    <row r="17" spans="1:7" s="258" customFormat="1" ht="13.5" hidden="1" customHeight="1">
      <c r="A17" s="271" t="s">
        <v>13</v>
      </c>
      <c r="B17" s="259" t="s">
        <v>2439</v>
      </c>
      <c r="C17" s="273"/>
      <c r="D17" s="1038"/>
      <c r="E17" s="273"/>
      <c r="F17" s="273"/>
      <c r="G17" s="263" t="s">
        <v>2438</v>
      </c>
    </row>
    <row r="18" spans="1:7" s="258" customFormat="1" ht="13.5" hidden="1" customHeight="1">
      <c r="A18" s="271" t="s">
        <v>14</v>
      </c>
      <c r="B18" s="259" t="s">
        <v>2440</v>
      </c>
      <c r="C18" s="264">
        <v>0</v>
      </c>
      <c r="D18" s="1037"/>
      <c r="E18" s="262"/>
      <c r="F18" s="265">
        <v>3.0499999999999999E-2</v>
      </c>
      <c r="G18" s="263" t="s">
        <v>2441</v>
      </c>
    </row>
    <row r="19" spans="1:7" s="267" customFormat="1" ht="13.5" customHeight="1">
      <c r="A19" s="299" t="s">
        <v>2442</v>
      </c>
      <c r="B19" s="254" t="s">
        <v>2443</v>
      </c>
      <c r="C19" s="255" t="str">
        <f>IF(G19="已包含在土地取得成本中","0",ROUND(D19*E19,0))</f>
        <v>0</v>
      </c>
      <c r="D19" s="1039">
        <f ca="1">D9+D10</f>
        <v>166.41</v>
      </c>
      <c r="E19" s="255">
        <f>'数据-取费表'!B31</f>
        <v>200</v>
      </c>
      <c r="F19" s="275"/>
      <c r="G19" s="2557" t="s">
        <v>3086</v>
      </c>
    </row>
    <row r="20" spans="1:7" s="258" customFormat="1" ht="13.5" customHeight="1">
      <c r="A20" s="299" t="s">
        <v>2444</v>
      </c>
      <c r="B20" s="254" t="s">
        <v>2445</v>
      </c>
      <c r="C20" s="276">
        <f ca="1">ROUND((C5+C19)*F20,0)</f>
        <v>233107</v>
      </c>
      <c r="D20" s="276"/>
      <c r="E20" s="276"/>
      <c r="F20" s="277">
        <f>'数据-取费表'!B37</f>
        <v>0.03</v>
      </c>
      <c r="G20" s="278" t="s">
        <v>2446</v>
      </c>
    </row>
    <row r="21" spans="1:7" s="258" customFormat="1" ht="13.5" customHeight="1">
      <c r="A21" s="299" t="s">
        <v>2447</v>
      </c>
      <c r="B21" s="254" t="s">
        <v>2448</v>
      </c>
      <c r="C21" s="279">
        <f>F21</f>
        <v>0.03</v>
      </c>
      <c r="D21" s="280" t="s">
        <v>2449</v>
      </c>
      <c r="E21" s="276"/>
      <c r="F21" s="277">
        <f>'数据-取费表'!B38</f>
        <v>0.03</v>
      </c>
      <c r="G21" s="278" t="s">
        <v>2450</v>
      </c>
    </row>
    <row r="22" spans="1:7" s="258" customFormat="1" ht="13.5" customHeight="1">
      <c r="A22" s="299" t="s">
        <v>2451</v>
      </c>
      <c r="B22" s="254" t="s">
        <v>2452</v>
      </c>
      <c r="C22" s="1383">
        <f ca="1">ROUND(SUM(C23:C25),0)</f>
        <v>766776</v>
      </c>
      <c r="D22" s="279">
        <f ca="1">C26</f>
        <v>1.4E-3</v>
      </c>
      <c r="E22" s="280" t="s">
        <v>2449</v>
      </c>
      <c r="F22" s="281">
        <f ca="1">'数据-取费表'!B40</f>
        <v>4.7500000000000001E-2</v>
      </c>
      <c r="G22" s="278" t="str">
        <f>IF('数据-取费表'!B22&lt;=1,"单利计息","复利计息")</f>
        <v>复利计息</v>
      </c>
    </row>
    <row r="23" spans="1:7" s="258" customFormat="1" ht="13.5" customHeight="1">
      <c r="A23" s="954" t="s">
        <v>2342</v>
      </c>
      <c r="B23" s="259" t="s">
        <v>2453</v>
      </c>
      <c r="C23" s="1384">
        <f ca="1">ROUND(IF('数据-取费表'!B22&lt;=1,C5*F22*'数据-取费表'!B22,C5*(POWER((1+F22),'数据-取费表'!B22)-1)),0)</f>
        <v>755703</v>
      </c>
      <c r="D23" s="282"/>
      <c r="E23" s="282"/>
      <c r="F23" s="283"/>
      <c r="G23" s="284" t="s">
        <v>2454</v>
      </c>
    </row>
    <row r="24" spans="1:7" s="258" customFormat="1" ht="13.5" customHeight="1">
      <c r="A24" s="954" t="s">
        <v>2344</v>
      </c>
      <c r="B24" s="259" t="s">
        <v>2455</v>
      </c>
      <c r="C24" s="1384">
        <f ca="1">ROUND(IF('数据-取费表'!B22&lt;=1,C19*F22*('数据-取费表'!B19/2+'数据-取费表'!B20),C19*(POWER((1+F22),('数据-取费表'!B19/2+'数据-取费表'!B20))-1)),0)</f>
        <v>0</v>
      </c>
      <c r="D24" s="282"/>
      <c r="E24" s="282"/>
      <c r="F24" s="283"/>
      <c r="G24" s="284" t="s">
        <v>2456</v>
      </c>
    </row>
    <row r="25" spans="1:7" s="258" customFormat="1" ht="24">
      <c r="A25" s="954" t="s">
        <v>2346</v>
      </c>
      <c r="B25" s="259" t="s">
        <v>2457</v>
      </c>
      <c r="C25" s="1384">
        <f ca="1">ROUND(IF('数据-取费表'!B22&lt;=1,C20*F22*'数据-取费表'!B22/2,C20*(POWER((1+F22),'数据-取费表'!B22/2)-1)),0)</f>
        <v>11073</v>
      </c>
      <c r="D25" s="282"/>
      <c r="E25" s="285"/>
      <c r="F25" s="283"/>
      <c r="G25" s="286" t="s">
        <v>2458</v>
      </c>
    </row>
    <row r="26" spans="1:7" s="258" customFormat="1">
      <c r="A26" s="954" t="s">
        <v>795</v>
      </c>
      <c r="B26" s="259" t="s">
        <v>2381</v>
      </c>
      <c r="C26" s="282">
        <f ca="1">ROUND(IF('数据-取费表'!B22&lt;=1,F21*F22*'数据-取费表'!B22/2,F21*(POWER((1+F22),'数据-取费表'!B22/2)-1)),4)</f>
        <v>1.4E-3</v>
      </c>
      <c r="D26" s="282"/>
      <c r="E26" s="285"/>
      <c r="F26" s="283"/>
      <c r="G26" s="287"/>
    </row>
    <row r="27" spans="1:7" s="258" customFormat="1" ht="24.75">
      <c r="A27" s="299" t="s">
        <v>2382</v>
      </c>
      <c r="B27" s="288" t="s">
        <v>2383</v>
      </c>
      <c r="C27" s="289">
        <f ca="1">C28</f>
        <v>2000833</v>
      </c>
      <c r="D27" s="279">
        <f ca="1">C29</f>
        <v>7.4999999999999997E-3</v>
      </c>
      <c r="E27" s="280" t="s">
        <v>2384</v>
      </c>
      <c r="F27" s="290">
        <f ca="1">IF(B1="",'数据-取费表'!Q16,INDIRECT("'数据-取费表'!q"&amp;$G$1))</f>
        <v>0.25</v>
      </c>
      <c r="G27" s="291" t="s">
        <v>2385</v>
      </c>
    </row>
    <row r="28" spans="1:7" s="258" customFormat="1" ht="13.5" customHeight="1">
      <c r="A28" s="954" t="s">
        <v>791</v>
      </c>
      <c r="B28" s="292" t="s">
        <v>2386</v>
      </c>
      <c r="C28" s="293">
        <f ca="1">ROUND((C5+C19+C20)*F27,0)</f>
        <v>2000833</v>
      </c>
      <c r="D28" s="279"/>
      <c r="E28" s="280"/>
      <c r="F28" s="290"/>
      <c r="G28" s="291"/>
    </row>
    <row r="29" spans="1:7" s="258" customFormat="1" ht="13.5" customHeight="1">
      <c r="A29" s="954" t="s">
        <v>792</v>
      </c>
      <c r="B29" s="292" t="s">
        <v>2387</v>
      </c>
      <c r="C29" s="282">
        <f ca="1">ROUND(C21*F27,4)</f>
        <v>7.4999999999999997E-3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11864884</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569954</v>
      </c>
      <c r="D33" s="276"/>
      <c r="E33" s="256"/>
      <c r="F33" s="285"/>
      <c r="G33" s="278"/>
    </row>
    <row r="34" spans="1:7" s="302" customFormat="1" ht="13.5" customHeight="1">
      <c r="A34" s="954" t="s">
        <v>791</v>
      </c>
      <c r="B34" s="259" t="s">
        <v>2395</v>
      </c>
      <c r="C34" s="264">
        <f ca="1">ROUND(IF(B1="",SUMPRODUCT('数据-取费表'!K6:K14,'数据-取费表'!L6:L14),INDIRECT("'数据-取费表'!l"&amp;$G$1)*INDIRECT("'数据-取费表'!k"&amp;$G$1)+'数据-取费表'!L14*INDIRECT("'数据-取费表'!S"&amp;$G$1)),0)</f>
        <v>499230</v>
      </c>
      <c r="D34" s="261"/>
      <c r="E34" s="264"/>
      <c r="F34" s="301"/>
      <c r="G34" s="263"/>
    </row>
    <row r="35" spans="1:7" ht="13.5" customHeight="1">
      <c r="A35" s="954" t="s">
        <v>796</v>
      </c>
      <c r="B35" s="259" t="s">
        <v>2397</v>
      </c>
      <c r="C35" s="264">
        <f ca="1">ROUND(C34*F35,0)</f>
        <v>14977</v>
      </c>
      <c r="D35" s="264"/>
      <c r="E35" s="264"/>
      <c r="F35" s="303">
        <f>'数据-取费表'!B33</f>
        <v>0.03</v>
      </c>
      <c r="G35" s="263" t="s">
        <v>2398</v>
      </c>
    </row>
    <row r="36" spans="1:7" ht="24">
      <c r="A36" s="954" t="s">
        <v>797</v>
      </c>
      <c r="B36" s="259" t="s">
        <v>2399</v>
      </c>
      <c r="C36" s="264">
        <f ca="1">ROUND(IF(B1="",SUM('数据-取费表'!AP6:AP13)*F36,IF(INDIRECT("'数据-取费表'!c"&amp;$G$1)="住宅",INDIRECT("'数据-取费表'!k"&amp;$G$1)*INDIRECT("'数据-取费表'!l"&amp;$G$1)*F36,0)),0)</f>
        <v>14977</v>
      </c>
      <c r="D36" s="264"/>
      <c r="E36" s="264"/>
      <c r="F36" s="303">
        <f>'数据-取费表'!B34</f>
        <v>0.03</v>
      </c>
      <c r="G36" s="304" t="s">
        <v>2400</v>
      </c>
    </row>
    <row r="37" spans="1:7" s="302" customFormat="1" ht="13.5" customHeight="1">
      <c r="A37" s="954" t="s">
        <v>798</v>
      </c>
      <c r="B37" s="259" t="s">
        <v>2401</v>
      </c>
      <c r="C37" s="293">
        <f ca="1">ROUND(E37*D37,0)</f>
        <v>33282</v>
      </c>
      <c r="D37" s="261">
        <f ca="1">D19</f>
        <v>166.41</v>
      </c>
      <c r="E37" s="293">
        <f>'数据-取费表'!B35</f>
        <v>200</v>
      </c>
      <c r="F37" s="303"/>
      <c r="G37" s="305"/>
    </row>
    <row r="38" spans="1:7" ht="13.5" customHeight="1">
      <c r="A38" s="954" t="s">
        <v>799</v>
      </c>
      <c r="B38" s="259" t="s">
        <v>2403</v>
      </c>
      <c r="C38" s="264">
        <f ca="1">ROUND(C34*F38,0)</f>
        <v>7488</v>
      </c>
      <c r="D38" s="264"/>
      <c r="E38" s="264"/>
      <c r="F38" s="303">
        <f>'数据-取费表'!B36</f>
        <v>1.4999999999999999E-2</v>
      </c>
      <c r="G38" s="263" t="s">
        <v>2398</v>
      </c>
    </row>
    <row r="39" spans="1:7" s="258" customFormat="1" ht="13.5" customHeight="1">
      <c r="A39" s="299" t="s">
        <v>2404</v>
      </c>
      <c r="B39" s="254" t="s">
        <v>2405</v>
      </c>
      <c r="C39" s="276">
        <f ca="1">ROUND(C33*F20,0)</f>
        <v>17099</v>
      </c>
      <c r="D39" s="276"/>
      <c r="E39" s="276"/>
      <c r="F39" s="277"/>
      <c r="G39" s="278" t="s">
        <v>2406</v>
      </c>
    </row>
    <row r="40" spans="1:7" s="258" customFormat="1" ht="13.5" customHeight="1">
      <c r="A40" s="299" t="s">
        <v>2407</v>
      </c>
      <c r="B40" s="254" t="s">
        <v>2408</v>
      </c>
      <c r="C40" s="1731">
        <f>F21</f>
        <v>0.03</v>
      </c>
      <c r="D40" s="280" t="s">
        <v>2409</v>
      </c>
      <c r="E40" s="276"/>
      <c r="F40" s="277"/>
      <c r="G40" s="278" t="s">
        <v>2410</v>
      </c>
    </row>
    <row r="41" spans="1:7" s="258" customFormat="1" ht="13.5" customHeight="1">
      <c r="A41" s="299" t="s">
        <v>2411</v>
      </c>
      <c r="B41" s="254" t="s">
        <v>2412</v>
      </c>
      <c r="C41" s="276">
        <f ca="1">ROUND(SUM(C42:C43),0)</f>
        <v>27885</v>
      </c>
      <c r="D41" s="279">
        <f ca="1">C44</f>
        <v>1.4E-3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ROUND(IF('数据-取费表'!B22&lt;=1,C33*F22*'数据-取费表'!B20/2,C33*(POWER((1+F22),'数据-取费表'!B20/2)-1)),0)</f>
        <v>27073</v>
      </c>
      <c r="D42" s="282"/>
      <c r="E42" s="282"/>
      <c r="F42" s="283"/>
      <c r="G42" s="3213" t="s">
        <v>2461</v>
      </c>
    </row>
    <row r="43" spans="1:7" ht="13.5" customHeight="1">
      <c r="A43" s="954" t="s">
        <v>792</v>
      </c>
      <c r="B43" s="259" t="s">
        <v>2415</v>
      </c>
      <c r="C43" s="282">
        <f ca="1">ROUND(IF('数据-取费表'!B22&lt;=1,C39*F22*'数据-取费表'!B20/2,C39*(POWER((1+F22),'数据-取费表'!B20/2)-1)),0)</f>
        <v>812</v>
      </c>
      <c r="D43" s="282"/>
      <c r="E43" s="282"/>
      <c r="F43" s="283"/>
      <c r="G43" s="3214"/>
    </row>
    <row r="44" spans="1:7" ht="13.5" customHeight="1">
      <c r="A44" s="954" t="s">
        <v>793</v>
      </c>
      <c r="B44" s="259" t="s">
        <v>2416</v>
      </c>
      <c r="C44" s="282">
        <f ca="1">ROUND(IF('数据-取费表'!B22&lt;=1,C40*F22*'数据-取费表'!B20/2,C40*(POWER((1+F22),'数据-取费表'!B20/2)-1)),4)</f>
        <v>1.4E-3</v>
      </c>
      <c r="D44" s="282"/>
      <c r="E44" s="282"/>
      <c r="F44" s="283"/>
      <c r="G44" s="3215"/>
    </row>
    <row r="45" spans="1:7" s="258" customFormat="1" ht="13.5" customHeight="1">
      <c r="A45" s="299" t="s">
        <v>2417</v>
      </c>
      <c r="B45" s="288" t="s">
        <v>2383</v>
      </c>
      <c r="C45" s="289">
        <f ca="1">C46</f>
        <v>146763</v>
      </c>
      <c r="D45" s="279">
        <f ca="1">C47</f>
        <v>7.4999999999999997E-3</v>
      </c>
      <c r="E45" s="280" t="s">
        <v>2409</v>
      </c>
      <c r="F45" s="290"/>
      <c r="G45" s="291" t="s">
        <v>2418</v>
      </c>
    </row>
    <row r="46" spans="1:7" s="258" customFormat="1" ht="13.5" customHeight="1">
      <c r="A46" s="954" t="s">
        <v>791</v>
      </c>
      <c r="B46" s="292" t="s">
        <v>2419</v>
      </c>
      <c r="C46" s="293">
        <f ca="1">ROUND((C33+C39)*F27,0)</f>
        <v>146763</v>
      </c>
      <c r="D46" s="307"/>
      <c r="E46" s="280"/>
      <c r="F46" s="290"/>
      <c r="G46" s="291"/>
    </row>
    <row r="47" spans="1:7" s="258" customFormat="1" ht="13.5" customHeight="1">
      <c r="A47" s="954" t="s">
        <v>792</v>
      </c>
      <c r="B47" s="292" t="s">
        <v>2420</v>
      </c>
      <c r="C47" s="282">
        <f ca="1">ROUND(C40*F27,4)</f>
        <v>7.4999999999999997E-3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839063</v>
      </c>
      <c r="D49" s="276"/>
      <c r="E49" s="276"/>
      <c r="F49" s="308"/>
      <c r="G49" s="278" t="s">
        <v>2424</v>
      </c>
    </row>
    <row r="50" spans="1:7" s="302" customFormat="1">
      <c r="A50" s="299" t="s">
        <v>2425</v>
      </c>
      <c r="B50" s="254" t="s">
        <v>2426</v>
      </c>
      <c r="C50" s="276"/>
      <c r="D50" s="276"/>
      <c r="E50" s="276"/>
      <c r="F50" s="308">
        <f>IF('数据-取费表'!B24=0,'数据-取费表'!N16,1)</f>
        <v>0.88</v>
      </c>
      <c r="G50" s="291"/>
    </row>
    <row r="51" spans="1:7" ht="16.5" customHeight="1">
      <c r="A51" s="299" t="s">
        <v>2428</v>
      </c>
      <c r="B51" s="254" t="s">
        <v>2463</v>
      </c>
      <c r="C51" s="276">
        <f ca="1">ROUND(C49*F50,0)</f>
        <v>738375</v>
      </c>
      <c r="D51" s="276"/>
      <c r="E51" s="276"/>
      <c r="F51" s="308"/>
      <c r="G51" s="278" t="s">
        <v>2430</v>
      </c>
    </row>
    <row r="52" spans="1:7" s="252" customFormat="1" ht="16.5" thickBot="1">
      <c r="A52" s="309" t="s">
        <v>2431</v>
      </c>
      <c r="B52" s="310"/>
      <c r="C52" s="311">
        <f ca="1">C31+C51</f>
        <v>12603259</v>
      </c>
      <c r="D52" s="310"/>
      <c r="E52" s="310"/>
      <c r="F52" s="310"/>
      <c r="G52" s="312"/>
    </row>
    <row r="55" spans="1:7" ht="15">
      <c r="B55" s="314" t="s">
        <v>2432</v>
      </c>
      <c r="C55" s="315"/>
    </row>
    <row r="56" spans="1:7">
      <c r="B56" s="317" t="s">
        <v>1513</v>
      </c>
      <c r="C56" s="319">
        <f ca="1">1-C57</f>
        <v>0.94100000000000006</v>
      </c>
    </row>
    <row r="57" spans="1:7">
      <c r="B57" s="317" t="s">
        <v>1514</v>
      </c>
      <c r="C57" s="318">
        <f ca="1">ROUND(C51/C52,3)</f>
        <v>5.8999999999999997E-2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2464</v>
      </c>
      <c r="B1" s="1584"/>
      <c r="C1" s="1585"/>
      <c r="D1" s="1583"/>
      <c r="E1" s="320"/>
      <c r="F1" s="320"/>
      <c r="G1" s="1584"/>
      <c r="H1" s="320"/>
      <c r="I1" s="320"/>
      <c r="J1" s="320"/>
      <c r="K1" s="320">
        <f>MATCH(C1,'数据-取费表'!A6:A16,0)+5</f>
        <v>7</v>
      </c>
    </row>
    <row r="2" spans="1:33" ht="18" customHeight="1">
      <c r="A2" s="245" t="s">
        <v>2332</v>
      </c>
      <c r="B2" s="248">
        <f ca="1">C32</f>
        <v>33312</v>
      </c>
      <c r="C2" s="320" t="s">
        <v>2465</v>
      </c>
      <c r="D2" s="320"/>
      <c r="E2" s="320"/>
      <c r="F2" s="320"/>
      <c r="G2" s="320"/>
      <c r="H2" s="320"/>
      <c r="I2" s="320"/>
      <c r="J2" s="320"/>
      <c r="K2" s="320"/>
    </row>
    <row r="3" spans="1:33" ht="18" customHeight="1" thickBot="1">
      <c r="A3" s="247" t="s">
        <v>2334</v>
      </c>
      <c r="B3" s="248">
        <f ca="1">ROUND(B2*10000/IF(C1="",'数据-汇总表'!E3,INDIRECT("'数据-取费表'!K"&amp;$K$1)),0)</f>
        <v>2001803</v>
      </c>
      <c r="C3" s="320" t="s">
        <v>2466</v>
      </c>
      <c r="D3" s="320"/>
      <c r="E3" s="320"/>
      <c r="F3" s="320"/>
      <c r="G3" s="320"/>
      <c r="H3" s="320"/>
      <c r="I3" s="320"/>
      <c r="J3" s="320"/>
      <c r="K3" s="320"/>
    </row>
    <row r="4" spans="1:33" s="959" customFormat="1" ht="16.5" customHeight="1">
      <c r="A4" s="956" t="s">
        <v>2467</v>
      </c>
      <c r="B4" s="957"/>
      <c r="C4" s="999">
        <f>SUM(C8:K8)</f>
        <v>0</v>
      </c>
      <c r="D4" s="957"/>
      <c r="E4" s="957"/>
      <c r="F4" s="957"/>
      <c r="G4" s="957"/>
      <c r="H4" s="957"/>
      <c r="I4" s="957"/>
      <c r="J4" s="957"/>
      <c r="K4" s="958"/>
    </row>
    <row r="5" spans="1:33" s="963" customFormat="1" ht="24.75">
      <c r="A5" s="960" t="s">
        <v>2468</v>
      </c>
      <c r="B5" s="961" t="s">
        <v>2469</v>
      </c>
      <c r="C5" s="2561" t="s">
        <v>2470</v>
      </c>
      <c r="D5" s="2561" t="s">
        <v>2471</v>
      </c>
      <c r="E5" s="2561" t="s">
        <v>2472</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2476</v>
      </c>
      <c r="B8" s="177" t="s">
        <v>2477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1334</v>
      </c>
      <c r="B11" s="975" t="s">
        <v>2485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2486</v>
      </c>
      <c r="C12" s="24">
        <f ca="1">ROUND(C11*F12,0)</f>
        <v>0</v>
      </c>
      <c r="D12" s="976"/>
      <c r="E12" s="375"/>
      <c r="F12" s="979">
        <f>'数据-取费表'!B33</f>
        <v>0.03</v>
      </c>
      <c r="G12" s="8" t="s">
        <v>2487</v>
      </c>
      <c r="H12" s="971"/>
      <c r="I12" s="971"/>
      <c r="J12" s="971"/>
      <c r="K12" s="972"/>
    </row>
    <row r="13" spans="1:33" s="978" customFormat="1" ht="13.5" customHeight="1">
      <c r="A13" s="974" t="s">
        <v>1336</v>
      </c>
      <c r="B13" s="975" t="s">
        <v>2488</v>
      </c>
      <c r="C13" s="24">
        <f ca="1">ROUND(IF(C1="",SUMIF('数据-取费表'!C:C,"住宅",'数据-取费表'!P:P)*F13,IF(INDIRECT("'数据-取费表'!c"&amp;$K$1)="住宅",INDIRECT("'数据-取费表'!P"&amp;$K$1)*F13,0)),0)</f>
        <v>0</v>
      </c>
      <c r="D13" s="1036"/>
      <c r="E13" s="375"/>
      <c r="F13" s="979">
        <f>'数据-取费表'!B34</f>
        <v>0.03</v>
      </c>
      <c r="G13" s="8" t="s">
        <v>2489</v>
      </c>
      <c r="H13" s="971"/>
      <c r="I13" s="971"/>
      <c r="J13" s="971"/>
      <c r="K13" s="972"/>
    </row>
    <row r="14" spans="1:33" s="980" customFormat="1" ht="13.5" customHeight="1">
      <c r="A14" s="974" t="s">
        <v>1337</v>
      </c>
      <c r="B14" s="975" t="s">
        <v>2490</v>
      </c>
      <c r="C14" s="24">
        <f ca="1">ROUND(D14*E14*F11/10000,0)</f>
        <v>0</v>
      </c>
      <c r="D14" s="1036">
        <f ca="1">IF(C1="",'数据-汇总表'!E3,INDIRECT("'数据-取费表'!K"&amp;$K$1)+INDIRECT("'数据-取费表'!S"&amp;$K$1))</f>
        <v>166.41</v>
      </c>
      <c r="E14" s="24">
        <f>'数据-取费表'!B35</f>
        <v>200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2492</v>
      </c>
      <c r="C15" s="986">
        <f ca="1">ROUND(C11*F15,0)</f>
        <v>0</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0</v>
      </c>
      <c r="D17" s="1036">
        <f ca="1">D14</f>
        <v>166.41</v>
      </c>
      <c r="E17" s="24">
        <f>'数据-取费表'!B32</f>
        <v>0</v>
      </c>
      <c r="F17" s="981"/>
      <c r="G17" s="140" t="s">
        <v>2496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2497</v>
      </c>
      <c r="C18" s="24">
        <f ca="1">C19+C20-IF(C1="",'数据-取费表'!B29,IF(G18="已全部缴纳",C19+C20,H18))</f>
        <v>-26623</v>
      </c>
      <c r="D18" s="1036"/>
      <c r="E18" s="24"/>
      <c r="F18" s="979"/>
      <c r="G18" s="2563"/>
      <c r="H18" s="1580"/>
      <c r="I18" s="2564" t="s">
        <v>2498</v>
      </c>
      <c r="J18" s="982"/>
      <c r="K18" s="983"/>
    </row>
    <row r="19" spans="1:33" s="978" customFormat="1" ht="13.5" customHeight="1">
      <c r="A19" s="974" t="s">
        <v>805</v>
      </c>
      <c r="B19" s="975" t="s">
        <v>2499</v>
      </c>
      <c r="C19" s="24">
        <f ca="1">ROUND(D19*E19/10000,0)</f>
        <v>3</v>
      </c>
      <c r="D19" s="1036">
        <f ca="1">IF(C1="",'数据-汇总表'!E5,IF(INDIRECT("'数据-取费表'!c"&amp;$K$1)="住宅",INDIRECT("'数据-取费表'!k"&amp;$K$1),0))</f>
        <v>166.41</v>
      </c>
      <c r="E19" s="24">
        <f>'数据-取费表'!B27</f>
        <v>160</v>
      </c>
      <c r="F19" s="979"/>
      <c r="G19" s="15"/>
      <c r="H19" s="1582"/>
      <c r="I19" s="984"/>
      <c r="J19" s="984"/>
      <c r="K19" s="985"/>
    </row>
    <row r="20" spans="1:33" s="978" customFormat="1" ht="13.5" customHeight="1">
      <c r="A20" s="974" t="s">
        <v>806</v>
      </c>
      <c r="B20" s="975" t="s">
        <v>2500</v>
      </c>
      <c r="C20" s="24">
        <f ca="1">ROUND(D20*E20/10000,0)</f>
        <v>0</v>
      </c>
      <c r="D20" s="1036">
        <f ca="1">IF(C1="",'数据-汇总表'!E6,IF(INDIRECT("'数据-取费表'!c"&amp;$K$1)="住宅",INDIRECT("'数据-取费表'!s"&amp;$K$1),INDIRECT("'数据-取费表'!k"&amp;$K$1)+INDIRECT("'数据-取费表'!s"&amp;$K$1)))</f>
        <v>0</v>
      </c>
      <c r="E20" s="24">
        <f>'数据-取费表'!B28</f>
        <v>200</v>
      </c>
      <c r="F20" s="979"/>
      <c r="G20" s="15"/>
      <c r="H20" s="984"/>
      <c r="I20" s="984"/>
      <c r="J20" s="984"/>
      <c r="K20" s="985"/>
    </row>
    <row r="21" spans="1:33" s="978" customFormat="1" ht="13.5" customHeight="1">
      <c r="A21" s="964" t="s">
        <v>802</v>
      </c>
      <c r="B21" s="988" t="s">
        <v>2501</v>
      </c>
      <c r="C21" s="989">
        <f ca="1">C16+C17+C18</f>
        <v>-26623</v>
      </c>
      <c r="D21" s="990"/>
      <c r="E21" s="325"/>
      <c r="F21" s="325"/>
      <c r="G21" s="140" t="s">
        <v>2502</v>
      </c>
      <c r="H21" s="982"/>
      <c r="I21" s="982"/>
      <c r="J21" s="982"/>
      <c r="K21" s="983"/>
    </row>
    <row r="22" spans="1:33" s="978" customFormat="1" ht="13.5" customHeight="1">
      <c r="A22" s="964" t="s">
        <v>2474</v>
      </c>
      <c r="B22" s="988" t="s">
        <v>2503</v>
      </c>
      <c r="C22" s="989">
        <f ca="1">ROUND(C21*F22,0)</f>
        <v>-799</v>
      </c>
      <c r="D22" s="325"/>
      <c r="E22" s="325"/>
      <c r="F22" s="991">
        <f>'数据-取费表'!B37</f>
        <v>0.03</v>
      </c>
      <c r="G22" s="8" t="s">
        <v>2504</v>
      </c>
      <c r="H22" s="971"/>
      <c r="I22" s="971"/>
      <c r="J22" s="971"/>
      <c r="K22" s="972"/>
    </row>
    <row r="23" spans="1:33" s="978" customFormat="1" ht="13.5" customHeight="1">
      <c r="A23" s="964" t="s">
        <v>2476</v>
      </c>
      <c r="B23" s="988" t="s">
        <v>2505</v>
      </c>
      <c r="C23" s="989">
        <f ca="1">ROUND(C4*F23*F11,0)</f>
        <v>0</v>
      </c>
      <c r="D23" s="325"/>
      <c r="E23" s="325"/>
      <c r="F23" s="991">
        <f>'数据-取费表'!B38</f>
        <v>0.03</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2512</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2513</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2514</v>
      </c>
      <c r="B28" s="2566" t="s">
        <v>2515</v>
      </c>
      <c r="C28" s="331">
        <f ca="1">C30</f>
        <v>-6856</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2516</v>
      </c>
      <c r="C29" s="328">
        <f ca="1">ROUND((1+C24)*F28*'数据-取费表'!B24/'数据-取费表'!B20,4)</f>
        <v>0</v>
      </c>
      <c r="D29" s="328"/>
      <c r="E29" s="329"/>
      <c r="F29" s="334"/>
      <c r="G29" s="140" t="s">
        <v>2517</v>
      </c>
      <c r="H29" s="982"/>
      <c r="I29" s="982"/>
      <c r="J29" s="982"/>
      <c r="K29" s="983"/>
    </row>
    <row r="30" spans="1:33" s="335" customFormat="1" ht="13.5" customHeight="1">
      <c r="A30" s="974" t="s">
        <v>804</v>
      </c>
      <c r="B30" s="997" t="s">
        <v>2518</v>
      </c>
      <c r="C30" s="336">
        <f ca="1">ROUND((C21+C22+C23)*F28,0)</f>
        <v>-6856</v>
      </c>
      <c r="D30" s="328"/>
      <c r="E30" s="329"/>
      <c r="F30" s="334"/>
      <c r="G30" s="140"/>
      <c r="H30" s="982"/>
      <c r="I30" s="982"/>
      <c r="J30" s="982"/>
      <c r="K30" s="983"/>
    </row>
    <row r="31" spans="1:33" s="978" customFormat="1" ht="13.5" customHeight="1" thickBot="1">
      <c r="A31" s="2567" t="s">
        <v>2519</v>
      </c>
      <c r="B31" s="1008" t="s">
        <v>2520</v>
      </c>
      <c r="C31" s="1009">
        <f>ROUND(C4*F31/(1+'数据-取费表'!C42),0)</f>
        <v>0</v>
      </c>
      <c r="D31" s="1010"/>
      <c r="E31" s="1011"/>
      <c r="F31" s="1012">
        <f>'数据-取费表'!B41</f>
        <v>5.6000000000000001E-2</v>
      </c>
      <c r="G31" s="1013" t="s">
        <v>2521</v>
      </c>
      <c r="H31" s="1014"/>
      <c r="I31" s="1014"/>
      <c r="J31" s="1014"/>
      <c r="K31" s="1015"/>
    </row>
    <row r="32" spans="1:33" s="973" customFormat="1" ht="13.5" customHeight="1" thickBot="1">
      <c r="A32" s="1003" t="s">
        <v>2522</v>
      </c>
      <c r="B32" s="1004"/>
      <c r="C32" s="1005">
        <f ca="1">ROUND((C4-C21-C22-C23-C25-C28-C31)/(1+C24+D25+D28),0)</f>
        <v>33312</v>
      </c>
      <c r="D32" s="1004"/>
      <c r="E32" s="1004"/>
      <c r="F32" s="1004"/>
      <c r="G32" s="1006" t="s">
        <v>2523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70" sqref="G70:G78"/>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2809</v>
      </c>
      <c r="B1" s="241"/>
      <c r="C1" s="245" t="s">
        <v>2810</v>
      </c>
      <c r="D1" s="388">
        <f>SUM(D29:D30,D33:D39)</f>
        <v>166.41</v>
      </c>
      <c r="E1" s="2722"/>
      <c r="F1" s="2722"/>
      <c r="G1" s="2722"/>
      <c r="H1" s="2722"/>
      <c r="I1" s="2722"/>
      <c r="J1" s="2722"/>
      <c r="K1" s="1373"/>
      <c r="L1" s="2723" t="s">
        <v>2811</v>
      </c>
      <c r="M1" s="1083">
        <f>SUMPRODUCT((区片价!B5:B9=I2)*(区片价!C3:F3=E2)*(区片价!C5:F9))</f>
        <v>0</v>
      </c>
      <c r="N1" s="1086">
        <f>SUMPRODUCT((因素修正幅度!B5:B9=I2)*(因素修正幅度!C3:F3=E2)*(因素修正幅度!C5:F9))</f>
        <v>0</v>
      </c>
      <c r="O1" s="2724"/>
      <c r="P1" s="2724"/>
      <c r="Q1" s="1373"/>
      <c r="R1" s="1605" t="s">
        <v>2812</v>
      </c>
      <c r="S1" s="1605" t="s">
        <v>2813</v>
      </c>
      <c r="T1" s="1605" t="s">
        <v>2814</v>
      </c>
      <c r="U1" s="1605" t="s">
        <v>2815</v>
      </c>
      <c r="V1" s="1605" t="s">
        <v>2816</v>
      </c>
      <c r="W1" s="1609"/>
      <c r="X1" s="1609"/>
      <c r="Y1" s="1609"/>
      <c r="Z1" s="1609"/>
      <c r="AA1" s="1609"/>
      <c r="AB1" s="1609"/>
      <c r="AC1" s="1610"/>
      <c r="AD1" s="1611"/>
      <c r="AE1" s="1611"/>
      <c r="AF1" s="1611"/>
      <c r="AG1" s="1611"/>
      <c r="AH1" s="1611"/>
      <c r="AI1" s="1611"/>
      <c r="AJ1" s="1612"/>
    </row>
    <row r="2" spans="1:36" ht="15.75">
      <c r="A2" s="245" t="s">
        <v>2817</v>
      </c>
      <c r="B2" s="248">
        <f ca="1">C26</f>
        <v>751</v>
      </c>
      <c r="C2" s="2726" t="s">
        <v>2818</v>
      </c>
      <c r="D2" s="2727" t="s">
        <v>2819</v>
      </c>
      <c r="E2" s="2728" t="s">
        <v>3060</v>
      </c>
      <c r="F2" s="2727" t="s">
        <v>2820</v>
      </c>
      <c r="G2" s="2729" t="str">
        <f>IF(E2="商业",项目基本情况!B37,IF(E2="办公",项目基本情况!C37,IF(E2="住宅",项目基本情况!D37,项目基本情况!E37)))</f>
        <v>二级</v>
      </c>
      <c r="H2" s="2727" t="s">
        <v>2821</v>
      </c>
      <c r="I2" s="2729" t="str">
        <f>IF(E2="商业",项目基本情况!B38,IF(E2="办公",项目基本情况!C38,IF(E2="住宅",项目基本情况!D38,项目基本情况!E38)))</f>
        <v>Ⅱ—08</v>
      </c>
      <c r="J2" s="2730"/>
      <c r="K2" s="1373"/>
      <c r="L2" s="2731" t="s">
        <v>2822</v>
      </c>
      <c r="M2" s="1084">
        <f>SUMPRODUCT((区片价!B10:B28=I2)*(区片价!C3:F3=E2)*(区片价!C10:F28))</f>
        <v>24700</v>
      </c>
      <c r="N2" s="1086">
        <f>SUMPRODUCT((因素修正幅度!B10:B28=I2)*(因素修正幅度!C3:F3=E2)*(因素修正幅度!C10:F28))</f>
        <v>0.1</v>
      </c>
      <c r="O2" s="1373"/>
      <c r="P2" s="1373"/>
      <c r="Q2" s="1373"/>
      <c r="R2" s="1605">
        <v>1</v>
      </c>
      <c r="S2" s="1605">
        <f>ROUND(IF(G3&gt;1,IF(R2&lt;7,SUMPRODUCT((B93:B98=R2)*(C92:N92=G2)*(C93:N98)),SUMIF(C92:N92,G2,C100:N100)),IF(R2&lt;7,SUMPRODUCT((B102:B107=R2)*(C92:N92=G2)*(C102:N107)),SUMIF(C92:N92,G2,C109:N109))),4)</f>
        <v>1.9361999999999999</v>
      </c>
      <c r="T2" s="1605">
        <f ca="1">ROUND($C$5*$C$18*$C$19*$C$20*S2*$C$24,0)</f>
        <v>100287</v>
      </c>
      <c r="U2" s="1606"/>
      <c r="V2" s="1605">
        <f ca="1">ROUND(T2*U2/10000,0)</f>
        <v>0</v>
      </c>
      <c r="W2" s="1609"/>
      <c r="X2" s="1609"/>
      <c r="Y2" s="1609"/>
      <c r="Z2" s="1609"/>
      <c r="AA2" s="1609"/>
      <c r="AB2" s="1609"/>
      <c r="AC2" s="1610"/>
      <c r="AD2" s="1611"/>
      <c r="AE2" s="1611"/>
      <c r="AF2" s="1611"/>
      <c r="AG2" s="1611"/>
      <c r="AH2" s="1611"/>
      <c r="AI2" s="1611"/>
      <c r="AJ2" s="1612"/>
    </row>
    <row r="3" spans="1:36" ht="25.5">
      <c r="A3" s="247" t="s">
        <v>2823</v>
      </c>
      <c r="B3" s="248">
        <f ca="1">ROUND(B2*10000/D1,0)</f>
        <v>45129</v>
      </c>
      <c r="C3" s="2726" t="s">
        <v>2824</v>
      </c>
      <c r="D3" s="2727" t="s">
        <v>2825</v>
      </c>
      <c r="E3" s="2732" t="s">
        <v>3061</v>
      </c>
      <c r="F3" s="2733" t="s">
        <v>3082</v>
      </c>
      <c r="G3" s="916">
        <f>IF(F3="宗地容积率",'数据-汇总表'!I4,IF(F3="估价对象容积率",'数据-汇总表'!I6,'数据-汇总表'!I7))</f>
        <v>4.82</v>
      </c>
      <c r="H3" s="198" t="s">
        <v>2826</v>
      </c>
      <c r="I3" s="947"/>
      <c r="J3" s="2730" t="s">
        <v>2827</v>
      </c>
      <c r="K3" s="1373"/>
      <c r="L3" s="2731" t="s">
        <v>2828</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73540</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43"/>
      <c r="B4" s="3244"/>
      <c r="C4" s="3244"/>
      <c r="D4" s="3245"/>
      <c r="E4" s="3245"/>
      <c r="F4" s="3245"/>
      <c r="G4" s="3245"/>
      <c r="H4" s="3245"/>
      <c r="I4" s="3245"/>
      <c r="J4" s="3246"/>
      <c r="K4" s="1373"/>
      <c r="L4" s="2731" t="s">
        <v>2829</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60052</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2830</v>
      </c>
      <c r="C5" s="917">
        <f>ROUND(IF(E2="商业",IF(F16="增加",C6*C7+C16,C6*C7-C16),IF(E2="住宅",IF(F16="增加",C6*C12+C16,C6*C12-C16),IF(F16="增加",C6+C16,C6-C16))),0)</f>
        <v>32876</v>
      </c>
      <c r="D5" s="1790">
        <f>ROUND(IF(E2="商业",IF(F16="增加",C6+C16,C6-C16)),0)</f>
        <v>0</v>
      </c>
      <c r="E5" s="2736"/>
      <c r="F5" s="2736"/>
      <c r="G5" s="2737"/>
      <c r="H5" s="2737"/>
      <c r="I5" s="2737"/>
      <c r="J5" s="2738"/>
      <c r="K5" s="2739"/>
      <c r="L5" s="2731" t="s">
        <v>2831</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49838</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2832</v>
      </c>
      <c r="B6" s="2745" t="s">
        <v>2833</v>
      </c>
      <c r="C6" s="918">
        <f>SUMIF(L1:L12,G2,M1:M12)</f>
        <v>24700</v>
      </c>
      <c r="D6" s="2746" t="s">
        <v>2834</v>
      </c>
      <c r="E6" s="2747"/>
      <c r="F6" s="2747"/>
      <c r="G6" s="2748"/>
      <c r="H6" s="2748"/>
      <c r="I6" s="2748"/>
      <c r="J6" s="2749"/>
      <c r="K6" s="1845"/>
      <c r="L6" s="2731" t="s">
        <v>2835</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43597</v>
      </c>
      <c r="U6" s="1606"/>
      <c r="V6" s="1605">
        <f t="shared" ca="1" si="1"/>
        <v>0</v>
      </c>
      <c r="W6" s="1609"/>
      <c r="X6" s="1609"/>
      <c r="Y6" s="1609"/>
      <c r="Z6" s="1609"/>
      <c r="AA6" s="1609"/>
      <c r="AB6" s="1609"/>
      <c r="AC6" s="2740"/>
      <c r="AD6" s="2741"/>
      <c r="AE6" s="2741"/>
      <c r="AF6" s="2741"/>
      <c r="AG6" s="2741"/>
      <c r="AH6" s="2741"/>
      <c r="AI6" s="2741"/>
      <c r="AJ6" s="2742"/>
    </row>
    <row r="7" spans="1:36" ht="24">
      <c r="A7" s="3247" t="str">
        <f>IF(E2="商业",IF(C8="不临58条商业街","",2),"")</f>
        <v/>
      </c>
      <c r="B7" s="2750" t="s">
        <v>2836</v>
      </c>
      <c r="C7" s="919" t="e">
        <f>IF(C8="不临58条商业街",1,ROUND(1+(1.6*E8+1.2*E9+0.8*E10+0.4*E11)*C9,4))</f>
        <v>#DIV/0!</v>
      </c>
      <c r="D7" s="2751" t="s">
        <v>2837</v>
      </c>
      <c r="E7" s="948"/>
      <c r="F7" s="2752"/>
      <c r="G7" s="2753"/>
      <c r="H7" s="2753"/>
      <c r="I7" s="2753"/>
      <c r="J7" s="2754"/>
      <c r="K7" s="1845"/>
      <c r="L7" s="2731" t="s">
        <v>2838</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39406</v>
      </c>
      <c r="U7" s="1606"/>
      <c r="V7" s="1605">
        <f t="shared" ca="1" si="1"/>
        <v>0</v>
      </c>
      <c r="W7" s="1819" t="s">
        <v>2839</v>
      </c>
      <c r="X7" s="1607" t="str">
        <f>G2</f>
        <v>二级</v>
      </c>
      <c r="Y7" s="1607" t="s">
        <v>2840</v>
      </c>
      <c r="Z7" s="1608">
        <f>G3</f>
        <v>4.82</v>
      </c>
      <c r="AA7" s="1609"/>
      <c r="AB7" s="1609"/>
      <c r="AC7" s="1610"/>
      <c r="AD7" s="1611"/>
      <c r="AE7" s="1611"/>
      <c r="AF7" s="1611"/>
      <c r="AG7" s="1611"/>
      <c r="AH7" s="1611"/>
      <c r="AI7" s="1611"/>
      <c r="AJ7" s="1612"/>
    </row>
    <row r="8" spans="1:36" ht="15">
      <c r="A8" s="3248"/>
      <c r="B8" s="198" t="s">
        <v>2841</v>
      </c>
      <c r="C8" s="2755"/>
      <c r="D8" s="920" t="s">
        <v>139</v>
      </c>
      <c r="E8" s="921" t="e">
        <f>ROUND(C11/E7,4)</f>
        <v>#DIV/0!</v>
      </c>
      <c r="F8" s="2756" t="s">
        <v>2842</v>
      </c>
      <c r="G8" s="2757"/>
      <c r="H8" s="2757"/>
      <c r="I8" s="2757"/>
      <c r="J8" s="2758"/>
      <c r="K8" s="1373"/>
      <c r="L8" s="2731" t="s">
        <v>2843</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40" t="s">
        <v>2844</v>
      </c>
      <c r="X8" s="3241"/>
      <c r="Y8" s="1613" t="s">
        <v>2845</v>
      </c>
      <c r="Z8" s="1613" t="s">
        <v>2846</v>
      </c>
      <c r="AA8" s="1613" t="s">
        <v>2847</v>
      </c>
      <c r="AB8" s="1613" t="s">
        <v>2848</v>
      </c>
      <c r="AC8" s="1613" t="s">
        <v>2849</v>
      </c>
      <c r="AD8" s="1613" t="s">
        <v>2850</v>
      </c>
      <c r="AE8" s="1613" t="s">
        <v>2851</v>
      </c>
      <c r="AF8" s="1613" t="s">
        <v>2852</v>
      </c>
      <c r="AG8" s="1613" t="s">
        <v>2853</v>
      </c>
      <c r="AH8" s="1613" t="s">
        <v>2854</v>
      </c>
      <c r="AI8" s="1613" t="s">
        <v>2855</v>
      </c>
      <c r="AJ8" s="1613" t="s">
        <v>2856</v>
      </c>
    </row>
    <row r="9" spans="1:36" ht="15">
      <c r="A9" s="3248"/>
      <c r="B9" s="198" t="s">
        <v>2857</v>
      </c>
      <c r="C9" s="922">
        <f>SUMIF(修正!C59:C119,C8,修正!E59:E119)</f>
        <v>0</v>
      </c>
      <c r="D9" s="200" t="s">
        <v>140</v>
      </c>
      <c r="E9" s="200" t="e">
        <f>ROUND(C11/E7,4)</f>
        <v>#DIV/0!</v>
      </c>
      <c r="F9" s="2756" t="s">
        <v>2858</v>
      </c>
      <c r="G9" s="2757"/>
      <c r="H9" s="2757"/>
      <c r="I9" s="2757"/>
      <c r="J9" s="2758"/>
      <c r="K9" s="1373"/>
      <c r="L9" s="2731" t="s">
        <v>2859</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42" t="s">
        <v>2860</v>
      </c>
      <c r="X9" s="1614" t="s">
        <v>2861</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8"/>
      <c r="B10" s="198" t="s">
        <v>2862</v>
      </c>
      <c r="C10" s="200">
        <f>SUMIF(修正!C59:C119,C8,修正!F59:F119)</f>
        <v>0</v>
      </c>
      <c r="D10" s="200" t="s">
        <v>141</v>
      </c>
      <c r="E10" s="200" t="e">
        <f>ROUND(C11/E7,4)</f>
        <v>#DIV/0!</v>
      </c>
      <c r="F10" s="2756" t="s">
        <v>2863</v>
      </c>
      <c r="G10" s="2757"/>
      <c r="H10" s="2757"/>
      <c r="I10" s="2757"/>
      <c r="J10" s="2758"/>
      <c r="K10" s="1373"/>
      <c r="L10" s="2731" t="s">
        <v>2864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4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8"/>
      <c r="B11" s="2759" t="s">
        <v>2865</v>
      </c>
      <c r="C11" s="923">
        <f>C10/4</f>
        <v>0</v>
      </c>
      <c r="D11" s="923" t="s">
        <v>142</v>
      </c>
      <c r="E11" s="923" t="e">
        <f>ROUND(C11/E7,4)</f>
        <v>#DIV/0!</v>
      </c>
      <c r="F11" s="2760" t="s">
        <v>2866</v>
      </c>
      <c r="G11" s="2761"/>
      <c r="H11" s="2761"/>
      <c r="I11" s="2761"/>
      <c r="J11" s="2762"/>
      <c r="K11" s="1373"/>
      <c r="L11" s="2731" t="s">
        <v>2867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42" t="s">
        <v>2868</v>
      </c>
      <c r="X11" s="1617" t="s">
        <v>2869</v>
      </c>
      <c r="Y11" s="1618">
        <f>$G$3</f>
        <v>4.82</v>
      </c>
      <c r="Z11" s="1618">
        <f t="shared" ref="Z11:AJ11" si="3">$G$3</f>
        <v>4.82</v>
      </c>
      <c r="AA11" s="1618">
        <f t="shared" si="3"/>
        <v>4.82</v>
      </c>
      <c r="AB11" s="1618">
        <f t="shared" si="3"/>
        <v>4.82</v>
      </c>
      <c r="AC11" s="1618">
        <f t="shared" si="3"/>
        <v>4.82</v>
      </c>
      <c r="AD11" s="1618">
        <f t="shared" si="3"/>
        <v>4.82</v>
      </c>
      <c r="AE11" s="1618">
        <f t="shared" si="3"/>
        <v>4.82</v>
      </c>
      <c r="AF11" s="1618">
        <f t="shared" si="3"/>
        <v>4.82</v>
      </c>
      <c r="AG11" s="1618">
        <f t="shared" si="3"/>
        <v>4.82</v>
      </c>
      <c r="AH11" s="1618">
        <f t="shared" si="3"/>
        <v>4.82</v>
      </c>
      <c r="AI11" s="1618">
        <f t="shared" si="3"/>
        <v>4.82</v>
      </c>
      <c r="AJ11" s="1618">
        <f t="shared" si="3"/>
        <v>4.82</v>
      </c>
    </row>
    <row r="12" spans="1:36" ht="25.5" thickBot="1">
      <c r="A12" s="3247" t="s">
        <v>2870</v>
      </c>
      <c r="B12" s="2763" t="s">
        <v>2871</v>
      </c>
      <c r="C12" s="919">
        <f>ROUND(C15*D15*E15*F15*G15*H15*I15*J15,4)</f>
        <v>1.331</v>
      </c>
      <c r="D12" s="2764" t="s">
        <v>2872</v>
      </c>
      <c r="E12" s="2765"/>
      <c r="F12" s="2765"/>
      <c r="G12" s="2766"/>
      <c r="H12" s="2766"/>
      <c r="I12" s="2766"/>
      <c r="J12" s="2767"/>
      <c r="K12" s="1373"/>
      <c r="L12" s="2768" t="s">
        <v>2873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42"/>
      <c r="X12" s="1619" t="s">
        <v>2874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49"/>
      <c r="B13" s="2769" t="s">
        <v>2875</v>
      </c>
      <c r="C13" s="2770" t="s">
        <v>2876</v>
      </c>
      <c r="D13" s="1811" t="s">
        <v>2877</v>
      </c>
      <c r="E13" s="1811" t="s">
        <v>2878</v>
      </c>
      <c r="F13" s="30" t="s">
        <v>2879</v>
      </c>
      <c r="G13" s="2771" t="s">
        <v>2880</v>
      </c>
      <c r="H13" s="2771" t="s">
        <v>2880</v>
      </c>
      <c r="I13" s="2771" t="s">
        <v>2880</v>
      </c>
      <c r="J13" s="2772" t="s">
        <v>2880</v>
      </c>
      <c r="K13" s="1373"/>
      <c r="L13" s="1373"/>
      <c r="M13" s="1373"/>
      <c r="N13" s="1373"/>
      <c r="O13" s="1373"/>
      <c r="P13" s="1373"/>
      <c r="Q13" s="1373"/>
      <c r="R13" s="1605">
        <v>12</v>
      </c>
      <c r="S13" s="1606"/>
      <c r="T13" s="1605">
        <f t="shared" ca="1" si="0"/>
        <v>0</v>
      </c>
      <c r="U13" s="1606"/>
      <c r="V13" s="1605">
        <f t="shared" ca="1" si="1"/>
        <v>0</v>
      </c>
      <c r="W13" s="3242"/>
      <c r="X13" s="1619"/>
      <c r="Y13" s="1616">
        <f>(-0.163*(Y12^2)-0.59*Y12+7617)*(10^(-4))/Y11</f>
        <v>0.15802904564315354</v>
      </c>
      <c r="Z13" s="1616">
        <f t="shared" ref="Z13:AJ13" si="5">(-0.163*(Z12^2)-0.59*Z12+7617)*(10^(-4))/Z11</f>
        <v>0.15802904564315354</v>
      </c>
      <c r="AA13" s="1616">
        <f t="shared" si="5"/>
        <v>0.15802904564315354</v>
      </c>
      <c r="AB13" s="1616">
        <f t="shared" si="5"/>
        <v>0.15802904564315354</v>
      </c>
      <c r="AC13" s="1616">
        <f t="shared" si="5"/>
        <v>0.15802904564315354</v>
      </c>
      <c r="AD13" s="1616">
        <f t="shared" si="5"/>
        <v>0.15802904564315354</v>
      </c>
      <c r="AE13" s="1616">
        <f t="shared" si="5"/>
        <v>0.15802904564315354</v>
      </c>
      <c r="AF13" s="1616">
        <f t="shared" si="5"/>
        <v>0.15802904564315354</v>
      </c>
      <c r="AG13" s="1616">
        <f t="shared" si="5"/>
        <v>0.15802904564315354</v>
      </c>
      <c r="AH13" s="1616">
        <f t="shared" si="5"/>
        <v>0.15802904564315354</v>
      </c>
      <c r="AI13" s="1616">
        <f t="shared" si="5"/>
        <v>0.15802904564315354</v>
      </c>
      <c r="AJ13" s="1616">
        <f t="shared" si="5"/>
        <v>0.15802904564315354</v>
      </c>
    </row>
    <row r="14" spans="1:36" ht="15">
      <c r="A14" s="3249"/>
      <c r="B14" s="2773"/>
      <c r="C14" s="2774" t="s">
        <v>3074</v>
      </c>
      <c r="D14" s="2775" t="s">
        <v>3075</v>
      </c>
      <c r="E14" s="2775" t="s">
        <v>3075</v>
      </c>
      <c r="F14" s="2776" t="s">
        <v>3076</v>
      </c>
      <c r="G14" s="2777" t="s">
        <v>2881</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50"/>
      <c r="B15" s="2781" t="s">
        <v>2882</v>
      </c>
      <c r="C15" s="229">
        <f>IF(C14="有",1.1,1)</f>
        <v>1</v>
      </c>
      <c r="D15" s="229">
        <f>IF(D14="有",1.1,1)</f>
        <v>1.1000000000000001</v>
      </c>
      <c r="E15" s="229">
        <f>IF(E14="有",1.1,1)</f>
        <v>1.1000000000000001</v>
      </c>
      <c r="F15" s="229">
        <f>IF(F14="500米范围内",1.2,IF(F14="500-1000米",1.1,1))</f>
        <v>1.1000000000000001</v>
      </c>
      <c r="G15" s="949">
        <v>1</v>
      </c>
      <c r="H15" s="949">
        <v>1</v>
      </c>
      <c r="I15" s="949">
        <v>1</v>
      </c>
      <c r="J15" s="950">
        <v>1</v>
      </c>
      <c r="K15" s="1373"/>
      <c r="L15" s="2782" t="s">
        <v>2819</v>
      </c>
      <c r="M15" s="920" t="s">
        <v>2883</v>
      </c>
      <c r="N15" s="920" t="s">
        <v>2884</v>
      </c>
      <c r="O15" s="920" t="s">
        <v>2885</v>
      </c>
      <c r="P15" s="2783" t="s">
        <v>2886</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7" t="s">
        <v>2887</v>
      </c>
      <c r="B16" s="2750" t="s">
        <v>2888</v>
      </c>
      <c r="C16" s="1804">
        <f>ROUND(SUM(G17:J17)/C17,0)</f>
        <v>0</v>
      </c>
      <c r="D16" s="2784" t="s">
        <v>2889</v>
      </c>
      <c r="E16" s="2785" t="s">
        <v>3077</v>
      </c>
      <c r="F16" s="2786" t="s">
        <v>3078</v>
      </c>
      <c r="G16" s="2787"/>
      <c r="H16" s="2787"/>
      <c r="I16" s="2787"/>
      <c r="J16" s="2788"/>
      <c r="K16" s="1373"/>
      <c r="L16" s="2789" t="s">
        <v>2890</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8"/>
      <c r="B17" s="2790" t="s">
        <v>2891</v>
      </c>
      <c r="C17" s="924">
        <f>SUMPRODUCT((修正!A2:A5=E2)*(修正!B1:M1=G2)*(修正!B2:M5))</f>
        <v>2.5</v>
      </c>
      <c r="D17" s="2791" t="s">
        <v>2892</v>
      </c>
      <c r="E17" s="923" t="str">
        <f>IF(OR(G2="八级",G2="九级",G2="十级",G2="十一级",G2="十二级"),"五通一平","七通一平")</f>
        <v>七通一平</v>
      </c>
      <c r="F17" s="924" t="s">
        <v>2893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2894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2895</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2896</v>
      </c>
      <c r="C19" s="927">
        <f>ROUND(IF(H19="按公示增长率计算",SUMPRODUCT((地价!A3:A22=YEAR(G19)&amp;"-"&amp;ROUNDUP(MONTH(G19)/3,0))*(地价!X2:AB2=E2)*(地价!X3:AB22)),IF(H19="地价指数",M20/M19,(1+I19)^O19)),4)</f>
        <v>1.5068999999999999</v>
      </c>
      <c r="D19" s="2802" t="s">
        <v>2897</v>
      </c>
      <c r="E19" s="928">
        <v>41640</v>
      </c>
      <c r="F19" s="2802" t="s">
        <v>2898</v>
      </c>
      <c r="G19" s="929">
        <f>'数据-取费表'!B2</f>
        <v>43280</v>
      </c>
      <c r="H19" s="2803" t="s">
        <v>3079</v>
      </c>
      <c r="I19" s="930" t="str">
        <f>IF(H19="季度增幅（自定义）",SUMIF(N21:N24,E2,O21:O24),"")</f>
        <v/>
      </c>
      <c r="J19" s="2800"/>
      <c r="K19" s="1380"/>
      <c r="L19" s="2804" t="s">
        <v>2899</v>
      </c>
      <c r="M19" s="1737">
        <f>ROUND(SUMIF(地价!B2:F2,E2,地价!B22:F22),0)</f>
        <v>423</v>
      </c>
      <c r="N19" s="2805" t="s">
        <v>2900</v>
      </c>
      <c r="O19" s="931">
        <f>ROUNDDOWN(DATEDIF(E19,G19,"M")/3,0)</f>
        <v>17</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2901</v>
      </c>
      <c r="C20" s="932">
        <f ca="1">ROUND(POWER(1+G20,J20-I20)*(POWER(1+G20,I20)-1)/(POWER(1+G20,J20)-1),4)</f>
        <v>0.96450000000000002</v>
      </c>
      <c r="D20" s="2811" t="s">
        <v>2902</v>
      </c>
      <c r="E20" s="1771">
        <f ca="1">存贷款利率!D4/100</f>
        <v>4.3499999999999997E-2</v>
      </c>
      <c r="F20" s="2811" t="s">
        <v>2894</v>
      </c>
      <c r="G20" s="937">
        <f ca="1">SUMIF(M15:P15,E2,M17:P17)</f>
        <v>0.05</v>
      </c>
      <c r="H20" s="2811" t="s">
        <v>2903</v>
      </c>
      <c r="I20" s="938">
        <f>SUMIF('数据-取费表'!C6:C15,E2,'数据-取费表'!F6:F15)/COUNTIF('数据-取费表'!C6:C15,E2)</f>
        <v>55.34</v>
      </c>
      <c r="J20" s="939">
        <f>IF(E2="住宅",70,IF(E2="商业",40,50))</f>
        <v>70</v>
      </c>
      <c r="K20" s="1380"/>
      <c r="L20" s="2812" t="s">
        <v>2904</v>
      </c>
      <c r="M20" s="1738">
        <f>ROUND(SUMPRODUCT((地价!A4:A22=YEAR(G19)&amp;"-"&amp;ROUNDUP(MONTH(G19)/3,0))*(地价!B2:F2=E2)*(地价!B4:F22)),0)</f>
        <v>637</v>
      </c>
      <c r="N20" s="2813" t="s">
        <v>2905</v>
      </c>
      <c r="O20" s="2814" t="s">
        <v>2906</v>
      </c>
      <c r="P20" s="2815" t="s">
        <v>2907</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3080</v>
      </c>
      <c r="C21" s="940">
        <f>IF(B21="容积率修正",IF(G3&lt;=10,D22,J22),C23)</f>
        <v>0.87180000000000002</v>
      </c>
      <c r="D21" s="2818"/>
      <c r="E21" s="2818"/>
      <c r="F21" s="2818"/>
      <c r="G21" s="2818"/>
      <c r="H21" s="2818"/>
      <c r="I21" s="2818"/>
      <c r="J21" s="2819"/>
      <c r="K21" s="1380"/>
      <c r="N21" s="2820" t="s">
        <v>2908</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3" customFormat="1" ht="14.25">
      <c r="A22" s="2669" t="s">
        <v>2909</v>
      </c>
      <c r="B22" s="2821" t="s">
        <v>2910</v>
      </c>
      <c r="C22" s="1813" t="s">
        <v>2911</v>
      </c>
      <c r="D22" s="1813">
        <f>IF(E22=G22,F22,IF(G3&lt;=10,ROUND(F22+(H22-F22)*(G3-E22)/(G22-E22),4),"——"))</f>
        <v>0.87180000000000002</v>
      </c>
      <c r="E22" s="916">
        <f>ROUNDDOWN(G3,1)</f>
        <v>4.8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0.87229999999999996</v>
      </c>
      <c r="G22" s="916">
        <f>ROUNDUP(G3,1)</f>
        <v>4.8999999999999995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0.86980000000000002</v>
      </c>
      <c r="I22" s="1813" t="s">
        <v>155</v>
      </c>
      <c r="J22" s="941" t="str">
        <f>IF(G3&gt;10,D113,"——")</f>
        <v>——</v>
      </c>
      <c r="K22" s="1380"/>
      <c r="N22" s="2820" t="s">
        <v>2912</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9" t="s">
        <v>2913</v>
      </c>
      <c r="B23" s="2822" t="s">
        <v>2914</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2915</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2916</v>
      </c>
      <c r="C24" s="927">
        <f>SUMIF(A45:A88,E2,B45:B88)</f>
        <v>1.0840000000000001</v>
      </c>
      <c r="D24" s="2798"/>
      <c r="E24" s="2828"/>
      <c r="F24" s="2828"/>
      <c r="G24" s="2828"/>
      <c r="H24" s="2828"/>
      <c r="I24" s="2828"/>
      <c r="J24" s="2829"/>
      <c r="K24" s="1380"/>
      <c r="N24" s="2830" t="s">
        <v>2917</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2918</v>
      </c>
      <c r="C25" s="933"/>
      <c r="D25" s="2753"/>
      <c r="E25" s="2753"/>
      <c r="F25" s="2832"/>
      <c r="G25" s="2753"/>
      <c r="H25" s="2753"/>
      <c r="I25" s="2753"/>
      <c r="J25" s="2754"/>
      <c r="K25" s="1373"/>
      <c r="N25" s="2833" t="s">
        <v>2919</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4"/>
      <c r="B26" s="2821" t="s">
        <v>2920</v>
      </c>
      <c r="C26" s="206">
        <f ca="1">E29+SUM(E33:E39)</f>
        <v>751</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2921</v>
      </c>
      <c r="C27" s="934">
        <f ca="1">E30+SUM(I33:I39)</f>
        <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2922</v>
      </c>
      <c r="C28" s="2845" t="s">
        <v>2923</v>
      </c>
      <c r="D28" s="2845" t="s">
        <v>2924</v>
      </c>
      <c r="E28" s="2846" t="s">
        <v>2925</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2926</v>
      </c>
      <c r="C29" s="206">
        <f ca="1">ROUND(C5*C18*C19*C20*C21*C24,0)</f>
        <v>45156</v>
      </c>
      <c r="D29" s="2850">
        <f>'数据-基础表'!I13</f>
        <v>166.41</v>
      </c>
      <c r="E29" s="945">
        <f ca="1">ROUND(C29*D29/10000,0)</f>
        <v>751</v>
      </c>
      <c r="F29" s="2851" t="s">
        <v>2927</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2928</v>
      </c>
      <c r="C30" s="229">
        <f ca="1">ROUND(IF(E2="工业",C29*M39,C29*M38),0)</f>
        <v>11289</v>
      </c>
      <c r="D30" s="2856"/>
      <c r="E30" s="945">
        <f ca="1">ROUND(C30*D30/10000,0)</f>
        <v>0</v>
      </c>
      <c r="F30" s="2857" t="s">
        <v>2929</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2930</v>
      </c>
      <c r="C31" s="2862" t="s">
        <v>2931</v>
      </c>
      <c r="D31" s="2766"/>
      <c r="E31" s="2862"/>
      <c r="F31" s="2862"/>
      <c r="G31" s="2764" t="s">
        <v>2932</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2923</v>
      </c>
      <c r="D32" s="498" t="s">
        <v>2924</v>
      </c>
      <c r="E32" s="498" t="s">
        <v>2925</v>
      </c>
      <c r="F32" s="388" t="s">
        <v>2933</v>
      </c>
      <c r="G32" s="2865" t="s">
        <v>2923</v>
      </c>
      <c r="H32" s="2865" t="s">
        <v>2924</v>
      </c>
      <c r="I32" s="2865" t="s">
        <v>2925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57" t="s">
        <v>2934</v>
      </c>
      <c r="B33" s="2866" t="s">
        <v>2935</v>
      </c>
      <c r="C33" s="206">
        <f ca="1">ROUND(D5*C19*C20*C24*F33,0)</f>
        <v>0</v>
      </c>
      <c r="D33" s="2850"/>
      <c r="E33" s="200">
        <f ca="1">ROUND(C33*D33/10000,0)</f>
        <v>0</v>
      </c>
      <c r="F33" s="200">
        <f>SUMIF(修正!A45:A56,G2,修正!B45:B56)</f>
        <v>0.8</v>
      </c>
      <c r="G33" s="200">
        <f t="shared" ref="G33" ca="1" si="6">ROUND(IF(E2="工业",C33*$M$39,C33*$M$38),0)</f>
        <v>0</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8"/>
      <c r="B34" s="2770" t="s">
        <v>2936</v>
      </c>
      <c r="C34" s="206">
        <f ca="1">ROUND(D5*C19*C20*C24*F34,0)</f>
        <v>0</v>
      </c>
      <c r="D34" s="2850"/>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8"/>
      <c r="B35" s="2770" t="s">
        <v>2937</v>
      </c>
      <c r="C35" s="206">
        <f ca="1">ROUND(D5*C19*C20*C24*F35,0)</f>
        <v>0</v>
      </c>
      <c r="D35" s="2850"/>
      <c r="E35" s="200">
        <f t="shared" ca="1" si="7"/>
        <v>0</v>
      </c>
      <c r="F35" s="200">
        <f>SUMIF(修正!A45:A56,G2,修正!D45:D56)</f>
        <v>0.36</v>
      </c>
      <c r="G35" s="200">
        <f ca="1">ROUND(IF(E2="工业",C35*$M$39,C35*$M$38),0)</f>
        <v>0</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59"/>
      <c r="B36" s="2770" t="s">
        <v>2938</v>
      </c>
      <c r="C36" s="206">
        <f ca="1">ROUND(D5*C19*C20*C24*F36,0)</f>
        <v>0</v>
      </c>
      <c r="D36" s="2850"/>
      <c r="E36" s="200">
        <f t="shared" ca="1" si="7"/>
        <v>0</v>
      </c>
      <c r="F36" s="200">
        <f>SUMIF(修正!A45:A56,G2,修正!E45:E56)</f>
        <v>0.3</v>
      </c>
      <c r="G36" s="200">
        <f ca="1">ROUND(IF(E2="工业",C36*$M$39,C36*$M$38),0)</f>
        <v>0</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2939</v>
      </c>
      <c r="C37" s="200">
        <f ca="1">ROUND(C5*C19*C20*C24*F37,0)</f>
        <v>15539</v>
      </c>
      <c r="D37" s="2850"/>
      <c r="E37" s="200">
        <f t="shared" ca="1" si="7"/>
        <v>0</v>
      </c>
      <c r="F37" s="206">
        <f>SUMIF(修正!A45:A56,G2,修正!F45:F56)</f>
        <v>0.3</v>
      </c>
      <c r="G37" s="200">
        <f ca="1">ROUND(IF(E2="工业",C37*$M$39,C37*$M$38),0)</f>
        <v>3885</v>
      </c>
      <c r="H37" s="200">
        <f t="shared" si="8"/>
        <v>0</v>
      </c>
      <c r="I37" s="200">
        <f t="shared" ca="1" si="9"/>
        <v>0</v>
      </c>
      <c r="J37" s="2867"/>
      <c r="K37" s="1373"/>
      <c r="L37" s="2869" t="s">
        <v>2940</v>
      </c>
      <c r="M37" s="2870"/>
      <c r="N37" s="1373"/>
      <c r="O37" s="1373"/>
      <c r="P37" s="1373"/>
      <c r="Q37" s="1373"/>
      <c r="R37" s="1373"/>
      <c r="S37" s="1373"/>
      <c r="T37" s="1373"/>
      <c r="U37" s="1373"/>
      <c r="V37" s="1373"/>
      <c r="W37" s="1373"/>
      <c r="X37" s="1373"/>
      <c r="Y37" s="1373"/>
      <c r="Z37" s="1374"/>
    </row>
    <row r="38" spans="1:37">
      <c r="A38" s="2868"/>
      <c r="B38" s="2770" t="s">
        <v>2941</v>
      </c>
      <c r="C38" s="200">
        <f ca="1">ROUND(C5*C19*C20*C24*F38,0)</f>
        <v>15539</v>
      </c>
      <c r="D38" s="2850"/>
      <c r="E38" s="200">
        <f t="shared" ca="1" si="7"/>
        <v>0</v>
      </c>
      <c r="F38" s="206">
        <f>SUMIF(修正!A45:A56,G2,修正!G45:G56)</f>
        <v>0.3</v>
      </c>
      <c r="G38" s="200">
        <f ca="1">ROUND(IF(E2="工业",C38*$M$39,C38*$M$38),0)</f>
        <v>3885</v>
      </c>
      <c r="H38" s="200">
        <f t="shared" si="8"/>
        <v>0</v>
      </c>
      <c r="I38" s="200">
        <f t="shared" ca="1" si="9"/>
        <v>0</v>
      </c>
      <c r="J38" s="2867"/>
      <c r="K38" s="1373"/>
      <c r="L38" s="1890" t="s">
        <v>2942</v>
      </c>
      <c r="M38" s="2871">
        <v>0.25</v>
      </c>
      <c r="N38" s="1373"/>
      <c r="O38" s="1373"/>
      <c r="P38" s="1373"/>
      <c r="Q38" s="1373"/>
      <c r="R38" s="1373"/>
      <c r="S38" s="1373"/>
      <c r="T38" s="1373"/>
      <c r="U38" s="1373"/>
      <c r="V38" s="1373"/>
      <c r="W38" s="1373"/>
      <c r="X38" s="1373"/>
      <c r="Y38" s="1373"/>
      <c r="Z38" s="1374"/>
    </row>
    <row r="39" spans="1:37" ht="13.5" thickBot="1">
      <c r="A39" s="2854"/>
      <c r="B39" s="2872" t="s">
        <v>2943</v>
      </c>
      <c r="C39" s="229">
        <f ca="1">ROUND(C5*C19*C20*C24*F39,0)</f>
        <v>12949</v>
      </c>
      <c r="D39" s="2856"/>
      <c r="E39" s="229">
        <f t="shared" ca="1" si="7"/>
        <v>0</v>
      </c>
      <c r="F39" s="935">
        <f>SUMIF(修正!A45:A56,G2,修正!H45:H56)</f>
        <v>0.25</v>
      </c>
      <c r="G39" s="229">
        <f ca="1">ROUND(IF(E2="工业",C39*$M$39,C39*$M$38),0)</f>
        <v>3237</v>
      </c>
      <c r="H39" s="229">
        <f t="shared" si="8"/>
        <v>0</v>
      </c>
      <c r="I39" s="229">
        <f t="shared" ca="1" si="9"/>
        <v>0</v>
      </c>
      <c r="J39" s="2873"/>
      <c r="K39" s="1373"/>
      <c r="L39" s="2874" t="s">
        <v>2886</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2944</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2945</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2946</v>
      </c>
      <c r="B47" s="1812" t="s">
        <v>2947</v>
      </c>
      <c r="C47" s="1812" t="s">
        <v>2948</v>
      </c>
      <c r="D47" s="1812" t="s">
        <v>2949</v>
      </c>
      <c r="E47" s="819" t="s">
        <v>2950</v>
      </c>
      <c r="F47" s="2884" t="s">
        <v>2951</v>
      </c>
      <c r="G47" s="1812" t="s">
        <v>754</v>
      </c>
      <c r="H47" s="2885" t="s">
        <v>2952</v>
      </c>
      <c r="I47" s="1812" t="s">
        <v>2953</v>
      </c>
      <c r="J47" s="603" t="s">
        <v>2602</v>
      </c>
      <c r="K47" s="603" t="s">
        <v>2603</v>
      </c>
      <c r="L47" s="603" t="s">
        <v>2604</v>
      </c>
      <c r="M47" s="603" t="s">
        <v>2605</v>
      </c>
      <c r="N47" s="603" t="s">
        <v>2606</v>
      </c>
      <c r="AA47" s="1374"/>
      <c r="AB47" s="1374"/>
      <c r="AC47" s="1374"/>
      <c r="AD47" s="1374"/>
      <c r="AE47" s="1374"/>
      <c r="AF47" s="1374"/>
      <c r="AG47" s="1374"/>
      <c r="AH47" s="1374"/>
      <c r="AI47" s="1374"/>
      <c r="AJ47" s="1374"/>
      <c r="AK47" s="1374"/>
    </row>
    <row r="48" spans="1:37" s="1373" customFormat="1" ht="38.25">
      <c r="A48" s="2883" t="s">
        <v>2954</v>
      </c>
      <c r="B48" s="2886" t="str">
        <f>估价对象房地状况!C4</f>
        <v>估价对象位于XX商圈，周边商业氛围成熟，人流量大，商业繁华度好</v>
      </c>
      <c r="C48" s="2775"/>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2955</v>
      </c>
      <c r="B49" s="2887" t="str">
        <f>估价对象房地状况!C18</f>
        <v>估价对象周边道路状况、公共交通通达情况、停车便捷程度，综合评价交通便捷度较好</v>
      </c>
      <c r="C49" s="2775"/>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2956</v>
      </c>
      <c r="B50" s="2887">
        <f>估价对象房地状况!C19</f>
        <v>0</v>
      </c>
      <c r="C50" s="2775"/>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2957</v>
      </c>
      <c r="B51" s="2888" t="s">
        <v>2958</v>
      </c>
      <c r="C51" s="2775"/>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2959</v>
      </c>
      <c r="B52" s="2887">
        <f>估价对象房地状况!C24</f>
        <v>0</v>
      </c>
      <c r="C52" s="2775"/>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2960</v>
      </c>
      <c r="B53" s="2889" t="s">
        <v>2961</v>
      </c>
      <c r="C53" s="2775"/>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2962</v>
      </c>
      <c r="B54" s="1728" t="str">
        <f>估价对象房地状况!C21</f>
        <v>估价对象所在区域公共配套设施齐备情况</v>
      </c>
      <c r="C54" s="2775"/>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2963</v>
      </c>
      <c r="B55" s="2887" t="str">
        <f>估价对象房地状况!C22</f>
        <v>估价对象所在区域基础设施水平</v>
      </c>
      <c r="C55" s="2775"/>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2964</v>
      </c>
      <c r="B56" s="2892" t="str">
        <f>估价对象房地状况!C20</f>
        <v>区域自然环境：；人文环境；综合评价环境状况一般</v>
      </c>
      <c r="C56" s="2775"/>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2965</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2946</v>
      </c>
      <c r="B58" s="1812"/>
      <c r="C58" s="1812" t="s">
        <v>2948</v>
      </c>
      <c r="D58" s="1812" t="s">
        <v>2949</v>
      </c>
      <c r="E58" s="819" t="s">
        <v>2950</v>
      </c>
      <c r="F58" s="2884" t="s">
        <v>2966</v>
      </c>
      <c r="G58" s="1812" t="s">
        <v>754</v>
      </c>
      <c r="H58" s="2885" t="s">
        <v>2952</v>
      </c>
      <c r="I58" s="1812" t="s">
        <v>2953</v>
      </c>
      <c r="J58" s="603" t="s">
        <v>2602</v>
      </c>
      <c r="K58" s="603" t="s">
        <v>2603</v>
      </c>
      <c r="L58" s="603" t="s">
        <v>2604</v>
      </c>
      <c r="M58" s="603" t="s">
        <v>2605</v>
      </c>
      <c r="N58" s="603" t="s">
        <v>2606</v>
      </c>
      <c r="AA58" s="1374"/>
      <c r="AB58" s="1374"/>
      <c r="AC58" s="1374"/>
      <c r="AD58" s="1374"/>
      <c r="AE58" s="1374"/>
      <c r="AF58" s="1374"/>
      <c r="AG58" s="1374"/>
      <c r="AH58" s="1374"/>
      <c r="AI58" s="1374"/>
      <c r="AJ58" s="1374"/>
      <c r="AK58" s="1374"/>
    </row>
    <row r="59" spans="1:37" s="1373" customFormat="1" ht="38.25">
      <c r="A59" s="2883" t="s">
        <v>2967</v>
      </c>
      <c r="B59" s="2886" t="str">
        <f>估价对象房地状况!C17</f>
        <v>估价对象位于XX商圈，周边办公楼项目较多，入驻率高，办公集聚程度较好</v>
      </c>
      <c r="C59" s="2775"/>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2955</v>
      </c>
      <c r="B60" s="2887" t="str">
        <f>估价对象房地状况!C18</f>
        <v>估价对象周边道路状况、公共交通通达情况、停车便捷程度，综合评价交通便捷度较好</v>
      </c>
      <c r="C60" s="2775"/>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2956</v>
      </c>
      <c r="B61" s="2887">
        <f>估价对象房地状况!C19</f>
        <v>0</v>
      </c>
      <c r="C61" s="2775"/>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2957</v>
      </c>
      <c r="B62" s="2888" t="s">
        <v>2958</v>
      </c>
      <c r="C62" s="2775"/>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2959</v>
      </c>
      <c r="B63" s="2887">
        <f>估价对象房地状况!C24</f>
        <v>0</v>
      </c>
      <c r="C63" s="2775"/>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2960</v>
      </c>
      <c r="B64" s="2889" t="s">
        <v>2961</v>
      </c>
      <c r="C64" s="2775"/>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2962</v>
      </c>
      <c r="B65" s="1728" t="str">
        <f>估价对象房地状况!C21</f>
        <v>估价对象所在区域公共配套设施齐备情况</v>
      </c>
      <c r="C65" s="2775"/>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2963</v>
      </c>
      <c r="B66" s="1728" t="str">
        <f>估价对象房地状况!C22</f>
        <v>估价对象所在区域基础设施水平</v>
      </c>
      <c r="C66" s="2775"/>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2964</v>
      </c>
      <c r="B67" s="2893" t="str">
        <f>估价对象房地状况!C20</f>
        <v>区域自然环境：；人文环境；综合评价环境状况一般</v>
      </c>
      <c r="C67" s="2775"/>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2968</v>
      </c>
      <c r="B68" s="2880">
        <f>1+E70</f>
        <v>1.0840000000000001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2946</v>
      </c>
      <c r="B69" s="1812"/>
      <c r="C69" s="1812" t="s">
        <v>2948</v>
      </c>
      <c r="D69" s="1812" t="s">
        <v>2949</v>
      </c>
      <c r="E69" s="819" t="s">
        <v>2950</v>
      </c>
      <c r="F69" s="2884" t="s">
        <v>2966</v>
      </c>
      <c r="G69" s="1812" t="s">
        <v>754</v>
      </c>
      <c r="H69" s="2885" t="s">
        <v>2952</v>
      </c>
      <c r="I69" s="1812" t="s">
        <v>2953</v>
      </c>
      <c r="J69" s="603" t="s">
        <v>2602</v>
      </c>
      <c r="K69" s="603" t="s">
        <v>2603</v>
      </c>
      <c r="L69" s="603" t="s">
        <v>2604</v>
      </c>
      <c r="M69" s="603" t="s">
        <v>2605</v>
      </c>
      <c r="N69" s="603" t="s">
        <v>2606</v>
      </c>
      <c r="AA69" s="1374"/>
      <c r="AB69" s="1374"/>
      <c r="AC69" s="1374"/>
      <c r="AD69" s="1374"/>
      <c r="AE69" s="1374"/>
      <c r="AF69" s="1374"/>
      <c r="AG69" s="1374"/>
      <c r="AH69" s="1374"/>
      <c r="AI69" s="1374"/>
      <c r="AJ69" s="1374"/>
      <c r="AK69" s="1374"/>
    </row>
    <row r="70" spans="1:37" s="1373" customFormat="1" ht="51">
      <c r="A70" s="2883" t="s">
        <v>2969</v>
      </c>
      <c r="B70" s="2886" t="str">
        <f>估价对象房地状况!C15</f>
        <v>估价对象周边居住用地比例、居住小区规模和社区发展完善程度，综合评价居住社区成熟度一般</v>
      </c>
      <c r="C70" s="2775" t="s">
        <v>3083</v>
      </c>
      <c r="D70" s="1289">
        <f t="shared" ref="D70:D78" si="20">SUMIF($J$69:$N$69,C70,J70:N70)</f>
        <v>1.4E-2</v>
      </c>
      <c r="E70" s="821">
        <f>ROUND(SUM(D70:D78),4)</f>
        <v>8.4000000000000005E-2</v>
      </c>
      <c r="F70" s="2508">
        <f>IF(E2="住宅",SUMIF(L1:L12,G2,N1:N12),"——")</f>
        <v>0.1</v>
      </c>
      <c r="G70" s="1287">
        <v>7.0000000000000001E-3</v>
      </c>
      <c r="H70" s="1291">
        <f t="shared" ref="H70:H78" si="21">IFERROR(ROUNDDOWN($F$70*I70/2,4),"——")</f>
        <v>7.0000000000000001E-3</v>
      </c>
      <c r="I70" s="820">
        <v>0.14000000000000001</v>
      </c>
      <c r="J70" s="1288">
        <f t="shared" ref="J70:J78" si="22">K70+$G70</f>
        <v>1.4E-2</v>
      </c>
      <c r="K70" s="1288">
        <f t="shared" ref="K70:K78" si="23">$L70+$G70</f>
        <v>7.0000000000000001E-3</v>
      </c>
      <c r="L70" s="1288">
        <v>0</v>
      </c>
      <c r="M70" s="1288">
        <f t="shared" ref="M70:N78" si="24">L70-$G70</f>
        <v>-7.0000000000000001E-3</v>
      </c>
      <c r="N70" s="1288">
        <f t="shared" si="24"/>
        <v>-1.4E-2</v>
      </c>
      <c r="AA70" s="1374"/>
      <c r="AB70" s="1374"/>
      <c r="AC70" s="1374"/>
      <c r="AD70" s="1374"/>
      <c r="AE70" s="1374"/>
      <c r="AF70" s="1374"/>
      <c r="AG70" s="1374"/>
      <c r="AH70" s="1374"/>
      <c r="AI70" s="1374"/>
      <c r="AJ70" s="1374"/>
      <c r="AK70" s="1374"/>
    </row>
    <row r="71" spans="1:37" s="1373" customFormat="1" ht="51">
      <c r="A71" s="2883" t="s">
        <v>2955</v>
      </c>
      <c r="B71" s="2887" t="str">
        <f>估价对象房地状况!C18</f>
        <v>估价对象周边道路状况、公共交通通达情况、停车便捷程度，综合评价交通便捷度较好</v>
      </c>
      <c r="C71" s="2775" t="s">
        <v>3083</v>
      </c>
      <c r="D71" s="1289">
        <f t="shared" si="20"/>
        <v>0.03</v>
      </c>
      <c r="E71" s="826"/>
      <c r="F71" s="2508"/>
      <c r="G71" s="1287">
        <v>1.4999999999999999E-2</v>
      </c>
      <c r="H71" s="1291">
        <f t="shared" si="21"/>
        <v>1.4999999999999999E-2</v>
      </c>
      <c r="I71" s="820">
        <v>0.3</v>
      </c>
      <c r="J71" s="1288">
        <f t="shared" si="22"/>
        <v>0.03</v>
      </c>
      <c r="K71" s="1288">
        <f t="shared" si="23"/>
        <v>1.4999999999999999E-2</v>
      </c>
      <c r="L71" s="1288">
        <v>0</v>
      </c>
      <c r="M71" s="1288">
        <f t="shared" si="24"/>
        <v>-1.4999999999999999E-2</v>
      </c>
      <c r="N71" s="1288">
        <f t="shared" si="24"/>
        <v>-0.03</v>
      </c>
      <c r="AA71" s="1374"/>
      <c r="AB71" s="1374"/>
      <c r="AC71" s="1374"/>
      <c r="AD71" s="1374"/>
      <c r="AE71" s="1374"/>
      <c r="AF71" s="1374"/>
      <c r="AG71" s="1374"/>
      <c r="AH71" s="1374"/>
      <c r="AI71" s="1374"/>
      <c r="AJ71" s="1374"/>
      <c r="AK71" s="1374"/>
    </row>
    <row r="72" spans="1:37" s="1373" customFormat="1" ht="24">
      <c r="A72" s="2883" t="s">
        <v>2956</v>
      </c>
      <c r="B72" s="2887">
        <f>估价对象房地状况!C19</f>
        <v>0</v>
      </c>
      <c r="C72" s="2775" t="s">
        <v>3084</v>
      </c>
      <c r="D72" s="1289">
        <f t="shared" si="20"/>
        <v>4.0000000000000001E-3</v>
      </c>
      <c r="E72" s="826"/>
      <c r="F72" s="2508"/>
      <c r="G72" s="1287">
        <v>4.0000000000000001E-3</v>
      </c>
      <c r="H72" s="1291">
        <f t="shared" si="21"/>
        <v>4.0000000000000001E-3</v>
      </c>
      <c r="I72" s="820">
        <v>0.08</v>
      </c>
      <c r="J72" s="1288">
        <f t="shared" si="22"/>
        <v>8.0000000000000002E-3</v>
      </c>
      <c r="K72" s="1288">
        <f t="shared" si="23"/>
        <v>4.0000000000000001E-3</v>
      </c>
      <c r="L72" s="1288">
        <v>0</v>
      </c>
      <c r="M72" s="1288">
        <f t="shared" si="24"/>
        <v>-4.0000000000000001E-3</v>
      </c>
      <c r="N72" s="1288">
        <f t="shared" si="24"/>
        <v>-8.0000000000000002E-3</v>
      </c>
      <c r="AA72" s="1374"/>
      <c r="AB72" s="1374"/>
      <c r="AC72" s="1374"/>
      <c r="AD72" s="1374"/>
      <c r="AE72" s="1374"/>
      <c r="AF72" s="1374"/>
      <c r="AG72" s="1374"/>
      <c r="AH72" s="1374"/>
      <c r="AI72" s="1374"/>
      <c r="AJ72" s="1374"/>
      <c r="AK72" s="1374"/>
    </row>
    <row r="73" spans="1:37" s="1373" customFormat="1" ht="14.25">
      <c r="A73" s="2883" t="s">
        <v>2970</v>
      </c>
      <c r="B73" s="2887">
        <f>估价对象房地状况!C24</f>
        <v>0</v>
      </c>
      <c r="C73" s="2775" t="s">
        <v>3084</v>
      </c>
      <c r="D73" s="1289">
        <f t="shared" si="20"/>
        <v>2E-3</v>
      </c>
      <c r="E73" s="826"/>
      <c r="F73" s="2508"/>
      <c r="G73" s="1287">
        <v>2E-3</v>
      </c>
      <c r="H73" s="1291">
        <f t="shared" si="21"/>
        <v>2E-3</v>
      </c>
      <c r="I73" s="820">
        <v>0.04</v>
      </c>
      <c r="J73" s="1288">
        <f t="shared" si="22"/>
        <v>4.0000000000000001E-3</v>
      </c>
      <c r="K73" s="1288">
        <f t="shared" si="23"/>
        <v>2E-3</v>
      </c>
      <c r="L73" s="1288">
        <v>0</v>
      </c>
      <c r="M73" s="1288">
        <f t="shared" si="24"/>
        <v>-2E-3</v>
      </c>
      <c r="N73" s="1288">
        <f t="shared" si="24"/>
        <v>-4.0000000000000001E-3</v>
      </c>
      <c r="AA73" s="1374"/>
      <c r="AB73" s="1374"/>
      <c r="AC73" s="1374"/>
      <c r="AD73" s="1374"/>
      <c r="AE73" s="1374"/>
      <c r="AF73" s="1374"/>
      <c r="AG73" s="1374"/>
      <c r="AH73" s="1374"/>
      <c r="AI73" s="1374"/>
      <c r="AJ73" s="1374"/>
      <c r="AK73" s="1374"/>
    </row>
    <row r="74" spans="1:37" s="1373" customFormat="1" ht="25.5">
      <c r="A74" s="2883" t="s">
        <v>2962</v>
      </c>
      <c r="B74" s="1728" t="str">
        <f>估价对象房地状况!C21</f>
        <v>估价对象所在区域公共配套设施齐备情况</v>
      </c>
      <c r="C74" s="2775" t="s">
        <v>3083</v>
      </c>
      <c r="D74" s="1289">
        <f t="shared" si="20"/>
        <v>8.0000000000000002E-3</v>
      </c>
      <c r="E74" s="826"/>
      <c r="F74" s="2508"/>
      <c r="G74" s="1287">
        <v>4.0000000000000001E-3</v>
      </c>
      <c r="H74" s="1291">
        <f t="shared" si="21"/>
        <v>4.0000000000000001E-3</v>
      </c>
      <c r="I74" s="820">
        <v>0.08</v>
      </c>
      <c r="J74" s="1288">
        <f t="shared" si="22"/>
        <v>8.0000000000000002E-3</v>
      </c>
      <c r="K74" s="1288">
        <f t="shared" si="23"/>
        <v>4.0000000000000001E-3</v>
      </c>
      <c r="L74" s="1288">
        <v>0</v>
      </c>
      <c r="M74" s="1288">
        <f t="shared" si="24"/>
        <v>-4.0000000000000001E-3</v>
      </c>
      <c r="N74" s="1288">
        <f t="shared" si="24"/>
        <v>-8.0000000000000002E-3</v>
      </c>
      <c r="AA74" s="1374"/>
      <c r="AB74" s="1374"/>
      <c r="AC74" s="1374"/>
      <c r="AD74" s="1374"/>
      <c r="AE74" s="1374"/>
      <c r="AF74" s="1374"/>
      <c r="AG74" s="1374"/>
      <c r="AH74" s="1374"/>
      <c r="AI74" s="1374"/>
      <c r="AJ74" s="1374"/>
      <c r="AK74" s="1374"/>
    </row>
    <row r="75" spans="1:37" s="1373" customFormat="1" ht="25.5">
      <c r="A75" s="2883" t="s">
        <v>2963</v>
      </c>
      <c r="B75" s="1728" t="str">
        <f>估价对象房地状况!C22</f>
        <v>估价对象所在区域基础设施水平</v>
      </c>
      <c r="C75" s="2775" t="s">
        <v>3083</v>
      </c>
      <c r="D75" s="1289">
        <f t="shared" si="20"/>
        <v>1.2E-2</v>
      </c>
      <c r="E75" s="826"/>
      <c r="F75" s="2508"/>
      <c r="G75" s="1287">
        <v>6.0000000000000001E-3</v>
      </c>
      <c r="H75" s="1291">
        <f t="shared" si="21"/>
        <v>6.0000000000000001E-3</v>
      </c>
      <c r="I75" s="820">
        <v>0.12</v>
      </c>
      <c r="J75" s="1288">
        <f t="shared" si="22"/>
        <v>1.2E-2</v>
      </c>
      <c r="K75" s="1288">
        <f t="shared" si="23"/>
        <v>6.0000000000000001E-3</v>
      </c>
      <c r="L75" s="1288">
        <v>0</v>
      </c>
      <c r="M75" s="1288">
        <f t="shared" si="24"/>
        <v>-6.0000000000000001E-3</v>
      </c>
      <c r="N75" s="1288">
        <f t="shared" si="24"/>
        <v>-1.2E-2</v>
      </c>
      <c r="AA75" s="1374"/>
      <c r="AB75" s="1374"/>
      <c r="AC75" s="1374"/>
      <c r="AD75" s="1374"/>
      <c r="AE75" s="1374"/>
      <c r="AF75" s="1374"/>
      <c r="AG75" s="1374"/>
      <c r="AH75" s="1374"/>
      <c r="AI75" s="1374"/>
      <c r="AJ75" s="1374"/>
      <c r="AK75" s="1374"/>
    </row>
    <row r="76" spans="1:37" s="2724" customFormat="1" ht="24">
      <c r="A76" s="2883" t="s">
        <v>2960</v>
      </c>
      <c r="B76" s="2889" t="s">
        <v>2961</v>
      </c>
      <c r="C76" s="2775" t="s">
        <v>3084</v>
      </c>
      <c r="D76" s="1289">
        <f t="shared" si="20"/>
        <v>2.5000000000000001E-3</v>
      </c>
      <c r="E76" s="826"/>
      <c r="F76" s="2508"/>
      <c r="G76" s="1287">
        <v>2.5000000000000001E-3</v>
      </c>
      <c r="H76" s="1291">
        <f t="shared" si="21"/>
        <v>2.5000000000000001E-3</v>
      </c>
      <c r="I76" s="820">
        <v>0.05</v>
      </c>
      <c r="J76" s="1288">
        <f t="shared" si="22"/>
        <v>5.0000000000000001E-3</v>
      </c>
      <c r="K76" s="1288">
        <f t="shared" si="23"/>
        <v>2.5000000000000001E-3</v>
      </c>
      <c r="L76" s="1288">
        <v>0</v>
      </c>
      <c r="M76" s="1288">
        <f t="shared" si="24"/>
        <v>-2.5000000000000001E-3</v>
      </c>
      <c r="N76" s="1288">
        <f t="shared" si="24"/>
        <v>-5.0000000000000001E-3</v>
      </c>
      <c r="AA76" s="2894"/>
      <c r="AB76" s="1374"/>
      <c r="AC76" s="1374"/>
      <c r="AD76" s="1374"/>
      <c r="AE76" s="1374"/>
      <c r="AF76" s="1374"/>
      <c r="AG76" s="1374"/>
      <c r="AH76" s="2894"/>
      <c r="AI76" s="2894"/>
      <c r="AJ76" s="2894"/>
      <c r="AK76" s="2894"/>
    </row>
    <row r="77" spans="1:37" ht="38.25">
      <c r="A77" s="2883" t="s">
        <v>2964</v>
      </c>
      <c r="B77" s="2886" t="str">
        <f>估价对象房地状况!C20</f>
        <v>区域自然环境：；人文环境；综合评价环境状况一般</v>
      </c>
      <c r="C77" s="2775" t="s">
        <v>3084</v>
      </c>
      <c r="D77" s="1289">
        <f t="shared" si="20"/>
        <v>7.4999999999999997E-3</v>
      </c>
      <c r="E77" s="826"/>
      <c r="F77" s="2508"/>
      <c r="G77" s="1287">
        <v>7.4999999999999997E-3</v>
      </c>
      <c r="H77" s="1291">
        <f t="shared" si="21"/>
        <v>7.4999999999999997E-3</v>
      </c>
      <c r="I77" s="820">
        <v>0.15</v>
      </c>
      <c r="J77" s="1288">
        <f t="shared" si="22"/>
        <v>1.4999999999999999E-2</v>
      </c>
      <c r="K77" s="1288">
        <f t="shared" si="23"/>
        <v>7.4999999999999997E-3</v>
      </c>
      <c r="L77" s="1288">
        <v>0</v>
      </c>
      <c r="M77" s="1288">
        <f t="shared" si="24"/>
        <v>-7.4999999999999997E-3</v>
      </c>
      <c r="N77" s="1288">
        <f t="shared" si="24"/>
        <v>-1.4999999999999999E-2</v>
      </c>
      <c r="Z77" s="2725"/>
      <c r="AA77" s="2801"/>
      <c r="AG77" s="1375"/>
      <c r="AK77" s="2801"/>
    </row>
    <row r="78" spans="1:37" ht="24.75" thickBot="1">
      <c r="A78" s="2891" t="s">
        <v>2971</v>
      </c>
      <c r="B78" s="2895"/>
      <c r="C78" s="2775" t="s">
        <v>3083</v>
      </c>
      <c r="D78" s="1289">
        <f t="shared" si="20"/>
        <v>4.0000000000000001E-3</v>
      </c>
      <c r="E78" s="827"/>
      <c r="F78" s="2508"/>
      <c r="G78" s="1287">
        <v>2E-3</v>
      </c>
      <c r="H78" s="1291">
        <f t="shared" si="21"/>
        <v>2E-3</v>
      </c>
      <c r="I78" s="824">
        <v>0.04</v>
      </c>
      <c r="J78" s="1288">
        <f t="shared" si="22"/>
        <v>4.0000000000000001E-3</v>
      </c>
      <c r="K78" s="1288">
        <f t="shared" si="23"/>
        <v>2E-3</v>
      </c>
      <c r="L78" s="1288">
        <v>0</v>
      </c>
      <c r="M78" s="1288">
        <f t="shared" si="24"/>
        <v>-2E-3</v>
      </c>
      <c r="N78" s="1288">
        <f t="shared" si="24"/>
        <v>-4.0000000000000001E-3</v>
      </c>
      <c r="Z78" s="2725"/>
      <c r="AA78" s="2801"/>
      <c r="AG78" s="1375"/>
      <c r="AK78" s="2801"/>
    </row>
    <row r="79" spans="1:37" ht="15">
      <c r="A79" s="2879" t="s">
        <v>2972</v>
      </c>
      <c r="B79" s="2880">
        <f>1+E81</f>
        <v>1</v>
      </c>
      <c r="C79" s="814"/>
      <c r="D79" s="814"/>
      <c r="E79" s="815"/>
      <c r="F79" s="2882"/>
      <c r="G79" s="6"/>
      <c r="H79" s="6"/>
      <c r="I79" s="6"/>
      <c r="J79" s="7"/>
      <c r="K79" s="7"/>
      <c r="L79" s="7"/>
      <c r="M79" s="7"/>
      <c r="N79" s="7"/>
      <c r="Z79" s="2725"/>
      <c r="AA79" s="2801"/>
      <c r="AG79" s="1375"/>
      <c r="AK79" s="2801"/>
    </row>
    <row r="80" spans="1:37" ht="24.75">
      <c r="A80" s="2883" t="s">
        <v>2946</v>
      </c>
      <c r="B80" s="1812"/>
      <c r="C80" s="1812" t="s">
        <v>2948</v>
      </c>
      <c r="D80" s="1812" t="s">
        <v>2949</v>
      </c>
      <c r="E80" s="819" t="s">
        <v>2950</v>
      </c>
      <c r="F80" s="2884" t="s">
        <v>2966</v>
      </c>
      <c r="G80" s="1812" t="s">
        <v>754</v>
      </c>
      <c r="H80" s="2885" t="s">
        <v>2952</v>
      </c>
      <c r="I80" s="1812" t="s">
        <v>2953</v>
      </c>
      <c r="J80" s="603" t="s">
        <v>2602</v>
      </c>
      <c r="K80" s="603" t="s">
        <v>2603</v>
      </c>
      <c r="L80" s="603" t="s">
        <v>2604</v>
      </c>
      <c r="M80" s="603" t="s">
        <v>2605</v>
      </c>
      <c r="N80" s="603" t="s">
        <v>2606</v>
      </c>
      <c r="Z80" s="2725"/>
      <c r="AA80" s="2801"/>
      <c r="AG80" s="1375"/>
      <c r="AK80" s="2801"/>
    </row>
    <row r="81" spans="1:37" ht="38.25">
      <c r="A81" s="2883" t="s">
        <v>2973</v>
      </c>
      <c r="B81" s="2887" t="str">
        <f>估价对象房地状况!G15</f>
        <v>估价对象位于XX开发区，园区建设成熟度XX，产业集聚程度XX</v>
      </c>
      <c r="C81" s="2775"/>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2955</v>
      </c>
      <c r="B82" s="2887" t="str">
        <f>估价对象房地状况!G16</f>
        <v>估价对象周边道路状况、公共交通通达情况、停车便捷程度，综合评价交通便捷度较好</v>
      </c>
      <c r="C82" s="2775"/>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2956</v>
      </c>
      <c r="B83" s="2887">
        <f>估价对象房地状况!G17</f>
        <v>0</v>
      </c>
      <c r="C83" s="2775"/>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2970</v>
      </c>
      <c r="B84" s="2887">
        <f>估价对象房地状况!G22</f>
        <v>0</v>
      </c>
      <c r="C84" s="2775"/>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2962</v>
      </c>
      <c r="B85" s="1728" t="str">
        <f>估价对象房地状况!G19</f>
        <v>估价对象所在区域公共配套设施齐备情况</v>
      </c>
      <c r="C85" s="2775"/>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2963</v>
      </c>
      <c r="B86" s="1728" t="str">
        <f>估价对象房地状况!G20</f>
        <v>估价对象所在区域基础设施水平</v>
      </c>
      <c r="C86" s="2775"/>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2960</v>
      </c>
      <c r="B87" s="2889" t="s">
        <v>2974</v>
      </c>
      <c r="C87" s="2775"/>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2975</v>
      </c>
      <c r="B88" s="2896" t="str">
        <f>估价对象房地状况!G18</f>
        <v>该园区内是否有污染型企业，绿化情况，卫生条件，整体环境状况判断</v>
      </c>
      <c r="C88" s="2775"/>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51" t="s">
        <v>2976</v>
      </c>
      <c r="B90" s="3251"/>
      <c r="C90" s="3251"/>
      <c r="D90" s="3251"/>
      <c r="E90" s="3251"/>
      <c r="F90" s="3251"/>
      <c r="G90" s="3251"/>
      <c r="H90" s="3251"/>
      <c r="I90" s="3251"/>
      <c r="J90" s="3251"/>
      <c r="K90" s="2897"/>
      <c r="L90" s="2897"/>
      <c r="M90" s="2897"/>
      <c r="N90" s="2897"/>
    </row>
    <row r="91" spans="1:37">
      <c r="A91" s="3253" t="s">
        <v>2977</v>
      </c>
      <c r="B91" s="3253" t="s">
        <v>2978</v>
      </c>
      <c r="C91" s="2851" t="s">
        <v>2979</v>
      </c>
      <c r="D91" s="2852"/>
      <c r="E91" s="2852"/>
      <c r="F91" s="2852"/>
      <c r="G91" s="2852"/>
      <c r="H91" s="2852"/>
      <c r="I91" s="2852"/>
      <c r="J91" s="2898"/>
      <c r="K91" s="2899"/>
      <c r="L91" s="2899"/>
      <c r="M91" s="2899"/>
      <c r="N91" s="2899"/>
    </row>
    <row r="92" spans="1:37">
      <c r="A92" s="3253"/>
      <c r="B92" s="3253"/>
      <c r="C92" s="945" t="s">
        <v>2845</v>
      </c>
      <c r="D92" s="945" t="s">
        <v>2846</v>
      </c>
      <c r="E92" s="945" t="s">
        <v>2847</v>
      </c>
      <c r="F92" s="945" t="s">
        <v>2848</v>
      </c>
      <c r="G92" s="945" t="s">
        <v>2849</v>
      </c>
      <c r="H92" s="945" t="s">
        <v>2850</v>
      </c>
      <c r="I92" s="945" t="s">
        <v>2851</v>
      </c>
      <c r="J92" s="945" t="s">
        <v>2852</v>
      </c>
      <c r="K92" s="945" t="s">
        <v>2853</v>
      </c>
      <c r="L92" s="945" t="s">
        <v>2854</v>
      </c>
      <c r="M92" s="945" t="s">
        <v>2855</v>
      </c>
      <c r="N92" s="945" t="s">
        <v>2856</v>
      </c>
    </row>
    <row r="93" spans="1:37">
      <c r="A93" s="3254" t="s">
        <v>2980</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55"/>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55"/>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55"/>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55"/>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55"/>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55"/>
      <c r="B99" s="2900" t="s">
        <v>2861</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56"/>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54" t="s">
        <v>2981</v>
      </c>
      <c r="B101" s="2904" t="s">
        <v>2982</v>
      </c>
      <c r="C101" s="2905">
        <f>$G$3</f>
        <v>4.82</v>
      </c>
      <c r="D101" s="2905">
        <f t="shared" ref="D101:N101" si="31">$G$3</f>
        <v>4.82</v>
      </c>
      <c r="E101" s="2905">
        <f t="shared" si="31"/>
        <v>4.82</v>
      </c>
      <c r="F101" s="2905">
        <f t="shared" si="31"/>
        <v>4.82</v>
      </c>
      <c r="G101" s="2905">
        <f t="shared" si="31"/>
        <v>4.82</v>
      </c>
      <c r="H101" s="2905">
        <f t="shared" si="31"/>
        <v>4.82</v>
      </c>
      <c r="I101" s="2905">
        <f t="shared" si="31"/>
        <v>4.82</v>
      </c>
      <c r="J101" s="2905">
        <f t="shared" si="31"/>
        <v>4.82</v>
      </c>
      <c r="K101" s="2905">
        <f t="shared" si="31"/>
        <v>4.82</v>
      </c>
      <c r="L101" s="2905">
        <f t="shared" si="31"/>
        <v>4.82</v>
      </c>
      <c r="M101" s="2905">
        <f t="shared" si="31"/>
        <v>4.82</v>
      </c>
      <c r="N101" s="2905">
        <f t="shared" si="31"/>
        <v>4.82</v>
      </c>
    </row>
    <row r="102" spans="1:14">
      <c r="A102" s="3255"/>
      <c r="B102" s="2900">
        <v>1</v>
      </c>
      <c r="C102" s="2901">
        <f>1.9362/C101</f>
        <v>0.40170124481327796</v>
      </c>
      <c r="D102" s="2901">
        <f>1.9362/D101</f>
        <v>0.40170124481327796</v>
      </c>
      <c r="E102" s="2901">
        <f>1.8629/E101</f>
        <v>0.38649377593360995</v>
      </c>
      <c r="F102" s="2901">
        <f>1.8629/F101</f>
        <v>0.38649377593360995</v>
      </c>
      <c r="G102" s="2901">
        <f>1.8629/G101</f>
        <v>0.38649377593360995</v>
      </c>
      <c r="H102" s="2901">
        <f>1.8629/H101</f>
        <v>0.38649377593360995</v>
      </c>
      <c r="I102" s="2901">
        <f>1.8629/I101</f>
        <v>0.38649377593360995</v>
      </c>
      <c r="J102" s="2901">
        <f>1.942/J101</f>
        <v>0.40290456431535265</v>
      </c>
      <c r="K102" s="2901">
        <f>1.942/K101</f>
        <v>0.40290456431535265</v>
      </c>
      <c r="L102" s="2901">
        <f>1.942/L101</f>
        <v>0.40290456431535265</v>
      </c>
      <c r="M102" s="2901">
        <f>1.942/M101</f>
        <v>0.40290456431535265</v>
      </c>
      <c r="N102" s="2901">
        <f>1.942/N101</f>
        <v>0.40290456431535265</v>
      </c>
    </row>
    <row r="103" spans="1:14">
      <c r="A103" s="3255"/>
      <c r="B103" s="2900">
        <v>2</v>
      </c>
      <c r="C103" s="2901">
        <f>1.4198/C101</f>
        <v>0.29456431535269706</v>
      </c>
      <c r="D103" s="2901">
        <f>1.4198/D101</f>
        <v>0.29456431535269706</v>
      </c>
      <c r="E103" s="2901">
        <f>1.3372/E101</f>
        <v>0.27742738589211613</v>
      </c>
      <c r="F103" s="2901">
        <f>1.3372/F101</f>
        <v>0.27742738589211613</v>
      </c>
      <c r="G103" s="2901">
        <f>1.3372/G101</f>
        <v>0.27742738589211613</v>
      </c>
      <c r="H103" s="2901">
        <f>1.3372/H101</f>
        <v>0.27742738589211613</v>
      </c>
      <c r="I103" s="2901">
        <f>1.3372/I101</f>
        <v>0.27742738589211613</v>
      </c>
      <c r="J103" s="2901">
        <f>1.2799/J101</f>
        <v>0.26553941908713691</v>
      </c>
      <c r="K103" s="2901">
        <f>1.2799/K101</f>
        <v>0.26553941908713691</v>
      </c>
      <c r="L103" s="2901">
        <f>1.2799/L101</f>
        <v>0.26553941908713691</v>
      </c>
      <c r="M103" s="2901">
        <f>1.2799/M101</f>
        <v>0.26553941908713691</v>
      </c>
      <c r="N103" s="2901">
        <f>1.2799/N101</f>
        <v>0.26553941908713691</v>
      </c>
    </row>
    <row r="104" spans="1:14">
      <c r="A104" s="3255"/>
      <c r="B104" s="2900">
        <v>3</v>
      </c>
      <c r="C104" s="2901">
        <f>1.1594/C101</f>
        <v>0.24053941908713691</v>
      </c>
      <c r="D104" s="2901">
        <f>1.1594/D101</f>
        <v>0.24053941908713691</v>
      </c>
      <c r="E104" s="2901">
        <f>1.0788/E101</f>
        <v>0.22381742738589211</v>
      </c>
      <c r="F104" s="2901">
        <f>1.0788/F101</f>
        <v>0.22381742738589211</v>
      </c>
      <c r="G104" s="2901">
        <f>1.0788/G101</f>
        <v>0.22381742738589211</v>
      </c>
      <c r="H104" s="2901">
        <f>1.0788/H101</f>
        <v>0.22381742738589211</v>
      </c>
      <c r="I104" s="2901">
        <f>1.0788/I101</f>
        <v>0.22381742738589211</v>
      </c>
      <c r="J104" s="2901">
        <f>1.0072/J101</f>
        <v>0.20896265560165975</v>
      </c>
      <c r="K104" s="2901">
        <f>1.0072/K101</f>
        <v>0.20896265560165975</v>
      </c>
      <c r="L104" s="2901">
        <f>1.0072/L101</f>
        <v>0.20896265560165975</v>
      </c>
      <c r="M104" s="2901">
        <f>1.0072/M101</f>
        <v>0.20896265560165975</v>
      </c>
      <c r="N104" s="2901">
        <f>1.0072/N101</f>
        <v>0.20896265560165975</v>
      </c>
    </row>
    <row r="105" spans="1:14">
      <c r="A105" s="3255"/>
      <c r="B105" s="2900">
        <v>4</v>
      </c>
      <c r="C105" s="2901">
        <f>0.9622/C101</f>
        <v>0.19962655601659751</v>
      </c>
      <c r="D105" s="2901">
        <f>0.9622/D101</f>
        <v>0.19962655601659751</v>
      </c>
      <c r="E105" s="2901">
        <f>0.8656/E101</f>
        <v>0.1795850622406639</v>
      </c>
      <c r="F105" s="2901">
        <f>0.8656/F101</f>
        <v>0.1795850622406639</v>
      </c>
      <c r="G105" s="2901">
        <f>0.8656/G101</f>
        <v>0.1795850622406639</v>
      </c>
      <c r="H105" s="2901">
        <f>0.8656/H101</f>
        <v>0.1795850622406639</v>
      </c>
      <c r="I105" s="2901">
        <f>0.8656/I101</f>
        <v>0.1795850622406639</v>
      </c>
      <c r="J105" s="2901">
        <f>0.7525/J101</f>
        <v>0.15612033195020744</v>
      </c>
      <c r="K105" s="2901">
        <f>0.7525/K101</f>
        <v>0.15612033195020744</v>
      </c>
      <c r="L105" s="2901">
        <f>0.7525/L101</f>
        <v>0.15612033195020744</v>
      </c>
      <c r="M105" s="2901">
        <f>0.7525/M101</f>
        <v>0.15612033195020744</v>
      </c>
      <c r="N105" s="2901">
        <f>0.7525/N101</f>
        <v>0.15612033195020744</v>
      </c>
    </row>
    <row r="106" spans="1:14">
      <c r="A106" s="3255"/>
      <c r="B106" s="2900">
        <v>5</v>
      </c>
      <c r="C106" s="2901">
        <f>0.8417/C101</f>
        <v>0.17462655601659749</v>
      </c>
      <c r="D106" s="2901">
        <f>0.8417/D101</f>
        <v>0.17462655601659749</v>
      </c>
      <c r="E106" s="2901">
        <f>0.7371/E101</f>
        <v>0.15292531120331948</v>
      </c>
      <c r="F106" s="2901">
        <f>0.7371/F101</f>
        <v>0.15292531120331948</v>
      </c>
      <c r="G106" s="2901">
        <f>0.7371/G101</f>
        <v>0.15292531120331948</v>
      </c>
      <c r="H106" s="2901">
        <f>0.7371/H101</f>
        <v>0.15292531120331948</v>
      </c>
      <c r="I106" s="2901">
        <f>0.7371/I101</f>
        <v>0.15292531120331948</v>
      </c>
      <c r="J106" s="2901">
        <f>0.5659/J101</f>
        <v>0.11740663900414937</v>
      </c>
      <c r="K106" s="2901">
        <f>0.5659/K101</f>
        <v>0.11740663900414937</v>
      </c>
      <c r="L106" s="2901">
        <f>0.5659/L101</f>
        <v>0.11740663900414937</v>
      </c>
      <c r="M106" s="2901">
        <f>0.5659/M101</f>
        <v>0.11740663900414937</v>
      </c>
      <c r="N106" s="2901">
        <f>0.5659/N101</f>
        <v>0.11740663900414937</v>
      </c>
    </row>
    <row r="107" spans="1:14">
      <c r="A107" s="3255"/>
      <c r="B107" s="2900">
        <v>6</v>
      </c>
      <c r="C107" s="2901">
        <f>0.7608/C101</f>
        <v>0.15784232365145229</v>
      </c>
      <c r="D107" s="2901">
        <f>0.7608/D101</f>
        <v>0.15784232365145229</v>
      </c>
      <c r="E107" s="2901">
        <f>0.6482/E101</f>
        <v>0.13448132780082986</v>
      </c>
      <c r="F107" s="2901">
        <f>0.6482/F101</f>
        <v>0.13448132780082986</v>
      </c>
      <c r="G107" s="2901">
        <f>0.6482/G101</f>
        <v>0.13448132780082986</v>
      </c>
      <c r="H107" s="2901">
        <f>0.6482/H101</f>
        <v>0.13448132780082986</v>
      </c>
      <c r="I107" s="2901">
        <f>0.6482/I101</f>
        <v>0.13448132780082986</v>
      </c>
      <c r="J107" s="2901">
        <f>0.4525/J101</f>
        <v>9.3879668049792531E-2</v>
      </c>
      <c r="K107" s="2901">
        <f>0.4525/K101</f>
        <v>9.3879668049792531E-2</v>
      </c>
      <c r="L107" s="2901">
        <f>0.4525/L101</f>
        <v>9.3879668049792531E-2</v>
      </c>
      <c r="M107" s="2901">
        <f>0.4525/M101</f>
        <v>9.3879668049792531E-2</v>
      </c>
      <c r="N107" s="2901">
        <f>0.4525/N101</f>
        <v>9.3879668049792531E-2</v>
      </c>
    </row>
    <row r="108" spans="1:14">
      <c r="A108" s="3255"/>
      <c r="B108" s="3139" t="s">
        <v>2983</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56"/>
      <c r="B109" s="3140"/>
      <c r="C109" s="2903">
        <f>(-0.163*(C108^2)-0.59*C108+7617)*(10^(-4))/C101</f>
        <v>0.15802904564315354</v>
      </c>
      <c r="D109" s="2903">
        <f>(-0.163*(D108^2)-0.59*D108+7617)*(10^(-4))/D101</f>
        <v>0.15802904564315354</v>
      </c>
      <c r="E109" s="2903">
        <f>(-0.161*(E108^2)-7.509*E108+6533)*(10^(-4))/E101</f>
        <v>0.13553941908713693</v>
      </c>
      <c r="F109" s="2903">
        <f>(-0.161*(F108^2)-7.509*F108+6533)*(10^(-4))/F101</f>
        <v>0.13553941908713693</v>
      </c>
      <c r="G109" s="2903">
        <f>(-0.161*(G108^2)-7.509*G108+6533)*(10^(-4))/G101</f>
        <v>0.13553941908713693</v>
      </c>
      <c r="H109" s="2903">
        <f>(-0.161*(H108^2)-7.509*H108+6533)*(10^(-4))/H101</f>
        <v>0.13553941908713693</v>
      </c>
      <c r="I109" s="2903">
        <f>(-0.161*(I108^2)-7.509*I108+6533)*(10^(-4))/I101</f>
        <v>0.13553941908713693</v>
      </c>
      <c r="J109" s="2903">
        <f>(-0.214*(J108^2)-21.991*J108+4665)*(10^(-4))/J101</f>
        <v>9.6784232365145231E-2</v>
      </c>
      <c r="K109" s="2903">
        <f>(-0.214*(K108^2)-21.991*K108+4665)*(10^(-4))/K101</f>
        <v>9.6784232365145231E-2</v>
      </c>
      <c r="L109" s="2903">
        <f>(-0.214*(L108^2)-21.991*L108+4665)*(10^(-4))/L101</f>
        <v>9.6784232365145231E-2</v>
      </c>
      <c r="M109" s="2903">
        <f>(-0.214*(M108^2)-21.991*M108+4665)*(10^(-4))/M101</f>
        <v>9.6784232365145231E-2</v>
      </c>
      <c r="N109" s="2903">
        <f>(-0.214*(N108^2)-21.991*N108+4665)*(10^(-4))/N101</f>
        <v>9.6784232365145231E-2</v>
      </c>
    </row>
    <row r="110" spans="1:14">
      <c r="A110" s="3252" t="s">
        <v>2984</v>
      </c>
      <c r="B110" s="3252"/>
      <c r="C110" s="3252"/>
      <c r="D110" s="3252"/>
      <c r="E110" s="3252"/>
      <c r="F110" s="3252"/>
      <c r="G110" s="3252"/>
      <c r="H110" s="3252"/>
      <c r="I110" s="3252"/>
      <c r="J110" s="3252"/>
      <c r="K110" s="2906"/>
      <c r="L110" s="2906"/>
      <c r="M110" s="2906"/>
      <c r="N110" s="2906"/>
    </row>
    <row r="112" spans="1:14" ht="13.5" thickBot="1"/>
    <row r="113" spans="1:13" ht="25.5" thickBot="1">
      <c r="A113" s="903" t="s">
        <v>2985</v>
      </c>
      <c r="B113" s="1290">
        <f>G3</f>
        <v>4.82</v>
      </c>
      <c r="C113" s="904" t="s">
        <v>2986</v>
      </c>
      <c r="D113" s="905">
        <f>SUMPRODUCT((A115:A118=F113)*(B114:M114=H113)*B115:M118)</f>
        <v>0.85189999999999999</v>
      </c>
      <c r="E113" s="2729" t="s">
        <v>2819</v>
      </c>
      <c r="F113" s="2908" t="str">
        <f>E2</f>
        <v>住宅</v>
      </c>
      <c r="G113" s="2729" t="s">
        <v>2820</v>
      </c>
      <c r="H113" s="2908" t="str">
        <f>G2</f>
        <v>二级</v>
      </c>
      <c r="I113" s="2729"/>
      <c r="J113" s="2909"/>
      <c r="K113" s="2909"/>
      <c r="L113" s="2909"/>
      <c r="M113" s="2909"/>
    </row>
    <row r="114" spans="1:13">
      <c r="A114" s="908"/>
      <c r="B114" s="2910" t="s">
        <v>2987</v>
      </c>
      <c r="C114" s="2910" t="s">
        <v>2988</v>
      </c>
      <c r="D114" s="2910" t="s">
        <v>2989</v>
      </c>
      <c r="E114" s="2911" t="s">
        <v>2990</v>
      </c>
      <c r="F114" s="2911" t="s">
        <v>2991</v>
      </c>
      <c r="G114" s="2911" t="s">
        <v>2992</v>
      </c>
      <c r="H114" s="2912" t="s">
        <v>2993</v>
      </c>
      <c r="I114" s="2912" t="s">
        <v>2994</v>
      </c>
      <c r="J114" s="2913" t="s">
        <v>2995</v>
      </c>
      <c r="K114" s="2913" t="s">
        <v>2996</v>
      </c>
      <c r="L114" s="2913" t="s">
        <v>2997</v>
      </c>
      <c r="M114" s="2914" t="s">
        <v>2998</v>
      </c>
    </row>
    <row r="115" spans="1:13">
      <c r="A115" s="909" t="s">
        <v>2883</v>
      </c>
      <c r="B115" s="910">
        <f>ROUND(0.9335-0.0094*B113,4)</f>
        <v>0.88819999999999999</v>
      </c>
      <c r="C115" s="910">
        <f>B115</f>
        <v>0.88819999999999999</v>
      </c>
      <c r="D115" s="910">
        <f>ROUND(0.8331-0.0109*B113,4)</f>
        <v>0.78059999999999996</v>
      </c>
      <c r="E115" s="910">
        <f>D115</f>
        <v>0.78059999999999996</v>
      </c>
      <c r="F115" s="910">
        <f>E115</f>
        <v>0.78059999999999996</v>
      </c>
      <c r="G115" s="910">
        <f>F115</f>
        <v>0.78059999999999996</v>
      </c>
      <c r="H115" s="910">
        <f>G115</f>
        <v>0.78059999999999996</v>
      </c>
      <c r="I115" s="910">
        <f>ROUND(0.689-0.0155*B113,4)</f>
        <v>0.61429999999999996</v>
      </c>
      <c r="J115" s="910">
        <f t="shared" ref="J115:M118" si="33">I115</f>
        <v>0.61429999999999996</v>
      </c>
      <c r="K115" s="910">
        <f t="shared" si="33"/>
        <v>0.61429999999999996</v>
      </c>
      <c r="L115" s="910">
        <f t="shared" si="33"/>
        <v>0.61429999999999996</v>
      </c>
      <c r="M115" s="911">
        <f t="shared" si="33"/>
        <v>0.61429999999999996</v>
      </c>
    </row>
    <row r="116" spans="1:13">
      <c r="A116" s="909" t="s">
        <v>2884</v>
      </c>
      <c r="B116" s="910">
        <f>ROUND(0.949-0.012*B113,4)</f>
        <v>0.89119999999999999</v>
      </c>
      <c r="C116" s="910">
        <f>B116</f>
        <v>0.89119999999999999</v>
      </c>
      <c r="D116" s="910">
        <f>ROUND(0.8567-0.013*B113,4)</f>
        <v>0.79400000000000004</v>
      </c>
      <c r="E116" s="910">
        <f t="shared" ref="E116:H117" si="34">D116</f>
        <v>0.79400000000000004</v>
      </c>
      <c r="F116" s="910">
        <f t="shared" si="34"/>
        <v>0.79400000000000004</v>
      </c>
      <c r="G116" s="910">
        <f t="shared" si="34"/>
        <v>0.79400000000000004</v>
      </c>
      <c r="H116" s="910">
        <f t="shared" si="34"/>
        <v>0.79400000000000004</v>
      </c>
      <c r="I116" s="910">
        <f>ROUND(0.7694-0.014*B113,4)</f>
        <v>0.70189999999999997</v>
      </c>
      <c r="J116" s="910">
        <f t="shared" si="33"/>
        <v>0.70189999999999997</v>
      </c>
      <c r="K116" s="910">
        <f t="shared" si="33"/>
        <v>0.70189999999999997</v>
      </c>
      <c r="L116" s="910">
        <f t="shared" si="33"/>
        <v>0.70189999999999997</v>
      </c>
      <c r="M116" s="911">
        <f t="shared" si="33"/>
        <v>0.70189999999999997</v>
      </c>
    </row>
    <row r="117" spans="1:13">
      <c r="A117" s="909" t="s">
        <v>2885</v>
      </c>
      <c r="B117" s="910">
        <f>ROUND(0.8808-0.006*B113,4)</f>
        <v>0.85189999999999999</v>
      </c>
      <c r="C117" s="910">
        <f>B117</f>
        <v>0.85189999999999999</v>
      </c>
      <c r="D117" s="910">
        <f>ROUND(0.8748-0.008*B113,4)</f>
        <v>0.83620000000000005</v>
      </c>
      <c r="E117" s="910">
        <f t="shared" si="34"/>
        <v>0.83620000000000005</v>
      </c>
      <c r="F117" s="910">
        <f t="shared" si="34"/>
        <v>0.83620000000000005</v>
      </c>
      <c r="G117" s="910">
        <f t="shared" si="34"/>
        <v>0.83620000000000005</v>
      </c>
      <c r="H117" s="910">
        <f t="shared" si="34"/>
        <v>0.83620000000000005</v>
      </c>
      <c r="I117" s="910">
        <f>ROUND(0.7412-0.0095*B113,4)</f>
        <v>0.69540000000000002</v>
      </c>
      <c r="J117" s="910">
        <f t="shared" si="33"/>
        <v>0.69540000000000002</v>
      </c>
      <c r="K117" s="910">
        <f t="shared" si="33"/>
        <v>0.69540000000000002</v>
      </c>
      <c r="L117" s="910">
        <f t="shared" si="33"/>
        <v>0.69540000000000002</v>
      </c>
      <c r="M117" s="911">
        <f t="shared" si="33"/>
        <v>0.69540000000000002</v>
      </c>
    </row>
    <row r="118" spans="1:13" ht="13.5" thickBot="1">
      <c r="A118" s="714" t="s">
        <v>2886</v>
      </c>
      <c r="B118" s="912">
        <f>ROUND(0.7275-0.01*B113,4)</f>
        <v>0.67930000000000001</v>
      </c>
      <c r="C118" s="912">
        <f>B118</f>
        <v>0.67930000000000001</v>
      </c>
      <c r="D118" s="912">
        <f>ROUND(0.7043-0.012*B113,4)</f>
        <v>0.64649999999999996</v>
      </c>
      <c r="E118" s="912">
        <f>D118</f>
        <v>0.64649999999999996</v>
      </c>
      <c r="F118" s="912">
        <f>E118</f>
        <v>0.64649999999999996</v>
      </c>
      <c r="G118" s="912">
        <f>ROUND(0.6299-0.0122*B113,4)</f>
        <v>0.57110000000000005</v>
      </c>
      <c r="H118" s="912">
        <f>G118</f>
        <v>0.57110000000000005</v>
      </c>
      <c r="I118" s="912">
        <f>ROUND(0.5667-0.0136*B113,4)</f>
        <v>0.50109999999999999</v>
      </c>
      <c r="J118" s="912">
        <f t="shared" si="33"/>
        <v>0.50109999999999999</v>
      </c>
      <c r="K118" s="912">
        <f t="shared" si="33"/>
        <v>0.50109999999999999</v>
      </c>
      <c r="L118" s="912">
        <f t="shared" si="33"/>
        <v>0.50109999999999999</v>
      </c>
      <c r="M118" s="913">
        <f t="shared" si="33"/>
        <v>0.50109999999999999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2" sqref="R2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3009</v>
      </c>
      <c r="C1" s="3261" t="s">
        <v>3010</v>
      </c>
      <c r="D1" s="3262"/>
      <c r="E1" s="3262"/>
      <c r="F1" s="3262"/>
      <c r="G1" s="3262"/>
      <c r="H1" s="3262"/>
      <c r="I1" s="3262"/>
      <c r="J1" s="3262"/>
      <c r="K1" s="3262"/>
      <c r="L1" s="3262"/>
      <c r="M1" s="3262"/>
      <c r="N1" s="3262"/>
      <c r="O1" s="3262"/>
      <c r="P1" s="3262"/>
      <c r="Q1" s="3262"/>
      <c r="R1" s="3262"/>
      <c r="S1" s="3263"/>
      <c r="T1" s="1207" t="s">
        <v>3011</v>
      </c>
    </row>
    <row r="2" spans="1:45" s="707" customFormat="1" ht="38.25">
      <c r="A2" s="1208"/>
      <c r="B2" s="703" t="s">
        <v>3012</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100</v>
      </c>
      <c r="E3" s="710">
        <v>200</v>
      </c>
      <c r="F3" s="1707">
        <v>300</v>
      </c>
      <c r="G3" s="1707">
        <v>400</v>
      </c>
      <c r="H3" s="1707">
        <v>500</v>
      </c>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98</v>
      </c>
      <c r="E4" s="1214">
        <v>96</v>
      </c>
      <c r="F4" s="1711">
        <v>94</v>
      </c>
      <c r="G4" s="1711">
        <v>92</v>
      </c>
      <c r="H4" s="1711">
        <v>90</v>
      </c>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2960" t="s">
        <v>3139</v>
      </c>
      <c r="C5" s="2961" t="s">
        <v>3140</v>
      </c>
      <c r="D5" s="2962" t="s">
        <v>3141</v>
      </c>
      <c r="E5" s="2962" t="s">
        <v>3142</v>
      </c>
      <c r="F5" s="1714"/>
      <c r="G5" s="1714"/>
      <c r="H5" s="1714"/>
      <c r="I5" s="1714"/>
      <c r="J5" s="1714"/>
      <c r="K5" s="1714"/>
      <c r="L5" s="1715"/>
      <c r="M5" s="1716"/>
      <c r="N5" s="1716"/>
      <c r="O5" s="1714"/>
      <c r="P5" s="1714"/>
      <c r="Q5" s="1714"/>
      <c r="R5" s="1714"/>
      <c r="S5" s="1717"/>
      <c r="T5" s="1222">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98</v>
      </c>
      <c r="E6" s="1122">
        <f t="shared" ref="E6:S6" si="7">D6-$T5</f>
        <v>96</v>
      </c>
      <c r="F6" s="1718">
        <f t="shared" si="7"/>
        <v>94</v>
      </c>
      <c r="G6" s="1718">
        <f t="shared" si="7"/>
        <v>92</v>
      </c>
      <c r="H6" s="1718">
        <f t="shared" si="7"/>
        <v>90</v>
      </c>
      <c r="I6" s="1718">
        <f t="shared" si="7"/>
        <v>88</v>
      </c>
      <c r="J6" s="1718">
        <f t="shared" si="7"/>
        <v>86</v>
      </c>
      <c r="K6" s="1718">
        <f t="shared" si="7"/>
        <v>84</v>
      </c>
      <c r="L6" s="1718">
        <f t="shared" si="7"/>
        <v>82</v>
      </c>
      <c r="M6" s="1718">
        <f t="shared" si="7"/>
        <v>80</v>
      </c>
      <c r="N6" s="1718">
        <f t="shared" si="7"/>
        <v>78</v>
      </c>
      <c r="O6" s="1718">
        <f t="shared" si="7"/>
        <v>76</v>
      </c>
      <c r="P6" s="1718">
        <f t="shared" si="7"/>
        <v>74</v>
      </c>
      <c r="Q6" s="1718">
        <f t="shared" si="7"/>
        <v>72</v>
      </c>
      <c r="R6" s="1718">
        <f t="shared" si="7"/>
        <v>70</v>
      </c>
      <c r="S6" s="1718">
        <f t="shared" si="7"/>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2970" t="s">
        <v>3162</v>
      </c>
      <c r="C7" s="2971" t="s">
        <v>3164</v>
      </c>
      <c r="D7" s="2972" t="s">
        <v>3166</v>
      </c>
      <c r="E7" s="2972" t="s">
        <v>3167</v>
      </c>
      <c r="F7" s="2973" t="s">
        <v>3168</v>
      </c>
      <c r="G7" s="2973" t="s">
        <v>3170</v>
      </c>
      <c r="H7" s="2973" t="s">
        <v>3171</v>
      </c>
      <c r="I7" s="2973" t="s">
        <v>3169</v>
      </c>
      <c r="J7" s="2973" t="s">
        <v>3174</v>
      </c>
      <c r="K7" s="2973" t="s">
        <v>3175</v>
      </c>
      <c r="L7" s="2973" t="s">
        <v>3172</v>
      </c>
      <c r="M7" s="1720"/>
      <c r="N7" s="1721"/>
      <c r="O7" s="1722"/>
      <c r="P7" s="1723"/>
      <c r="Q7" s="1724"/>
      <c r="R7" s="1725"/>
      <c r="S7" s="1726"/>
      <c r="T7" s="713">
        <v>1</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99</v>
      </c>
      <c r="E8" s="1122">
        <f t="shared" ref="E8:S8" si="8">D8-$T7</f>
        <v>98</v>
      </c>
      <c r="F8" s="1718">
        <f t="shared" si="8"/>
        <v>97</v>
      </c>
      <c r="G8" s="1718">
        <f t="shared" si="8"/>
        <v>96</v>
      </c>
      <c r="H8" s="1718">
        <f t="shared" si="8"/>
        <v>95</v>
      </c>
      <c r="I8" s="1718">
        <f t="shared" si="8"/>
        <v>94</v>
      </c>
      <c r="J8" s="1718">
        <f t="shared" si="8"/>
        <v>93</v>
      </c>
      <c r="K8" s="1718">
        <f t="shared" si="8"/>
        <v>92</v>
      </c>
      <c r="L8" s="1718">
        <f t="shared" si="8"/>
        <v>91</v>
      </c>
      <c r="M8" s="1718">
        <f t="shared" si="8"/>
        <v>90</v>
      </c>
      <c r="N8" s="1718">
        <f t="shared" si="8"/>
        <v>89</v>
      </c>
      <c r="O8" s="1718">
        <f t="shared" si="8"/>
        <v>88</v>
      </c>
      <c r="P8" s="1718">
        <f t="shared" si="8"/>
        <v>87</v>
      </c>
      <c r="Q8" s="1718">
        <f t="shared" si="8"/>
        <v>86</v>
      </c>
      <c r="R8" s="1718">
        <f t="shared" si="8"/>
        <v>85</v>
      </c>
      <c r="S8" s="1718">
        <f t="shared" si="8"/>
        <v>84</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3017</v>
      </c>
      <c r="B17" s="2922"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3019</v>
      </c>
      <c r="E19" s="1795"/>
      <c r="F19" s="1795"/>
      <c r="G19" s="1795"/>
      <c r="H19" s="1283"/>
      <c r="I19" s="168"/>
      <c r="J19" s="168"/>
      <c r="K19" s="168"/>
      <c r="L19" s="168"/>
      <c r="M19" s="168"/>
      <c r="N19" s="168"/>
      <c r="O19" s="168"/>
      <c r="P19" s="168"/>
      <c r="Q19" s="168"/>
      <c r="R19" s="788"/>
      <c r="S19" s="138"/>
    </row>
    <row r="20" spans="1:45" ht="16.5" thickBot="1">
      <c r="A20" s="715" t="s">
        <v>3020</v>
      </c>
      <c r="B20" s="338">
        <f ca="1">IF(D20="——",S22,S22-F20)</f>
        <v>17981</v>
      </c>
      <c r="C20" s="168"/>
      <c r="D20" s="2924" t="s">
        <v>70</v>
      </c>
      <c r="E20" s="1796"/>
      <c r="F20" s="1207" t="e">
        <f ca="1">SUMIF(INDIRECT("'"&amp;H20&amp;"'"&amp;"!A:A"),"承租人权益价值",INDIRECT("'"&amp;H20&amp;"'"&amp;"!c:c"))</f>
        <v>#REF!</v>
      </c>
      <c r="G20" s="1207" t="s">
        <v>3021</v>
      </c>
      <c r="H20" s="2925"/>
      <c r="I20" s="168"/>
      <c r="J20" s="168"/>
      <c r="K20" s="168"/>
      <c r="L20" s="168"/>
      <c r="M20" s="168"/>
      <c r="N20" s="168"/>
      <c r="O20" s="168"/>
      <c r="P20" s="168"/>
      <c r="Q20" s="168"/>
      <c r="R20" s="788"/>
      <c r="S20" s="138"/>
    </row>
    <row r="21" spans="1:45" ht="15.75">
      <c r="A21" s="715" t="s">
        <v>3022</v>
      </c>
      <c r="B21" s="338">
        <f ca="1">R22</f>
        <v>129311</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1390.52</v>
      </c>
      <c r="C22" s="3161" t="s">
        <v>33</v>
      </c>
      <c r="D22" s="3162"/>
      <c r="E22" s="3162"/>
      <c r="F22" s="3162"/>
      <c r="G22" s="3162"/>
      <c r="H22" s="3162"/>
      <c r="I22" s="3162"/>
      <c r="J22" s="3162"/>
      <c r="K22" s="3162"/>
      <c r="L22" s="3162"/>
      <c r="M22" s="3162"/>
      <c r="N22" s="3162"/>
      <c r="O22" s="3162"/>
      <c r="P22" s="3162"/>
      <c r="Q22" s="3260"/>
      <c r="R22" s="716">
        <f ca="1">ROUND(S22*10000/B22,0)</f>
        <v>129311</v>
      </c>
      <c r="S22" s="24">
        <f ca="1">SUM(S24:S10000)</f>
        <v>17981</v>
      </c>
    </row>
    <row r="23" spans="1:45" s="12" customFormat="1" ht="24">
      <c r="A23" s="11" t="s">
        <v>3024</v>
      </c>
      <c r="B23" s="11" t="s">
        <v>3025</v>
      </c>
      <c r="C23" s="11" t="s">
        <v>3026</v>
      </c>
      <c r="D23" s="11" t="str">
        <f>B5</f>
        <v>楼层</v>
      </c>
      <c r="E23" s="11" t="s">
        <v>3026</v>
      </c>
      <c r="F23" s="11" t="str">
        <f>B7</f>
        <v>朝向</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3087</v>
      </c>
      <c r="B24" s="718">
        <v>166.41</v>
      </c>
      <c r="C24" s="719">
        <v>1</v>
      </c>
      <c r="D24" s="720" t="s">
        <v>3105</v>
      </c>
      <c r="E24" s="719">
        <v>1</v>
      </c>
      <c r="F24" s="720" t="s">
        <v>3173</v>
      </c>
      <c r="G24" s="719">
        <v>1</v>
      </c>
      <c r="H24" s="720"/>
      <c r="I24" s="719">
        <v>1</v>
      </c>
      <c r="J24" s="720"/>
      <c r="K24" s="719">
        <v>1</v>
      </c>
      <c r="L24" s="720"/>
      <c r="M24" s="719">
        <v>1</v>
      </c>
      <c r="N24" s="720"/>
      <c r="O24" s="719">
        <v>1</v>
      </c>
      <c r="P24" s="720"/>
      <c r="Q24" s="719">
        <v>1</v>
      </c>
      <c r="R24" s="721">
        <f ca="1">结果表!G20</f>
        <v>124388</v>
      </c>
      <c r="S24" s="719">
        <f t="shared" ref="S24:S54" ca="1" si="11">ROUND(R24*B24/10000,0)</f>
        <v>2070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3091</v>
      </c>
      <c r="B25" s="59">
        <v>287.17</v>
      </c>
      <c r="C25" s="24">
        <f>IF(B25="",1,(LOOKUP(B25,$3:$3,$4:$4)-LOOKUP($B$24,$3:$3,$4:$4)+100)/100)</f>
        <v>0.98</v>
      </c>
      <c r="D25" s="720" t="s">
        <v>3105</v>
      </c>
      <c r="E25" s="24">
        <f>(SUMIF($5:$5,D25,$6:$6)-SUMIF($5:$5,$D$24,$6:$6)+100)/100</f>
        <v>1</v>
      </c>
      <c r="F25" s="720" t="s">
        <v>3165</v>
      </c>
      <c r="G25" s="24">
        <f>(SUMIF($7:$7,F25,$8:$8)-SUMIF($7:$7,$F$24,$8:$8)+100)/100</f>
        <v>1.06</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129214</v>
      </c>
      <c r="S25" s="361">
        <f t="shared" ca="1" si="11"/>
        <v>3711</v>
      </c>
    </row>
    <row r="26" spans="1:45">
      <c r="A26" s="159" t="s">
        <v>3092</v>
      </c>
      <c r="B26" s="59">
        <v>97.32</v>
      </c>
      <c r="C26" s="24">
        <f t="shared" ref="C26:C89" si="12">IF(B26="",1,(LOOKUP(B26,$3:$3,$4:$4)-LOOKUP($B$24,$3:$3,$4:$4)+100)/100)</f>
        <v>1.02</v>
      </c>
      <c r="D26" s="720" t="s">
        <v>3105</v>
      </c>
      <c r="E26" s="24">
        <f t="shared" ref="E26:E89" si="13">(SUMIF($5:$5,D26,$6:$6)-SUMIF($5:$5,$D$24,$6:$6)+100)/100</f>
        <v>1</v>
      </c>
      <c r="F26" s="720" t="s">
        <v>3165</v>
      </c>
      <c r="G26" s="24">
        <f t="shared" ref="G26:G89" si="14">(SUMIF($7:$7,F26,$8:$8)-SUMIF($7:$7,$F$24,$8:$8)+100)/100</f>
        <v>1.06</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134488</v>
      </c>
      <c r="S26" s="361">
        <f t="shared" ca="1" si="11"/>
        <v>1309</v>
      </c>
    </row>
    <row r="27" spans="1:45">
      <c r="A27" s="159" t="s">
        <v>3093</v>
      </c>
      <c r="B27" s="59">
        <v>166.41</v>
      </c>
      <c r="C27" s="24">
        <f t="shared" si="12"/>
        <v>1</v>
      </c>
      <c r="D27" s="720" t="s">
        <v>3105</v>
      </c>
      <c r="E27" s="24">
        <f t="shared" si="13"/>
        <v>1</v>
      </c>
      <c r="F27" s="720" t="s">
        <v>3173</v>
      </c>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124388</v>
      </c>
      <c r="S27" s="361">
        <f t="shared" ca="1" si="11"/>
        <v>2070</v>
      </c>
    </row>
    <row r="28" spans="1:45">
      <c r="A28" s="159" t="s">
        <v>3094</v>
      </c>
      <c r="B28" s="59">
        <v>287.17</v>
      </c>
      <c r="C28" s="24">
        <f t="shared" si="12"/>
        <v>0.98</v>
      </c>
      <c r="D28" s="720" t="s">
        <v>3105</v>
      </c>
      <c r="E28" s="24">
        <f t="shared" si="13"/>
        <v>1</v>
      </c>
      <c r="F28" s="720" t="s">
        <v>3163</v>
      </c>
      <c r="G28" s="24">
        <f t="shared" si="14"/>
        <v>1.07</v>
      </c>
      <c r="H28" s="720"/>
      <c r="I28" s="24">
        <f t="shared" si="15"/>
        <v>1</v>
      </c>
      <c r="J28" s="720"/>
      <c r="K28" s="24">
        <f t="shared" si="16"/>
        <v>1</v>
      </c>
      <c r="L28" s="720"/>
      <c r="M28" s="24">
        <f t="shared" si="17"/>
        <v>1</v>
      </c>
      <c r="N28" s="720"/>
      <c r="O28" s="24">
        <f t="shared" si="18"/>
        <v>1</v>
      </c>
      <c r="P28" s="720"/>
      <c r="Q28" s="24">
        <f t="shared" si="19"/>
        <v>1</v>
      </c>
      <c r="R28" s="716">
        <f t="shared" ca="1" si="20"/>
        <v>130433</v>
      </c>
      <c r="S28" s="361">
        <f t="shared" ca="1" si="11"/>
        <v>3746</v>
      </c>
    </row>
    <row r="29" spans="1:45">
      <c r="A29" s="159" t="s">
        <v>3095</v>
      </c>
      <c r="B29" s="59">
        <v>97.32</v>
      </c>
      <c r="C29" s="24">
        <f t="shared" si="12"/>
        <v>1.02</v>
      </c>
      <c r="D29" s="720" t="s">
        <v>3105</v>
      </c>
      <c r="E29" s="24">
        <f t="shared" si="13"/>
        <v>1</v>
      </c>
      <c r="F29" s="720" t="s">
        <v>3165</v>
      </c>
      <c r="G29" s="24">
        <f t="shared" si="14"/>
        <v>1.06</v>
      </c>
      <c r="H29" s="720"/>
      <c r="I29" s="24">
        <f t="shared" si="15"/>
        <v>1</v>
      </c>
      <c r="J29" s="720"/>
      <c r="K29" s="24">
        <f t="shared" si="16"/>
        <v>1</v>
      </c>
      <c r="L29" s="720"/>
      <c r="M29" s="24">
        <f t="shared" si="17"/>
        <v>1</v>
      </c>
      <c r="N29" s="720"/>
      <c r="O29" s="24">
        <f t="shared" si="18"/>
        <v>1</v>
      </c>
      <c r="P29" s="720"/>
      <c r="Q29" s="24">
        <f t="shared" si="19"/>
        <v>1</v>
      </c>
      <c r="R29" s="716">
        <f t="shared" ca="1" si="20"/>
        <v>134488</v>
      </c>
      <c r="S29" s="361">
        <f t="shared" ca="1" si="11"/>
        <v>1309</v>
      </c>
    </row>
    <row r="30" spans="1:45">
      <c r="A30" s="159" t="s">
        <v>3096</v>
      </c>
      <c r="B30" s="59">
        <v>288.72000000000003</v>
      </c>
      <c r="C30" s="24">
        <f t="shared" si="12"/>
        <v>0.98</v>
      </c>
      <c r="D30" s="720" t="s">
        <v>3105</v>
      </c>
      <c r="E30" s="24">
        <f t="shared" si="13"/>
        <v>1</v>
      </c>
      <c r="F30" s="720" t="s">
        <v>3163</v>
      </c>
      <c r="G30" s="24">
        <f t="shared" si="14"/>
        <v>1.07</v>
      </c>
      <c r="H30" s="720"/>
      <c r="I30" s="24">
        <f t="shared" si="15"/>
        <v>1</v>
      </c>
      <c r="J30" s="720"/>
      <c r="K30" s="24">
        <f t="shared" si="16"/>
        <v>1</v>
      </c>
      <c r="L30" s="720"/>
      <c r="M30" s="24">
        <f t="shared" si="17"/>
        <v>1</v>
      </c>
      <c r="N30" s="720"/>
      <c r="O30" s="24">
        <f t="shared" si="18"/>
        <v>1</v>
      </c>
      <c r="P30" s="720"/>
      <c r="Q30" s="24">
        <f t="shared" si="19"/>
        <v>1</v>
      </c>
      <c r="R30" s="716">
        <f t="shared" ca="1" si="20"/>
        <v>130433</v>
      </c>
      <c r="S30" s="361">
        <f t="shared" ca="1" si="11"/>
        <v>3766</v>
      </c>
    </row>
    <row r="31" spans="1:45">
      <c r="A31" s="159"/>
      <c r="B31" s="59"/>
      <c r="C31" s="24">
        <f t="shared" si="12"/>
        <v>1</v>
      </c>
      <c r="D31" s="720"/>
      <c r="E31" s="24">
        <f t="shared" si="13"/>
        <v>0.02</v>
      </c>
      <c r="F31" s="720"/>
      <c r="G31" s="24">
        <f t="shared" si="14"/>
        <v>7.0000000000000007E-2</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0.02</v>
      </c>
      <c r="F32" s="720"/>
      <c r="G32" s="24">
        <f t="shared" si="14"/>
        <v>7.0000000000000007E-2</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0.02</v>
      </c>
      <c r="F33" s="720"/>
      <c r="G33" s="24">
        <f t="shared" si="14"/>
        <v>7.0000000000000007E-2</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0.02</v>
      </c>
      <c r="F34" s="720"/>
      <c r="G34" s="24">
        <f t="shared" si="14"/>
        <v>7.0000000000000007E-2</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0.02</v>
      </c>
      <c r="F35" s="720"/>
      <c r="G35" s="24">
        <f t="shared" si="14"/>
        <v>7.0000000000000007E-2</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0.02</v>
      </c>
      <c r="F36" s="720"/>
      <c r="G36" s="24">
        <f t="shared" si="14"/>
        <v>7.0000000000000007E-2</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0.02</v>
      </c>
      <c r="F37" s="720"/>
      <c r="G37" s="24">
        <f t="shared" si="14"/>
        <v>7.0000000000000007E-2</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0.02</v>
      </c>
      <c r="F38" s="720"/>
      <c r="G38" s="24">
        <f t="shared" si="14"/>
        <v>7.0000000000000007E-2</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0.02</v>
      </c>
      <c r="F39" s="720"/>
      <c r="G39" s="24">
        <f t="shared" si="14"/>
        <v>7.0000000000000007E-2</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0.02</v>
      </c>
      <c r="F40" s="720"/>
      <c r="G40" s="24">
        <f t="shared" si="14"/>
        <v>7.0000000000000007E-2</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0.02</v>
      </c>
      <c r="F41" s="720"/>
      <c r="G41" s="24">
        <f t="shared" si="14"/>
        <v>7.0000000000000007E-2</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0.02</v>
      </c>
      <c r="F42" s="720"/>
      <c r="G42" s="24">
        <f t="shared" si="14"/>
        <v>7.0000000000000007E-2</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0.02</v>
      </c>
      <c r="F43" s="720"/>
      <c r="G43" s="24">
        <f t="shared" si="14"/>
        <v>7.0000000000000007E-2</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0.02</v>
      </c>
      <c r="F44" s="720"/>
      <c r="G44" s="24">
        <f t="shared" si="14"/>
        <v>7.0000000000000007E-2</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0.02</v>
      </c>
      <c r="F45" s="720"/>
      <c r="G45" s="24">
        <f t="shared" si="14"/>
        <v>7.0000000000000007E-2</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0.02</v>
      </c>
      <c r="F46" s="720"/>
      <c r="G46" s="24">
        <f t="shared" si="14"/>
        <v>7.0000000000000007E-2</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0.02</v>
      </c>
      <c r="F47" s="720"/>
      <c r="G47" s="24">
        <f t="shared" si="14"/>
        <v>7.0000000000000007E-2</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0.02</v>
      </c>
      <c r="F48" s="720"/>
      <c r="G48" s="24">
        <f t="shared" si="14"/>
        <v>7.0000000000000007E-2</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0.02</v>
      </c>
      <c r="F49" s="720"/>
      <c r="G49" s="24">
        <f t="shared" si="14"/>
        <v>7.0000000000000007E-2</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0.02</v>
      </c>
      <c r="F50" s="720"/>
      <c r="G50" s="24">
        <f t="shared" si="14"/>
        <v>7.0000000000000007E-2</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0.02</v>
      </c>
      <c r="F51" s="720"/>
      <c r="G51" s="24">
        <f t="shared" si="14"/>
        <v>7.0000000000000007E-2</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0.02</v>
      </c>
      <c r="F52" s="720"/>
      <c r="G52" s="24">
        <f t="shared" si="14"/>
        <v>7.0000000000000007E-2</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0.02</v>
      </c>
      <c r="F53" s="720"/>
      <c r="G53" s="24">
        <f t="shared" si="14"/>
        <v>7.0000000000000007E-2</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0.02</v>
      </c>
      <c r="F54" s="720"/>
      <c r="G54" s="24">
        <f t="shared" si="14"/>
        <v>7.0000000000000007E-2</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0.02</v>
      </c>
      <c r="F55" s="720"/>
      <c r="G55" s="24">
        <f t="shared" si="14"/>
        <v>7.0000000000000007E-2</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0.02</v>
      </c>
      <c r="F56" s="720"/>
      <c r="G56" s="24">
        <f t="shared" si="14"/>
        <v>7.0000000000000007E-2</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0.02</v>
      </c>
      <c r="F57" s="720"/>
      <c r="G57" s="24">
        <f t="shared" si="14"/>
        <v>7.0000000000000007E-2</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0.02</v>
      </c>
      <c r="F58" s="720"/>
      <c r="G58" s="24">
        <f t="shared" si="14"/>
        <v>7.0000000000000007E-2</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0.02</v>
      </c>
      <c r="F59" s="720"/>
      <c r="G59" s="24">
        <f t="shared" si="14"/>
        <v>7.0000000000000007E-2</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0.02</v>
      </c>
      <c r="F60" s="720"/>
      <c r="G60" s="24">
        <f t="shared" si="14"/>
        <v>7.0000000000000007E-2</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0.02</v>
      </c>
      <c r="F61" s="720"/>
      <c r="G61" s="24">
        <f t="shared" si="14"/>
        <v>7.0000000000000007E-2</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0.02</v>
      </c>
      <c r="F62" s="720"/>
      <c r="G62" s="24">
        <f t="shared" si="14"/>
        <v>7.0000000000000007E-2</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0.02</v>
      </c>
      <c r="F63" s="720"/>
      <c r="G63" s="24">
        <f t="shared" si="14"/>
        <v>7.0000000000000007E-2</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0.02</v>
      </c>
      <c r="F64" s="720"/>
      <c r="G64" s="24">
        <f t="shared" si="14"/>
        <v>7.0000000000000007E-2</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0.02</v>
      </c>
      <c r="F65" s="720"/>
      <c r="G65" s="24">
        <f t="shared" si="14"/>
        <v>7.0000000000000007E-2</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0.02</v>
      </c>
      <c r="F66" s="720"/>
      <c r="G66" s="24">
        <f t="shared" si="14"/>
        <v>7.0000000000000007E-2</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0.02</v>
      </c>
      <c r="F67" s="720"/>
      <c r="G67" s="24">
        <f t="shared" si="14"/>
        <v>7.0000000000000007E-2</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0.02</v>
      </c>
      <c r="F68" s="720"/>
      <c r="G68" s="24">
        <f t="shared" si="14"/>
        <v>7.0000000000000007E-2</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0.02</v>
      </c>
      <c r="F69" s="720"/>
      <c r="G69" s="24">
        <f t="shared" si="14"/>
        <v>7.0000000000000007E-2</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0.02</v>
      </c>
      <c r="F70" s="720"/>
      <c r="G70" s="24">
        <f t="shared" si="14"/>
        <v>7.0000000000000007E-2</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0.02</v>
      </c>
      <c r="F71" s="720"/>
      <c r="G71" s="24">
        <f t="shared" si="14"/>
        <v>7.0000000000000007E-2</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0.02</v>
      </c>
      <c r="F72" s="720"/>
      <c r="G72" s="24">
        <f t="shared" si="14"/>
        <v>7.0000000000000007E-2</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0.02</v>
      </c>
      <c r="F73" s="720"/>
      <c r="G73" s="24">
        <f t="shared" si="14"/>
        <v>7.0000000000000007E-2</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0.02</v>
      </c>
      <c r="F74" s="720"/>
      <c r="G74" s="24">
        <f t="shared" si="14"/>
        <v>7.0000000000000007E-2</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0.02</v>
      </c>
      <c r="F75" s="720"/>
      <c r="G75" s="24">
        <f t="shared" si="14"/>
        <v>7.0000000000000007E-2</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0.02</v>
      </c>
      <c r="F76" s="720"/>
      <c r="G76" s="24">
        <f t="shared" si="14"/>
        <v>7.0000000000000007E-2</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0.02</v>
      </c>
      <c r="F77" s="720"/>
      <c r="G77" s="24">
        <f t="shared" si="14"/>
        <v>7.0000000000000007E-2</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0.02</v>
      </c>
      <c r="F78" s="720"/>
      <c r="G78" s="24">
        <f t="shared" si="14"/>
        <v>7.0000000000000007E-2</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0.02</v>
      </c>
      <c r="F79" s="720"/>
      <c r="G79" s="24">
        <f t="shared" si="14"/>
        <v>7.0000000000000007E-2</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0.02</v>
      </c>
      <c r="F80" s="720"/>
      <c r="G80" s="24">
        <f t="shared" si="14"/>
        <v>7.0000000000000007E-2</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0.02</v>
      </c>
      <c r="F81" s="720"/>
      <c r="G81" s="24">
        <f t="shared" si="14"/>
        <v>7.0000000000000007E-2</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0.02</v>
      </c>
      <c r="F82" s="720"/>
      <c r="G82" s="24">
        <f t="shared" si="14"/>
        <v>7.0000000000000007E-2</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0.02</v>
      </c>
      <c r="F83" s="720"/>
      <c r="G83" s="24">
        <f t="shared" si="14"/>
        <v>7.0000000000000007E-2</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0.02</v>
      </c>
      <c r="F84" s="720"/>
      <c r="G84" s="24">
        <f t="shared" si="14"/>
        <v>7.0000000000000007E-2</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0.02</v>
      </c>
      <c r="F85" s="720"/>
      <c r="G85" s="24">
        <f t="shared" si="14"/>
        <v>7.0000000000000007E-2</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0.02</v>
      </c>
      <c r="F86" s="720"/>
      <c r="G86" s="24">
        <f t="shared" si="14"/>
        <v>7.0000000000000007E-2</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0.02</v>
      </c>
      <c r="F87" s="720"/>
      <c r="G87" s="24">
        <f t="shared" si="14"/>
        <v>7.0000000000000007E-2</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0.02</v>
      </c>
      <c r="F88" s="720"/>
      <c r="G88" s="24">
        <f t="shared" si="14"/>
        <v>7.0000000000000007E-2</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0.02</v>
      </c>
      <c r="F89" s="720"/>
      <c r="G89" s="24">
        <f t="shared" si="14"/>
        <v>7.0000000000000007E-2</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0.02</v>
      </c>
      <c r="F90" s="720"/>
      <c r="G90" s="24">
        <f t="shared" ref="G90:G153" si="25">(SUMIF($7:$7,F90,$8:$8)-SUMIF($7:$7,$F$24,$8:$8)+100)/100</f>
        <v>7.0000000000000007E-2</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0.02</v>
      </c>
      <c r="F91" s="720"/>
      <c r="G91" s="24">
        <f t="shared" si="25"/>
        <v>7.0000000000000007E-2</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0.02</v>
      </c>
      <c r="F92" s="720"/>
      <c r="G92" s="24">
        <f t="shared" si="25"/>
        <v>7.0000000000000007E-2</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0.02</v>
      </c>
      <c r="F93" s="720"/>
      <c r="G93" s="24">
        <f t="shared" si="25"/>
        <v>7.0000000000000007E-2</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0.02</v>
      </c>
      <c r="F94" s="720"/>
      <c r="G94" s="24">
        <f t="shared" si="25"/>
        <v>7.0000000000000007E-2</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0.02</v>
      </c>
      <c r="F95" s="720"/>
      <c r="G95" s="24">
        <f t="shared" si="25"/>
        <v>7.0000000000000007E-2</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0.02</v>
      </c>
      <c r="F96" s="720"/>
      <c r="G96" s="24">
        <f t="shared" si="25"/>
        <v>7.0000000000000007E-2</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0.02</v>
      </c>
      <c r="F97" s="720"/>
      <c r="G97" s="24">
        <f t="shared" si="25"/>
        <v>7.0000000000000007E-2</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0.02</v>
      </c>
      <c r="F98" s="720"/>
      <c r="G98" s="24">
        <f t="shared" si="25"/>
        <v>7.0000000000000007E-2</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0.02</v>
      </c>
      <c r="F99" s="720"/>
      <c r="G99" s="24">
        <f t="shared" si="25"/>
        <v>7.0000000000000007E-2</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0.02</v>
      </c>
      <c r="F100" s="720"/>
      <c r="G100" s="24">
        <f t="shared" si="25"/>
        <v>7.0000000000000007E-2</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0.02</v>
      </c>
      <c r="F101" s="720"/>
      <c r="G101" s="24">
        <f t="shared" si="25"/>
        <v>7.0000000000000007E-2</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0.02</v>
      </c>
      <c r="F102" s="720"/>
      <c r="G102" s="24">
        <f t="shared" si="25"/>
        <v>7.0000000000000007E-2</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0.02</v>
      </c>
      <c r="F103" s="720"/>
      <c r="G103" s="24">
        <f t="shared" si="25"/>
        <v>7.0000000000000007E-2</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0.02</v>
      </c>
      <c r="F104" s="720"/>
      <c r="G104" s="24">
        <f t="shared" si="25"/>
        <v>7.0000000000000007E-2</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0.02</v>
      </c>
      <c r="F105" s="720"/>
      <c r="G105" s="24">
        <f t="shared" si="25"/>
        <v>7.0000000000000007E-2</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0.02</v>
      </c>
      <c r="F106" s="720"/>
      <c r="G106" s="24">
        <f t="shared" si="25"/>
        <v>7.0000000000000007E-2</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0.02</v>
      </c>
      <c r="F107" s="720"/>
      <c r="G107" s="24">
        <f t="shared" si="25"/>
        <v>7.0000000000000007E-2</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0.02</v>
      </c>
      <c r="F108" s="720"/>
      <c r="G108" s="24">
        <f t="shared" si="25"/>
        <v>7.0000000000000007E-2</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0.02</v>
      </c>
      <c r="F109" s="720"/>
      <c r="G109" s="24">
        <f t="shared" si="25"/>
        <v>7.0000000000000007E-2</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0.02</v>
      </c>
      <c r="F110" s="720"/>
      <c r="G110" s="24">
        <f t="shared" si="25"/>
        <v>7.0000000000000007E-2</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0.02</v>
      </c>
      <c r="F111" s="720"/>
      <c r="G111" s="24">
        <f t="shared" si="25"/>
        <v>7.0000000000000007E-2</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0.02</v>
      </c>
      <c r="F112" s="720"/>
      <c r="G112" s="24">
        <f t="shared" si="25"/>
        <v>7.0000000000000007E-2</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0.02</v>
      </c>
      <c r="F113" s="720"/>
      <c r="G113" s="24">
        <f t="shared" si="25"/>
        <v>7.0000000000000007E-2</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0.02</v>
      </c>
      <c r="F114" s="720"/>
      <c r="G114" s="24">
        <f t="shared" si="25"/>
        <v>7.0000000000000007E-2</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0.02</v>
      </c>
      <c r="F115" s="720"/>
      <c r="G115" s="24">
        <f t="shared" si="25"/>
        <v>7.0000000000000007E-2</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0.02</v>
      </c>
      <c r="F116" s="720"/>
      <c r="G116" s="24">
        <f t="shared" si="25"/>
        <v>7.0000000000000007E-2</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0.02</v>
      </c>
      <c r="F117" s="720"/>
      <c r="G117" s="24">
        <f t="shared" si="25"/>
        <v>7.0000000000000007E-2</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0.02</v>
      </c>
      <c r="F118" s="720"/>
      <c r="G118" s="24">
        <f t="shared" si="25"/>
        <v>7.0000000000000007E-2</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0.02</v>
      </c>
      <c r="F119" s="720"/>
      <c r="G119" s="24">
        <f t="shared" si="25"/>
        <v>7.0000000000000007E-2</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0.02</v>
      </c>
      <c r="F120" s="720"/>
      <c r="G120" s="24">
        <f t="shared" si="25"/>
        <v>7.0000000000000007E-2</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0.02</v>
      </c>
      <c r="F121" s="720"/>
      <c r="G121" s="24">
        <f t="shared" si="25"/>
        <v>7.0000000000000007E-2</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0.02</v>
      </c>
      <c r="F122" s="720"/>
      <c r="G122" s="24">
        <f t="shared" si="25"/>
        <v>7.0000000000000007E-2</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0.02</v>
      </c>
      <c r="F123" s="720"/>
      <c r="G123" s="24">
        <f t="shared" si="25"/>
        <v>7.0000000000000007E-2</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0.02</v>
      </c>
      <c r="F124" s="720"/>
      <c r="G124" s="24">
        <f t="shared" si="25"/>
        <v>7.0000000000000007E-2</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0.02</v>
      </c>
      <c r="F125" s="720"/>
      <c r="G125" s="24">
        <f t="shared" si="25"/>
        <v>7.0000000000000007E-2</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0.02</v>
      </c>
      <c r="F126" s="720"/>
      <c r="G126" s="24">
        <f t="shared" si="25"/>
        <v>7.0000000000000007E-2</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0.02</v>
      </c>
      <c r="F127" s="720"/>
      <c r="G127" s="24">
        <f t="shared" si="25"/>
        <v>7.0000000000000007E-2</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0.02</v>
      </c>
      <c r="F128" s="720"/>
      <c r="G128" s="24">
        <f t="shared" si="25"/>
        <v>7.0000000000000007E-2</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0.02</v>
      </c>
      <c r="F129" s="720"/>
      <c r="G129" s="24">
        <f t="shared" si="25"/>
        <v>7.0000000000000007E-2</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0.02</v>
      </c>
      <c r="F130" s="720"/>
      <c r="G130" s="24">
        <f t="shared" si="25"/>
        <v>7.0000000000000007E-2</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0.02</v>
      </c>
      <c r="F131" s="720"/>
      <c r="G131" s="24">
        <f t="shared" si="25"/>
        <v>7.0000000000000007E-2</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0.02</v>
      </c>
      <c r="F132" s="720"/>
      <c r="G132" s="24">
        <f t="shared" si="25"/>
        <v>7.0000000000000007E-2</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0.02</v>
      </c>
      <c r="F133" s="720"/>
      <c r="G133" s="24">
        <f t="shared" si="25"/>
        <v>7.0000000000000007E-2</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0.02</v>
      </c>
      <c r="F134" s="720"/>
      <c r="G134" s="24">
        <f t="shared" si="25"/>
        <v>7.0000000000000007E-2</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0.02</v>
      </c>
      <c r="F135" s="720"/>
      <c r="G135" s="24">
        <f t="shared" si="25"/>
        <v>7.0000000000000007E-2</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0.02</v>
      </c>
      <c r="F136" s="720"/>
      <c r="G136" s="24">
        <f t="shared" si="25"/>
        <v>7.0000000000000007E-2</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0.02</v>
      </c>
      <c r="F137" s="720"/>
      <c r="G137" s="24">
        <f t="shared" si="25"/>
        <v>7.0000000000000007E-2</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0.02</v>
      </c>
      <c r="F138" s="720"/>
      <c r="G138" s="24">
        <f t="shared" si="25"/>
        <v>7.0000000000000007E-2</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0.02</v>
      </c>
      <c r="F139" s="720"/>
      <c r="G139" s="24">
        <f t="shared" si="25"/>
        <v>7.0000000000000007E-2</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0.02</v>
      </c>
      <c r="F140" s="720"/>
      <c r="G140" s="24">
        <f t="shared" si="25"/>
        <v>7.0000000000000007E-2</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0.02</v>
      </c>
      <c r="F141" s="720"/>
      <c r="G141" s="24">
        <f t="shared" si="25"/>
        <v>7.0000000000000007E-2</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0.02</v>
      </c>
      <c r="F142" s="720"/>
      <c r="G142" s="24">
        <f t="shared" si="25"/>
        <v>7.0000000000000007E-2</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0.02</v>
      </c>
      <c r="F143" s="720"/>
      <c r="G143" s="24">
        <f t="shared" si="25"/>
        <v>7.0000000000000007E-2</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0.02</v>
      </c>
      <c r="F144" s="720"/>
      <c r="G144" s="24">
        <f t="shared" si="25"/>
        <v>7.0000000000000007E-2</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0.02</v>
      </c>
      <c r="F145" s="720"/>
      <c r="G145" s="24">
        <f t="shared" si="25"/>
        <v>7.0000000000000007E-2</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0.02</v>
      </c>
      <c r="F146" s="720"/>
      <c r="G146" s="24">
        <f t="shared" si="25"/>
        <v>7.0000000000000007E-2</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0.02</v>
      </c>
      <c r="F147" s="720"/>
      <c r="G147" s="24">
        <f t="shared" si="25"/>
        <v>7.0000000000000007E-2</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0.02</v>
      </c>
      <c r="F148" s="720"/>
      <c r="G148" s="24">
        <f t="shared" si="25"/>
        <v>7.0000000000000007E-2</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0.02</v>
      </c>
      <c r="F149" s="720"/>
      <c r="G149" s="24">
        <f t="shared" si="25"/>
        <v>7.0000000000000007E-2</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0.02</v>
      </c>
      <c r="F150" s="720"/>
      <c r="G150" s="24">
        <f t="shared" si="25"/>
        <v>7.0000000000000007E-2</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0.02</v>
      </c>
      <c r="F151" s="720"/>
      <c r="G151" s="24">
        <f t="shared" si="25"/>
        <v>7.0000000000000007E-2</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0.02</v>
      </c>
      <c r="F152" s="720"/>
      <c r="G152" s="24">
        <f t="shared" si="25"/>
        <v>7.0000000000000007E-2</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0.02</v>
      </c>
      <c r="F153" s="720"/>
      <c r="G153" s="24">
        <f t="shared" si="25"/>
        <v>7.0000000000000007E-2</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0.02</v>
      </c>
      <c r="F154" s="720"/>
      <c r="G154" s="24">
        <f t="shared" ref="G154:G217" si="35">(SUMIF($7:$7,F154,$8:$8)-SUMIF($7:$7,$F$24,$8:$8)+100)/100</f>
        <v>7.0000000000000007E-2</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0.02</v>
      </c>
      <c r="F155" s="720"/>
      <c r="G155" s="24">
        <f t="shared" si="35"/>
        <v>7.0000000000000007E-2</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0.02</v>
      </c>
      <c r="F156" s="720"/>
      <c r="G156" s="24">
        <f t="shared" si="35"/>
        <v>7.0000000000000007E-2</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0.02</v>
      </c>
      <c r="F157" s="720"/>
      <c r="G157" s="24">
        <f t="shared" si="35"/>
        <v>7.0000000000000007E-2</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0.02</v>
      </c>
      <c r="F158" s="720"/>
      <c r="G158" s="24">
        <f t="shared" si="35"/>
        <v>7.0000000000000007E-2</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0.02</v>
      </c>
      <c r="F159" s="720"/>
      <c r="G159" s="24">
        <f t="shared" si="35"/>
        <v>7.0000000000000007E-2</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0.02</v>
      </c>
      <c r="F160" s="720"/>
      <c r="G160" s="24">
        <f t="shared" si="35"/>
        <v>7.0000000000000007E-2</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0.02</v>
      </c>
      <c r="F161" s="720"/>
      <c r="G161" s="24">
        <f t="shared" si="35"/>
        <v>7.0000000000000007E-2</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0.02</v>
      </c>
      <c r="F162" s="720"/>
      <c r="G162" s="24">
        <f t="shared" si="35"/>
        <v>7.0000000000000007E-2</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0.02</v>
      </c>
      <c r="F163" s="720"/>
      <c r="G163" s="24">
        <f t="shared" si="35"/>
        <v>7.0000000000000007E-2</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0.02</v>
      </c>
      <c r="F164" s="720"/>
      <c r="G164" s="24">
        <f t="shared" si="35"/>
        <v>7.0000000000000007E-2</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0.02</v>
      </c>
      <c r="F165" s="720"/>
      <c r="G165" s="24">
        <f t="shared" si="35"/>
        <v>7.0000000000000007E-2</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0.02</v>
      </c>
      <c r="F166" s="720"/>
      <c r="G166" s="24">
        <f t="shared" si="35"/>
        <v>7.0000000000000007E-2</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0.02</v>
      </c>
      <c r="F167" s="720"/>
      <c r="G167" s="24">
        <f t="shared" si="35"/>
        <v>7.0000000000000007E-2</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0.02</v>
      </c>
      <c r="F168" s="720"/>
      <c r="G168" s="24">
        <f t="shared" si="35"/>
        <v>7.0000000000000007E-2</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0.02</v>
      </c>
      <c r="F169" s="720"/>
      <c r="G169" s="24">
        <f t="shared" si="35"/>
        <v>7.0000000000000007E-2</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0.02</v>
      </c>
      <c r="F170" s="720"/>
      <c r="G170" s="24">
        <f t="shared" si="35"/>
        <v>7.0000000000000007E-2</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0.02</v>
      </c>
      <c r="F171" s="720"/>
      <c r="G171" s="24">
        <f t="shared" si="35"/>
        <v>7.0000000000000007E-2</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0.02</v>
      </c>
      <c r="F172" s="720"/>
      <c r="G172" s="24">
        <f t="shared" si="35"/>
        <v>7.0000000000000007E-2</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0.02</v>
      </c>
      <c r="F173" s="720"/>
      <c r="G173" s="24">
        <f t="shared" si="35"/>
        <v>7.0000000000000007E-2</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0.02</v>
      </c>
      <c r="F174" s="720"/>
      <c r="G174" s="24">
        <f t="shared" si="35"/>
        <v>7.0000000000000007E-2</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0.02</v>
      </c>
      <c r="F175" s="720"/>
      <c r="G175" s="24">
        <f t="shared" si="35"/>
        <v>7.0000000000000007E-2</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0.02</v>
      </c>
      <c r="F176" s="720"/>
      <c r="G176" s="24">
        <f t="shared" si="35"/>
        <v>7.0000000000000007E-2</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0.02</v>
      </c>
      <c r="F177" s="720"/>
      <c r="G177" s="24">
        <f t="shared" si="35"/>
        <v>7.0000000000000007E-2</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0.02</v>
      </c>
      <c r="F178" s="720"/>
      <c r="G178" s="24">
        <f t="shared" si="35"/>
        <v>7.0000000000000007E-2</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0.02</v>
      </c>
      <c r="F179" s="720"/>
      <c r="G179" s="24">
        <f t="shared" si="35"/>
        <v>7.0000000000000007E-2</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0.02</v>
      </c>
      <c r="F180" s="720"/>
      <c r="G180" s="24">
        <f t="shared" si="35"/>
        <v>7.0000000000000007E-2</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0.02</v>
      </c>
      <c r="F181" s="720"/>
      <c r="G181" s="24">
        <f t="shared" si="35"/>
        <v>7.0000000000000007E-2</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0.02</v>
      </c>
      <c r="F182" s="720"/>
      <c r="G182" s="24">
        <f t="shared" si="35"/>
        <v>7.0000000000000007E-2</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0.02</v>
      </c>
      <c r="F183" s="720"/>
      <c r="G183" s="24">
        <f t="shared" si="35"/>
        <v>7.0000000000000007E-2</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0.02</v>
      </c>
      <c r="F184" s="720"/>
      <c r="G184" s="24">
        <f t="shared" si="35"/>
        <v>7.0000000000000007E-2</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0.02</v>
      </c>
      <c r="F185" s="720"/>
      <c r="G185" s="24">
        <f t="shared" si="35"/>
        <v>7.0000000000000007E-2</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0.02</v>
      </c>
      <c r="F186" s="720"/>
      <c r="G186" s="24">
        <f t="shared" si="35"/>
        <v>7.0000000000000007E-2</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0.02</v>
      </c>
      <c r="F187" s="720"/>
      <c r="G187" s="24">
        <f t="shared" si="35"/>
        <v>7.0000000000000007E-2</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0.02</v>
      </c>
      <c r="F188" s="720"/>
      <c r="G188" s="24">
        <f t="shared" si="35"/>
        <v>7.0000000000000007E-2</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0.02</v>
      </c>
      <c r="F189" s="720"/>
      <c r="G189" s="24">
        <f t="shared" si="35"/>
        <v>7.0000000000000007E-2</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0.02</v>
      </c>
      <c r="F190" s="720"/>
      <c r="G190" s="24">
        <f t="shared" si="35"/>
        <v>7.0000000000000007E-2</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0.02</v>
      </c>
      <c r="F191" s="720"/>
      <c r="G191" s="24">
        <f t="shared" si="35"/>
        <v>7.0000000000000007E-2</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0.02</v>
      </c>
      <c r="F192" s="720"/>
      <c r="G192" s="24">
        <f t="shared" si="35"/>
        <v>7.0000000000000007E-2</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0.02</v>
      </c>
      <c r="F193" s="720"/>
      <c r="G193" s="24">
        <f t="shared" si="35"/>
        <v>7.0000000000000007E-2</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0.02</v>
      </c>
      <c r="F194" s="720"/>
      <c r="G194" s="24">
        <f t="shared" si="35"/>
        <v>7.0000000000000007E-2</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0.02</v>
      </c>
      <c r="F195" s="720"/>
      <c r="G195" s="24">
        <f t="shared" si="35"/>
        <v>7.0000000000000007E-2</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0.02</v>
      </c>
      <c r="F196" s="720"/>
      <c r="G196" s="24">
        <f t="shared" si="35"/>
        <v>7.0000000000000007E-2</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0.02</v>
      </c>
      <c r="F197" s="720"/>
      <c r="G197" s="24">
        <f t="shared" si="35"/>
        <v>7.0000000000000007E-2</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0.02</v>
      </c>
      <c r="F198" s="720"/>
      <c r="G198" s="24">
        <f t="shared" si="35"/>
        <v>7.0000000000000007E-2</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0.02</v>
      </c>
      <c r="F199" s="720"/>
      <c r="G199" s="24">
        <f t="shared" si="35"/>
        <v>7.0000000000000007E-2</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0.02</v>
      </c>
      <c r="F200" s="720"/>
      <c r="G200" s="24">
        <f t="shared" si="35"/>
        <v>7.0000000000000007E-2</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0.02</v>
      </c>
      <c r="F201" s="720"/>
      <c r="G201" s="24">
        <f t="shared" si="35"/>
        <v>7.0000000000000007E-2</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0.02</v>
      </c>
      <c r="F202" s="720"/>
      <c r="G202" s="24">
        <f t="shared" si="35"/>
        <v>7.0000000000000007E-2</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0.02</v>
      </c>
      <c r="F203" s="720"/>
      <c r="G203" s="24">
        <f t="shared" si="35"/>
        <v>7.0000000000000007E-2</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0.02</v>
      </c>
      <c r="F204" s="720"/>
      <c r="G204" s="24">
        <f t="shared" si="35"/>
        <v>7.0000000000000007E-2</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0.02</v>
      </c>
      <c r="F205" s="720"/>
      <c r="G205" s="24">
        <f t="shared" si="35"/>
        <v>7.0000000000000007E-2</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0.02</v>
      </c>
      <c r="F206" s="720"/>
      <c r="G206" s="24">
        <f t="shared" si="35"/>
        <v>7.0000000000000007E-2</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0.02</v>
      </c>
      <c r="F207" s="720"/>
      <c r="G207" s="24">
        <f t="shared" si="35"/>
        <v>7.0000000000000007E-2</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0.02</v>
      </c>
      <c r="F208" s="720"/>
      <c r="G208" s="24">
        <f t="shared" si="35"/>
        <v>7.0000000000000007E-2</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0.02</v>
      </c>
      <c r="F209" s="720"/>
      <c r="G209" s="24">
        <f t="shared" si="35"/>
        <v>7.0000000000000007E-2</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0.02</v>
      </c>
      <c r="F210" s="720"/>
      <c r="G210" s="24">
        <f t="shared" si="35"/>
        <v>7.0000000000000007E-2</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0.02</v>
      </c>
      <c r="F211" s="720"/>
      <c r="G211" s="24">
        <f t="shared" si="35"/>
        <v>7.0000000000000007E-2</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0.02</v>
      </c>
      <c r="F212" s="720"/>
      <c r="G212" s="24">
        <f t="shared" si="35"/>
        <v>7.0000000000000007E-2</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0.02</v>
      </c>
      <c r="F213" s="720"/>
      <c r="G213" s="24">
        <f t="shared" si="35"/>
        <v>7.0000000000000007E-2</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0.02</v>
      </c>
      <c r="F214" s="720"/>
      <c r="G214" s="24">
        <f t="shared" si="35"/>
        <v>7.0000000000000007E-2</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0.02</v>
      </c>
      <c r="F215" s="720"/>
      <c r="G215" s="24">
        <f t="shared" si="35"/>
        <v>7.0000000000000007E-2</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0.02</v>
      </c>
      <c r="F216" s="720"/>
      <c r="G216" s="24">
        <f t="shared" si="35"/>
        <v>7.0000000000000007E-2</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0.02</v>
      </c>
      <c r="F217" s="720"/>
      <c r="G217" s="24">
        <f t="shared" si="35"/>
        <v>7.0000000000000007E-2</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0.02</v>
      </c>
      <c r="F218" s="720"/>
      <c r="G218" s="24">
        <f t="shared" ref="G218:G281" si="45">(SUMIF($7:$7,F218,$8:$8)-SUMIF($7:$7,$F$24,$8:$8)+100)/100</f>
        <v>7.0000000000000007E-2</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0.02</v>
      </c>
      <c r="F219" s="720"/>
      <c r="G219" s="24">
        <f t="shared" si="45"/>
        <v>7.0000000000000007E-2</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0.02</v>
      </c>
      <c r="F220" s="720"/>
      <c r="G220" s="24">
        <f t="shared" si="45"/>
        <v>7.0000000000000007E-2</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0.02</v>
      </c>
      <c r="F221" s="720"/>
      <c r="G221" s="24">
        <f t="shared" si="45"/>
        <v>7.0000000000000007E-2</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0.02</v>
      </c>
      <c r="F222" s="720"/>
      <c r="G222" s="24">
        <f t="shared" si="45"/>
        <v>7.0000000000000007E-2</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0.02</v>
      </c>
      <c r="F223" s="720"/>
      <c r="G223" s="24">
        <f t="shared" si="45"/>
        <v>7.0000000000000007E-2</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0.02</v>
      </c>
      <c r="F224" s="720"/>
      <c r="G224" s="24">
        <f t="shared" si="45"/>
        <v>7.0000000000000007E-2</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0.02</v>
      </c>
      <c r="F225" s="720"/>
      <c r="G225" s="24">
        <f t="shared" si="45"/>
        <v>7.0000000000000007E-2</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0.02</v>
      </c>
      <c r="F226" s="720"/>
      <c r="G226" s="24">
        <f t="shared" si="45"/>
        <v>7.0000000000000007E-2</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0.02</v>
      </c>
      <c r="F227" s="720"/>
      <c r="G227" s="24">
        <f t="shared" si="45"/>
        <v>7.0000000000000007E-2</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0.02</v>
      </c>
      <c r="F228" s="720"/>
      <c r="G228" s="24">
        <f t="shared" si="45"/>
        <v>7.0000000000000007E-2</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0.02</v>
      </c>
      <c r="F229" s="720"/>
      <c r="G229" s="24">
        <f t="shared" si="45"/>
        <v>7.0000000000000007E-2</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0.02</v>
      </c>
      <c r="F230" s="720"/>
      <c r="G230" s="24">
        <f t="shared" si="45"/>
        <v>7.0000000000000007E-2</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0.02</v>
      </c>
      <c r="F231" s="720"/>
      <c r="G231" s="24">
        <f t="shared" si="45"/>
        <v>7.0000000000000007E-2</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0.02</v>
      </c>
      <c r="F232" s="720"/>
      <c r="G232" s="24">
        <f t="shared" si="45"/>
        <v>7.0000000000000007E-2</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0.02</v>
      </c>
      <c r="F233" s="720"/>
      <c r="G233" s="24">
        <f t="shared" si="45"/>
        <v>7.0000000000000007E-2</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0.02</v>
      </c>
      <c r="F234" s="720"/>
      <c r="G234" s="24">
        <f t="shared" si="45"/>
        <v>7.0000000000000007E-2</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0.02</v>
      </c>
      <c r="F235" s="720"/>
      <c r="G235" s="24">
        <f t="shared" si="45"/>
        <v>7.0000000000000007E-2</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0.02</v>
      </c>
      <c r="F236" s="720"/>
      <c r="G236" s="24">
        <f t="shared" si="45"/>
        <v>7.0000000000000007E-2</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0.02</v>
      </c>
      <c r="F237" s="720"/>
      <c r="G237" s="24">
        <f t="shared" si="45"/>
        <v>7.0000000000000007E-2</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0.02</v>
      </c>
      <c r="F238" s="720"/>
      <c r="G238" s="24">
        <f t="shared" si="45"/>
        <v>7.0000000000000007E-2</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0.02</v>
      </c>
      <c r="F239" s="720"/>
      <c r="G239" s="24">
        <f t="shared" si="45"/>
        <v>7.0000000000000007E-2</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0.02</v>
      </c>
      <c r="F240" s="720"/>
      <c r="G240" s="24">
        <f t="shared" si="45"/>
        <v>7.0000000000000007E-2</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0.02</v>
      </c>
      <c r="F241" s="720"/>
      <c r="G241" s="24">
        <f t="shared" si="45"/>
        <v>7.0000000000000007E-2</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0.02</v>
      </c>
      <c r="F242" s="720"/>
      <c r="G242" s="24">
        <f t="shared" si="45"/>
        <v>7.0000000000000007E-2</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0.02</v>
      </c>
      <c r="F243" s="720"/>
      <c r="G243" s="24">
        <f t="shared" si="45"/>
        <v>7.0000000000000007E-2</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0.02</v>
      </c>
      <c r="F244" s="720"/>
      <c r="G244" s="24">
        <f t="shared" si="45"/>
        <v>7.0000000000000007E-2</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0.02</v>
      </c>
      <c r="F245" s="720"/>
      <c r="G245" s="24">
        <f t="shared" si="45"/>
        <v>7.0000000000000007E-2</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0.02</v>
      </c>
      <c r="F246" s="720"/>
      <c r="G246" s="24">
        <f t="shared" si="45"/>
        <v>7.0000000000000007E-2</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0.02</v>
      </c>
      <c r="F247" s="720"/>
      <c r="G247" s="24">
        <f t="shared" si="45"/>
        <v>7.0000000000000007E-2</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0.02</v>
      </c>
      <c r="F248" s="720"/>
      <c r="G248" s="24">
        <f t="shared" si="45"/>
        <v>7.0000000000000007E-2</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0.02</v>
      </c>
      <c r="F249" s="720"/>
      <c r="G249" s="24">
        <f t="shared" si="45"/>
        <v>7.0000000000000007E-2</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0.02</v>
      </c>
      <c r="F250" s="720"/>
      <c r="G250" s="24">
        <f t="shared" si="45"/>
        <v>7.0000000000000007E-2</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0.02</v>
      </c>
      <c r="F251" s="720"/>
      <c r="G251" s="24">
        <f t="shared" si="45"/>
        <v>7.0000000000000007E-2</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0.02</v>
      </c>
      <c r="F252" s="720"/>
      <c r="G252" s="24">
        <f t="shared" si="45"/>
        <v>7.0000000000000007E-2</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0.02</v>
      </c>
      <c r="F253" s="720"/>
      <c r="G253" s="24">
        <f t="shared" si="45"/>
        <v>7.0000000000000007E-2</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0.02</v>
      </c>
      <c r="F254" s="720"/>
      <c r="G254" s="24">
        <f t="shared" si="45"/>
        <v>7.0000000000000007E-2</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0.02</v>
      </c>
      <c r="F255" s="720"/>
      <c r="G255" s="24">
        <f t="shared" si="45"/>
        <v>7.0000000000000007E-2</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0.02</v>
      </c>
      <c r="F256" s="720"/>
      <c r="G256" s="24">
        <f t="shared" si="45"/>
        <v>7.0000000000000007E-2</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0.02</v>
      </c>
      <c r="F257" s="720"/>
      <c r="G257" s="24">
        <f t="shared" si="45"/>
        <v>7.0000000000000007E-2</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0.02</v>
      </c>
      <c r="F258" s="720"/>
      <c r="G258" s="24">
        <f t="shared" si="45"/>
        <v>7.0000000000000007E-2</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0.02</v>
      </c>
      <c r="F259" s="720"/>
      <c r="G259" s="24">
        <f t="shared" si="45"/>
        <v>7.0000000000000007E-2</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0.02</v>
      </c>
      <c r="F260" s="720"/>
      <c r="G260" s="24">
        <f t="shared" si="45"/>
        <v>7.0000000000000007E-2</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0.02</v>
      </c>
      <c r="F261" s="720"/>
      <c r="G261" s="24">
        <f t="shared" si="45"/>
        <v>7.0000000000000007E-2</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0.02</v>
      </c>
      <c r="F262" s="720"/>
      <c r="G262" s="24">
        <f t="shared" si="45"/>
        <v>7.0000000000000007E-2</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0.02</v>
      </c>
      <c r="F263" s="720"/>
      <c r="G263" s="24">
        <f t="shared" si="45"/>
        <v>7.0000000000000007E-2</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0.02</v>
      </c>
      <c r="F264" s="720"/>
      <c r="G264" s="24">
        <f t="shared" si="45"/>
        <v>7.0000000000000007E-2</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0.02</v>
      </c>
      <c r="F265" s="720"/>
      <c r="G265" s="24">
        <f t="shared" si="45"/>
        <v>7.0000000000000007E-2</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0.02</v>
      </c>
      <c r="F266" s="720"/>
      <c r="G266" s="24">
        <f t="shared" si="45"/>
        <v>7.0000000000000007E-2</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0.02</v>
      </c>
      <c r="F267" s="720"/>
      <c r="G267" s="24">
        <f t="shared" si="45"/>
        <v>7.0000000000000007E-2</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0.02</v>
      </c>
      <c r="F268" s="720"/>
      <c r="G268" s="24">
        <f t="shared" si="45"/>
        <v>7.0000000000000007E-2</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0.02</v>
      </c>
      <c r="F269" s="720"/>
      <c r="G269" s="24">
        <f t="shared" si="45"/>
        <v>7.0000000000000007E-2</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0.02</v>
      </c>
      <c r="F270" s="720"/>
      <c r="G270" s="24">
        <f t="shared" si="45"/>
        <v>7.0000000000000007E-2</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0.02</v>
      </c>
      <c r="F271" s="720"/>
      <c r="G271" s="24">
        <f t="shared" si="45"/>
        <v>7.0000000000000007E-2</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0.02</v>
      </c>
      <c r="F272" s="720"/>
      <c r="G272" s="24">
        <f t="shared" si="45"/>
        <v>7.0000000000000007E-2</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0.02</v>
      </c>
      <c r="F273" s="720"/>
      <c r="G273" s="24">
        <f t="shared" si="45"/>
        <v>7.0000000000000007E-2</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0.02</v>
      </c>
      <c r="F274" s="720"/>
      <c r="G274" s="24">
        <f t="shared" si="45"/>
        <v>7.0000000000000007E-2</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0.02</v>
      </c>
      <c r="F275" s="720"/>
      <c r="G275" s="24">
        <f t="shared" si="45"/>
        <v>7.0000000000000007E-2</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0.02</v>
      </c>
      <c r="F276" s="720"/>
      <c r="G276" s="24">
        <f t="shared" si="45"/>
        <v>7.0000000000000007E-2</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0.02</v>
      </c>
      <c r="F277" s="720"/>
      <c r="G277" s="24">
        <f t="shared" si="45"/>
        <v>7.0000000000000007E-2</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0.02</v>
      </c>
      <c r="F278" s="720"/>
      <c r="G278" s="24">
        <f t="shared" si="45"/>
        <v>7.0000000000000007E-2</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0.02</v>
      </c>
      <c r="F279" s="720"/>
      <c r="G279" s="24">
        <f t="shared" si="45"/>
        <v>7.0000000000000007E-2</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0.02</v>
      </c>
      <c r="F280" s="720"/>
      <c r="G280" s="24">
        <f t="shared" si="45"/>
        <v>7.0000000000000007E-2</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0.02</v>
      </c>
      <c r="F281" s="720"/>
      <c r="G281" s="24">
        <f t="shared" si="45"/>
        <v>7.0000000000000007E-2</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0.02</v>
      </c>
      <c r="F282" s="720"/>
      <c r="G282" s="24">
        <f t="shared" ref="G282:G345" si="55">(SUMIF($7:$7,F282,$8:$8)-SUMIF($7:$7,$F$24,$8:$8)+100)/100</f>
        <v>7.0000000000000007E-2</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0.02</v>
      </c>
      <c r="F283" s="720"/>
      <c r="G283" s="24">
        <f t="shared" si="55"/>
        <v>7.0000000000000007E-2</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0.02</v>
      </c>
      <c r="F284" s="720"/>
      <c r="G284" s="24">
        <f t="shared" si="55"/>
        <v>7.0000000000000007E-2</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0.02</v>
      </c>
      <c r="F285" s="720"/>
      <c r="G285" s="24">
        <f t="shared" si="55"/>
        <v>7.0000000000000007E-2</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0.02</v>
      </c>
      <c r="F286" s="720"/>
      <c r="G286" s="24">
        <f t="shared" si="55"/>
        <v>7.0000000000000007E-2</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0.02</v>
      </c>
      <c r="F287" s="720"/>
      <c r="G287" s="24">
        <f t="shared" si="55"/>
        <v>7.0000000000000007E-2</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0.02</v>
      </c>
      <c r="F288" s="720"/>
      <c r="G288" s="24">
        <f t="shared" si="55"/>
        <v>7.0000000000000007E-2</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0.02</v>
      </c>
      <c r="F289" s="720"/>
      <c r="G289" s="24">
        <f t="shared" si="55"/>
        <v>7.0000000000000007E-2</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0.02</v>
      </c>
      <c r="F290" s="720"/>
      <c r="G290" s="24">
        <f t="shared" si="55"/>
        <v>7.0000000000000007E-2</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0.02</v>
      </c>
      <c r="F291" s="720"/>
      <c r="G291" s="24">
        <f t="shared" si="55"/>
        <v>7.0000000000000007E-2</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0.02</v>
      </c>
      <c r="F292" s="720"/>
      <c r="G292" s="24">
        <f t="shared" si="55"/>
        <v>7.0000000000000007E-2</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0.02</v>
      </c>
      <c r="F293" s="720"/>
      <c r="G293" s="24">
        <f t="shared" si="55"/>
        <v>7.0000000000000007E-2</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0.02</v>
      </c>
      <c r="F294" s="720"/>
      <c r="G294" s="24">
        <f t="shared" si="55"/>
        <v>7.0000000000000007E-2</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0.02</v>
      </c>
      <c r="F295" s="720"/>
      <c r="G295" s="24">
        <f t="shared" si="55"/>
        <v>7.0000000000000007E-2</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0.02</v>
      </c>
      <c r="F296" s="720"/>
      <c r="G296" s="24">
        <f t="shared" si="55"/>
        <v>7.0000000000000007E-2</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0.02</v>
      </c>
      <c r="F297" s="720"/>
      <c r="G297" s="24">
        <f t="shared" si="55"/>
        <v>7.0000000000000007E-2</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0.02</v>
      </c>
      <c r="F298" s="720"/>
      <c r="G298" s="24">
        <f t="shared" si="55"/>
        <v>7.0000000000000007E-2</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0.02</v>
      </c>
      <c r="F299" s="720"/>
      <c r="G299" s="24">
        <f t="shared" si="55"/>
        <v>7.0000000000000007E-2</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0.02</v>
      </c>
      <c r="F300" s="720"/>
      <c r="G300" s="24">
        <f t="shared" si="55"/>
        <v>7.0000000000000007E-2</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0.02</v>
      </c>
      <c r="F301" s="720"/>
      <c r="G301" s="24">
        <f t="shared" si="55"/>
        <v>7.0000000000000007E-2</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0.02</v>
      </c>
      <c r="F302" s="720"/>
      <c r="G302" s="24">
        <f t="shared" si="55"/>
        <v>7.0000000000000007E-2</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0.02</v>
      </c>
      <c r="F303" s="720"/>
      <c r="G303" s="24">
        <f t="shared" si="55"/>
        <v>7.0000000000000007E-2</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0.02</v>
      </c>
      <c r="F304" s="720"/>
      <c r="G304" s="24">
        <f t="shared" si="55"/>
        <v>7.0000000000000007E-2</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0.02</v>
      </c>
      <c r="F305" s="720"/>
      <c r="G305" s="24">
        <f t="shared" si="55"/>
        <v>7.0000000000000007E-2</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0.02</v>
      </c>
      <c r="F306" s="720"/>
      <c r="G306" s="24">
        <f t="shared" si="55"/>
        <v>7.0000000000000007E-2</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0.02</v>
      </c>
      <c r="F307" s="720"/>
      <c r="G307" s="24">
        <f t="shared" si="55"/>
        <v>7.0000000000000007E-2</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0.02</v>
      </c>
      <c r="F308" s="720"/>
      <c r="G308" s="24">
        <f t="shared" si="55"/>
        <v>7.0000000000000007E-2</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0.02</v>
      </c>
      <c r="F309" s="720"/>
      <c r="G309" s="24">
        <f t="shared" si="55"/>
        <v>7.0000000000000007E-2</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0.02</v>
      </c>
      <c r="F310" s="720"/>
      <c r="G310" s="24">
        <f t="shared" si="55"/>
        <v>7.0000000000000007E-2</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0.02</v>
      </c>
      <c r="F311" s="720"/>
      <c r="G311" s="24">
        <f t="shared" si="55"/>
        <v>7.0000000000000007E-2</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0.02</v>
      </c>
      <c r="F312" s="720"/>
      <c r="G312" s="24">
        <f t="shared" si="55"/>
        <v>7.0000000000000007E-2</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0.02</v>
      </c>
      <c r="F313" s="720"/>
      <c r="G313" s="24">
        <f t="shared" si="55"/>
        <v>7.0000000000000007E-2</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0.02</v>
      </c>
      <c r="F314" s="720"/>
      <c r="G314" s="24">
        <f t="shared" si="55"/>
        <v>7.0000000000000007E-2</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0.02</v>
      </c>
      <c r="F315" s="720"/>
      <c r="G315" s="24">
        <f t="shared" si="55"/>
        <v>7.0000000000000007E-2</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0.02</v>
      </c>
      <c r="F316" s="720"/>
      <c r="G316" s="24">
        <f t="shared" si="55"/>
        <v>7.0000000000000007E-2</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0.02</v>
      </c>
      <c r="F317" s="720"/>
      <c r="G317" s="24">
        <f t="shared" si="55"/>
        <v>7.0000000000000007E-2</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0.02</v>
      </c>
      <c r="F318" s="720"/>
      <c r="G318" s="24">
        <f t="shared" si="55"/>
        <v>7.0000000000000007E-2</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0.02</v>
      </c>
      <c r="F319" s="720"/>
      <c r="G319" s="24">
        <f t="shared" si="55"/>
        <v>7.0000000000000007E-2</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0.02</v>
      </c>
      <c r="F320" s="720"/>
      <c r="G320" s="24">
        <f t="shared" si="55"/>
        <v>7.0000000000000007E-2</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0.02</v>
      </c>
      <c r="F321" s="720"/>
      <c r="G321" s="24">
        <f t="shared" si="55"/>
        <v>7.0000000000000007E-2</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0.02</v>
      </c>
      <c r="F322" s="720"/>
      <c r="G322" s="24">
        <f t="shared" si="55"/>
        <v>7.0000000000000007E-2</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0.02</v>
      </c>
      <c r="F323" s="720"/>
      <c r="G323" s="24">
        <f t="shared" si="55"/>
        <v>7.0000000000000007E-2</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0.02</v>
      </c>
      <c r="F324" s="720"/>
      <c r="G324" s="24">
        <f t="shared" si="55"/>
        <v>7.0000000000000007E-2</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0.02</v>
      </c>
      <c r="F325" s="720"/>
      <c r="G325" s="24">
        <f t="shared" si="55"/>
        <v>7.0000000000000007E-2</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0.02</v>
      </c>
      <c r="F326" s="720"/>
      <c r="G326" s="24">
        <f t="shared" si="55"/>
        <v>7.0000000000000007E-2</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0.02</v>
      </c>
      <c r="F327" s="720"/>
      <c r="G327" s="24">
        <f t="shared" si="55"/>
        <v>7.0000000000000007E-2</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0.02</v>
      </c>
      <c r="F328" s="720"/>
      <c r="G328" s="24">
        <f t="shared" si="55"/>
        <v>7.0000000000000007E-2</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0.02</v>
      </c>
      <c r="F329" s="720"/>
      <c r="G329" s="24">
        <f t="shared" si="55"/>
        <v>7.0000000000000007E-2</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0.02</v>
      </c>
      <c r="F330" s="720"/>
      <c r="G330" s="24">
        <f t="shared" si="55"/>
        <v>7.0000000000000007E-2</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0.02</v>
      </c>
      <c r="F331" s="720"/>
      <c r="G331" s="24">
        <f t="shared" si="55"/>
        <v>7.0000000000000007E-2</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0.02</v>
      </c>
      <c r="F332" s="720"/>
      <c r="G332" s="24">
        <f t="shared" si="55"/>
        <v>7.0000000000000007E-2</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0.02</v>
      </c>
      <c r="F333" s="720"/>
      <c r="G333" s="24">
        <f t="shared" si="55"/>
        <v>7.0000000000000007E-2</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0.02</v>
      </c>
      <c r="F334" s="720"/>
      <c r="G334" s="24">
        <f t="shared" si="55"/>
        <v>7.0000000000000007E-2</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0.02</v>
      </c>
      <c r="F335" s="720"/>
      <c r="G335" s="24">
        <f t="shared" si="55"/>
        <v>7.0000000000000007E-2</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0.02</v>
      </c>
      <c r="F336" s="720"/>
      <c r="G336" s="24">
        <f t="shared" si="55"/>
        <v>7.0000000000000007E-2</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0.02</v>
      </c>
      <c r="F337" s="720"/>
      <c r="G337" s="24">
        <f t="shared" si="55"/>
        <v>7.0000000000000007E-2</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0.02</v>
      </c>
      <c r="F338" s="720"/>
      <c r="G338" s="24">
        <f t="shared" si="55"/>
        <v>7.0000000000000007E-2</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0.02</v>
      </c>
      <c r="F339" s="720"/>
      <c r="G339" s="24">
        <f t="shared" si="55"/>
        <v>7.0000000000000007E-2</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0.02</v>
      </c>
      <c r="F340" s="720"/>
      <c r="G340" s="24">
        <f t="shared" si="55"/>
        <v>7.0000000000000007E-2</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0.02</v>
      </c>
      <c r="F341" s="720"/>
      <c r="G341" s="24">
        <f t="shared" si="55"/>
        <v>7.0000000000000007E-2</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0.02</v>
      </c>
      <c r="F342" s="720"/>
      <c r="G342" s="24">
        <f t="shared" si="55"/>
        <v>7.0000000000000007E-2</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0.02</v>
      </c>
      <c r="F343" s="720"/>
      <c r="G343" s="24">
        <f t="shared" si="55"/>
        <v>7.0000000000000007E-2</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0.02</v>
      </c>
      <c r="F344" s="720"/>
      <c r="G344" s="24">
        <f t="shared" si="55"/>
        <v>7.0000000000000007E-2</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0.02</v>
      </c>
      <c r="F345" s="720"/>
      <c r="G345" s="24">
        <f t="shared" si="55"/>
        <v>7.0000000000000007E-2</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0.02</v>
      </c>
      <c r="F346" s="720"/>
      <c r="G346" s="24">
        <f t="shared" ref="G346:G409" si="66">(SUMIF($7:$7,F346,$8:$8)-SUMIF($7:$7,$F$24,$8:$8)+100)/100</f>
        <v>7.0000000000000007E-2</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0.02</v>
      </c>
      <c r="F347" s="720"/>
      <c r="G347" s="24">
        <f t="shared" si="66"/>
        <v>7.0000000000000007E-2</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0.02</v>
      </c>
      <c r="F348" s="720"/>
      <c r="G348" s="24">
        <f t="shared" si="66"/>
        <v>7.0000000000000007E-2</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0.02</v>
      </c>
      <c r="F349" s="720"/>
      <c r="G349" s="24">
        <f t="shared" si="66"/>
        <v>7.0000000000000007E-2</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0.02</v>
      </c>
      <c r="F350" s="720"/>
      <c r="G350" s="24">
        <f t="shared" si="66"/>
        <v>7.0000000000000007E-2</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0.02</v>
      </c>
      <c r="F351" s="720"/>
      <c r="G351" s="24">
        <f t="shared" si="66"/>
        <v>7.0000000000000007E-2</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0.02</v>
      </c>
      <c r="F352" s="720"/>
      <c r="G352" s="24">
        <f t="shared" si="66"/>
        <v>7.0000000000000007E-2</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0.02</v>
      </c>
      <c r="F353" s="720"/>
      <c r="G353" s="24">
        <f t="shared" si="66"/>
        <v>7.0000000000000007E-2</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0.02</v>
      </c>
      <c r="F354" s="720"/>
      <c r="G354" s="24">
        <f t="shared" si="66"/>
        <v>7.0000000000000007E-2</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0.02</v>
      </c>
      <c r="F355" s="720"/>
      <c r="G355" s="24">
        <f t="shared" si="66"/>
        <v>7.0000000000000007E-2</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0.02</v>
      </c>
      <c r="F356" s="720"/>
      <c r="G356" s="24">
        <f t="shared" si="66"/>
        <v>7.0000000000000007E-2</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0.02</v>
      </c>
      <c r="F357" s="720"/>
      <c r="G357" s="24">
        <f t="shared" si="66"/>
        <v>7.0000000000000007E-2</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0.02</v>
      </c>
      <c r="F358" s="720"/>
      <c r="G358" s="24">
        <f t="shared" si="66"/>
        <v>7.0000000000000007E-2</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0.02</v>
      </c>
      <c r="F359" s="720"/>
      <c r="G359" s="24">
        <f t="shared" si="66"/>
        <v>7.0000000000000007E-2</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0.02</v>
      </c>
      <c r="F360" s="720"/>
      <c r="G360" s="24">
        <f t="shared" si="66"/>
        <v>7.0000000000000007E-2</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0.02</v>
      </c>
      <c r="F361" s="720"/>
      <c r="G361" s="24">
        <f t="shared" si="66"/>
        <v>7.0000000000000007E-2</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0.02</v>
      </c>
      <c r="F362" s="720"/>
      <c r="G362" s="24">
        <f t="shared" si="66"/>
        <v>7.0000000000000007E-2</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0.02</v>
      </c>
      <c r="F363" s="720"/>
      <c r="G363" s="24">
        <f t="shared" si="66"/>
        <v>7.0000000000000007E-2</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0.02</v>
      </c>
      <c r="F364" s="720"/>
      <c r="G364" s="24">
        <f t="shared" si="66"/>
        <v>7.0000000000000007E-2</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0.02</v>
      </c>
      <c r="F365" s="720"/>
      <c r="G365" s="24">
        <f t="shared" si="66"/>
        <v>7.0000000000000007E-2</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0.02</v>
      </c>
      <c r="F366" s="720"/>
      <c r="G366" s="24">
        <f t="shared" si="66"/>
        <v>7.0000000000000007E-2</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0.02</v>
      </c>
      <c r="F367" s="720"/>
      <c r="G367" s="24">
        <f t="shared" si="66"/>
        <v>7.0000000000000007E-2</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0.02</v>
      </c>
      <c r="F368" s="720"/>
      <c r="G368" s="24">
        <f t="shared" si="66"/>
        <v>7.0000000000000007E-2</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0.02</v>
      </c>
      <c r="F369" s="720"/>
      <c r="G369" s="24">
        <f t="shared" si="66"/>
        <v>7.0000000000000007E-2</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0.02</v>
      </c>
      <c r="F370" s="720"/>
      <c r="G370" s="24">
        <f t="shared" si="66"/>
        <v>7.0000000000000007E-2</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0.02</v>
      </c>
      <c r="F371" s="720"/>
      <c r="G371" s="24">
        <f t="shared" si="66"/>
        <v>7.0000000000000007E-2</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0.02</v>
      </c>
      <c r="F372" s="720"/>
      <c r="G372" s="24">
        <f t="shared" si="66"/>
        <v>7.0000000000000007E-2</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0.02</v>
      </c>
      <c r="F373" s="720"/>
      <c r="G373" s="24">
        <f t="shared" si="66"/>
        <v>7.0000000000000007E-2</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0.02</v>
      </c>
      <c r="F374" s="720"/>
      <c r="G374" s="24">
        <f t="shared" si="66"/>
        <v>7.0000000000000007E-2</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0.02</v>
      </c>
      <c r="F375" s="720"/>
      <c r="G375" s="24">
        <f t="shared" si="66"/>
        <v>7.0000000000000007E-2</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0.02</v>
      </c>
      <c r="F376" s="720"/>
      <c r="G376" s="24">
        <f t="shared" si="66"/>
        <v>7.0000000000000007E-2</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0.02</v>
      </c>
      <c r="F377" s="720"/>
      <c r="G377" s="24">
        <f t="shared" si="66"/>
        <v>7.0000000000000007E-2</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0.02</v>
      </c>
      <c r="F378" s="720"/>
      <c r="G378" s="24">
        <f t="shared" si="66"/>
        <v>7.0000000000000007E-2</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0.02</v>
      </c>
      <c r="F379" s="720"/>
      <c r="G379" s="24">
        <f t="shared" si="66"/>
        <v>7.0000000000000007E-2</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0.02</v>
      </c>
      <c r="F380" s="720"/>
      <c r="G380" s="24">
        <f t="shared" si="66"/>
        <v>7.0000000000000007E-2</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0.02</v>
      </c>
      <c r="F381" s="720"/>
      <c r="G381" s="24">
        <f t="shared" si="66"/>
        <v>7.0000000000000007E-2</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0.02</v>
      </c>
      <c r="F382" s="720"/>
      <c r="G382" s="24">
        <f t="shared" si="66"/>
        <v>7.0000000000000007E-2</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0.02</v>
      </c>
      <c r="F383" s="720"/>
      <c r="G383" s="24">
        <f t="shared" si="66"/>
        <v>7.0000000000000007E-2</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0.02</v>
      </c>
      <c r="F384" s="720"/>
      <c r="G384" s="24">
        <f t="shared" si="66"/>
        <v>7.0000000000000007E-2</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0.02</v>
      </c>
      <c r="F385" s="720"/>
      <c r="G385" s="24">
        <f t="shared" si="66"/>
        <v>7.0000000000000007E-2</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0.02</v>
      </c>
      <c r="F386" s="720"/>
      <c r="G386" s="24">
        <f t="shared" si="66"/>
        <v>7.0000000000000007E-2</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0.02</v>
      </c>
      <c r="F387" s="720"/>
      <c r="G387" s="24">
        <f t="shared" si="66"/>
        <v>7.0000000000000007E-2</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0.02</v>
      </c>
      <c r="F388" s="720"/>
      <c r="G388" s="24">
        <f t="shared" si="66"/>
        <v>7.0000000000000007E-2</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0.02</v>
      </c>
      <c r="F389" s="720"/>
      <c r="G389" s="24">
        <f t="shared" si="66"/>
        <v>7.0000000000000007E-2</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0.02</v>
      </c>
      <c r="F390" s="720"/>
      <c r="G390" s="24">
        <f t="shared" si="66"/>
        <v>7.0000000000000007E-2</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0.02</v>
      </c>
      <c r="F391" s="720"/>
      <c r="G391" s="24">
        <f t="shared" si="66"/>
        <v>7.0000000000000007E-2</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0.02</v>
      </c>
      <c r="F392" s="720"/>
      <c r="G392" s="24">
        <f t="shared" si="66"/>
        <v>7.0000000000000007E-2</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0.02</v>
      </c>
      <c r="F393" s="720"/>
      <c r="G393" s="24">
        <f t="shared" si="66"/>
        <v>7.0000000000000007E-2</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0.02</v>
      </c>
      <c r="F394" s="720"/>
      <c r="G394" s="24">
        <f t="shared" si="66"/>
        <v>7.0000000000000007E-2</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0.02</v>
      </c>
      <c r="F395" s="720"/>
      <c r="G395" s="24">
        <f t="shared" si="66"/>
        <v>7.0000000000000007E-2</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0.02</v>
      </c>
      <c r="F396" s="720"/>
      <c r="G396" s="24">
        <f t="shared" si="66"/>
        <v>7.0000000000000007E-2</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0.02</v>
      </c>
      <c r="F397" s="720"/>
      <c r="G397" s="24">
        <f t="shared" si="66"/>
        <v>7.0000000000000007E-2</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0.02</v>
      </c>
      <c r="F398" s="720"/>
      <c r="G398" s="24">
        <f t="shared" si="66"/>
        <v>7.0000000000000007E-2</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0.02</v>
      </c>
      <c r="F399" s="720"/>
      <c r="G399" s="24">
        <f t="shared" si="66"/>
        <v>7.0000000000000007E-2</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0.02</v>
      </c>
      <c r="F400" s="720"/>
      <c r="G400" s="24">
        <f t="shared" si="66"/>
        <v>7.0000000000000007E-2</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0.02</v>
      </c>
      <c r="F401" s="720"/>
      <c r="G401" s="24">
        <f t="shared" si="66"/>
        <v>7.0000000000000007E-2</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0.02</v>
      </c>
      <c r="F402" s="720"/>
      <c r="G402" s="24">
        <f t="shared" si="66"/>
        <v>7.0000000000000007E-2</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0.02</v>
      </c>
      <c r="F403" s="720"/>
      <c r="G403" s="24">
        <f t="shared" si="66"/>
        <v>7.0000000000000007E-2</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0.02</v>
      </c>
      <c r="F404" s="720"/>
      <c r="G404" s="24">
        <f t="shared" si="66"/>
        <v>7.0000000000000007E-2</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0.02</v>
      </c>
      <c r="F405" s="720"/>
      <c r="G405" s="24">
        <f t="shared" si="66"/>
        <v>7.0000000000000007E-2</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0.02</v>
      </c>
      <c r="F406" s="720"/>
      <c r="G406" s="24">
        <f t="shared" si="66"/>
        <v>7.0000000000000007E-2</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0.02</v>
      </c>
      <c r="F407" s="720"/>
      <c r="G407" s="24">
        <f t="shared" si="66"/>
        <v>7.0000000000000007E-2</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0.02</v>
      </c>
      <c r="F408" s="720"/>
      <c r="G408" s="24">
        <f t="shared" si="66"/>
        <v>7.0000000000000007E-2</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0.02</v>
      </c>
      <c r="F409" s="720"/>
      <c r="G409" s="24">
        <f t="shared" si="66"/>
        <v>7.0000000000000007E-2</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0.02</v>
      </c>
      <c r="F410" s="720"/>
      <c r="G410" s="24">
        <f t="shared" ref="G410:G473" si="76">(SUMIF($7:$7,F410,$8:$8)-SUMIF($7:$7,$F$24,$8:$8)+100)/100</f>
        <v>7.0000000000000007E-2</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0.02</v>
      </c>
      <c r="F411" s="720"/>
      <c r="G411" s="24">
        <f t="shared" si="76"/>
        <v>7.0000000000000007E-2</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0.02</v>
      </c>
      <c r="F412" s="720"/>
      <c r="G412" s="24">
        <f t="shared" si="76"/>
        <v>7.0000000000000007E-2</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0.02</v>
      </c>
      <c r="F413" s="720"/>
      <c r="G413" s="24">
        <f t="shared" si="76"/>
        <v>7.0000000000000007E-2</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0.02</v>
      </c>
      <c r="F414" s="720"/>
      <c r="G414" s="24">
        <f t="shared" si="76"/>
        <v>7.0000000000000007E-2</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0.02</v>
      </c>
      <c r="F415" s="720"/>
      <c r="G415" s="24">
        <f t="shared" si="76"/>
        <v>7.0000000000000007E-2</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0.02</v>
      </c>
      <c r="F416" s="720"/>
      <c r="G416" s="24">
        <f t="shared" si="76"/>
        <v>7.0000000000000007E-2</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0.02</v>
      </c>
      <c r="F417" s="720"/>
      <c r="G417" s="24">
        <f t="shared" si="76"/>
        <v>7.0000000000000007E-2</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0.02</v>
      </c>
      <c r="F418" s="720"/>
      <c r="G418" s="24">
        <f t="shared" si="76"/>
        <v>7.0000000000000007E-2</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0.02</v>
      </c>
      <c r="F419" s="720"/>
      <c r="G419" s="24">
        <f t="shared" si="76"/>
        <v>7.0000000000000007E-2</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0.02</v>
      </c>
      <c r="F420" s="720"/>
      <c r="G420" s="24">
        <f t="shared" si="76"/>
        <v>7.0000000000000007E-2</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0.02</v>
      </c>
      <c r="F421" s="720"/>
      <c r="G421" s="24">
        <f t="shared" si="76"/>
        <v>7.0000000000000007E-2</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0.02</v>
      </c>
      <c r="F422" s="720"/>
      <c r="G422" s="24">
        <f t="shared" si="76"/>
        <v>7.0000000000000007E-2</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0.02</v>
      </c>
      <c r="F423" s="720"/>
      <c r="G423" s="24">
        <f t="shared" si="76"/>
        <v>7.0000000000000007E-2</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0.02</v>
      </c>
      <c r="F424" s="720"/>
      <c r="G424" s="24">
        <f t="shared" si="76"/>
        <v>7.0000000000000007E-2</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0.02</v>
      </c>
      <c r="F425" s="720"/>
      <c r="G425" s="24">
        <f t="shared" si="76"/>
        <v>7.0000000000000007E-2</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0.02</v>
      </c>
      <c r="F426" s="720"/>
      <c r="G426" s="24">
        <f t="shared" si="76"/>
        <v>7.0000000000000007E-2</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0.02</v>
      </c>
      <c r="F427" s="720"/>
      <c r="G427" s="24">
        <f t="shared" si="76"/>
        <v>7.0000000000000007E-2</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0.02</v>
      </c>
      <c r="F428" s="720"/>
      <c r="G428" s="24">
        <f t="shared" si="76"/>
        <v>7.0000000000000007E-2</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0.02</v>
      </c>
      <c r="F429" s="720"/>
      <c r="G429" s="24">
        <f t="shared" si="76"/>
        <v>7.0000000000000007E-2</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0.02</v>
      </c>
      <c r="F430" s="720"/>
      <c r="G430" s="24">
        <f t="shared" si="76"/>
        <v>7.0000000000000007E-2</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0.02</v>
      </c>
      <c r="F431" s="720"/>
      <c r="G431" s="24">
        <f t="shared" si="76"/>
        <v>7.0000000000000007E-2</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0.02</v>
      </c>
      <c r="F432" s="720"/>
      <c r="G432" s="24">
        <f t="shared" si="76"/>
        <v>7.0000000000000007E-2</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0.02</v>
      </c>
      <c r="F433" s="720"/>
      <c r="G433" s="24">
        <f t="shared" si="76"/>
        <v>7.0000000000000007E-2</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0.02</v>
      </c>
      <c r="F434" s="720"/>
      <c r="G434" s="24">
        <f t="shared" si="76"/>
        <v>7.0000000000000007E-2</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0.02</v>
      </c>
      <c r="F435" s="720"/>
      <c r="G435" s="24">
        <f t="shared" si="76"/>
        <v>7.0000000000000007E-2</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0.02</v>
      </c>
      <c r="F436" s="720"/>
      <c r="G436" s="24">
        <f t="shared" si="76"/>
        <v>7.0000000000000007E-2</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0.02</v>
      </c>
      <c r="F437" s="720"/>
      <c r="G437" s="24">
        <f t="shared" si="76"/>
        <v>7.0000000000000007E-2</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0.02</v>
      </c>
      <c r="F438" s="720"/>
      <c r="G438" s="24">
        <f t="shared" si="76"/>
        <v>7.0000000000000007E-2</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0.02</v>
      </c>
      <c r="F439" s="720"/>
      <c r="G439" s="24">
        <f t="shared" si="76"/>
        <v>7.0000000000000007E-2</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0.02</v>
      </c>
      <c r="F440" s="720"/>
      <c r="G440" s="24">
        <f t="shared" si="76"/>
        <v>7.0000000000000007E-2</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0.02</v>
      </c>
      <c r="F441" s="720"/>
      <c r="G441" s="24">
        <f t="shared" si="76"/>
        <v>7.0000000000000007E-2</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0.02</v>
      </c>
      <c r="F442" s="720"/>
      <c r="G442" s="24">
        <f t="shared" si="76"/>
        <v>7.0000000000000007E-2</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0.02</v>
      </c>
      <c r="F443" s="720"/>
      <c r="G443" s="24">
        <f t="shared" si="76"/>
        <v>7.0000000000000007E-2</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0.02</v>
      </c>
      <c r="F444" s="720"/>
      <c r="G444" s="24">
        <f t="shared" si="76"/>
        <v>7.0000000000000007E-2</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0.02</v>
      </c>
      <c r="F445" s="720"/>
      <c r="G445" s="24">
        <f t="shared" si="76"/>
        <v>7.0000000000000007E-2</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0.02</v>
      </c>
      <c r="F446" s="720"/>
      <c r="G446" s="24">
        <f t="shared" si="76"/>
        <v>7.0000000000000007E-2</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0.02</v>
      </c>
      <c r="F447" s="720"/>
      <c r="G447" s="24">
        <f t="shared" si="76"/>
        <v>7.0000000000000007E-2</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0.02</v>
      </c>
      <c r="F448" s="720"/>
      <c r="G448" s="24">
        <f t="shared" si="76"/>
        <v>7.0000000000000007E-2</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0.02</v>
      </c>
      <c r="F449" s="720"/>
      <c r="G449" s="24">
        <f t="shared" si="76"/>
        <v>7.0000000000000007E-2</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0.02</v>
      </c>
      <c r="F450" s="720"/>
      <c r="G450" s="24">
        <f t="shared" si="76"/>
        <v>7.0000000000000007E-2</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0.02</v>
      </c>
      <c r="F451" s="720"/>
      <c r="G451" s="24">
        <f t="shared" si="76"/>
        <v>7.0000000000000007E-2</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0.02</v>
      </c>
      <c r="F452" s="720"/>
      <c r="G452" s="24">
        <f t="shared" si="76"/>
        <v>7.0000000000000007E-2</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0.02</v>
      </c>
      <c r="F453" s="720"/>
      <c r="G453" s="24">
        <f t="shared" si="76"/>
        <v>7.0000000000000007E-2</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0.02</v>
      </c>
      <c r="F454" s="720"/>
      <c r="G454" s="24">
        <f t="shared" si="76"/>
        <v>7.0000000000000007E-2</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0.02</v>
      </c>
      <c r="F455" s="720"/>
      <c r="G455" s="24">
        <f t="shared" si="76"/>
        <v>7.0000000000000007E-2</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0.02</v>
      </c>
      <c r="F456" s="720"/>
      <c r="G456" s="24">
        <f t="shared" si="76"/>
        <v>7.0000000000000007E-2</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0.02</v>
      </c>
      <c r="F457" s="720"/>
      <c r="G457" s="24">
        <f t="shared" si="76"/>
        <v>7.0000000000000007E-2</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0.02</v>
      </c>
      <c r="F458" s="720"/>
      <c r="G458" s="24">
        <f t="shared" si="76"/>
        <v>7.0000000000000007E-2</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0.02</v>
      </c>
      <c r="F459" s="720"/>
      <c r="G459" s="24">
        <f t="shared" si="76"/>
        <v>7.0000000000000007E-2</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0.02</v>
      </c>
      <c r="F460" s="720"/>
      <c r="G460" s="24">
        <f t="shared" si="76"/>
        <v>7.0000000000000007E-2</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0.02</v>
      </c>
      <c r="F461" s="720"/>
      <c r="G461" s="24">
        <f t="shared" si="76"/>
        <v>7.0000000000000007E-2</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0.02</v>
      </c>
      <c r="F462" s="720"/>
      <c r="G462" s="24">
        <f t="shared" si="76"/>
        <v>7.0000000000000007E-2</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0.02</v>
      </c>
      <c r="F463" s="720"/>
      <c r="G463" s="24">
        <f t="shared" si="76"/>
        <v>7.0000000000000007E-2</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0.02</v>
      </c>
      <c r="F464" s="720"/>
      <c r="G464" s="24">
        <f t="shared" si="76"/>
        <v>7.0000000000000007E-2</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0.02</v>
      </c>
      <c r="F465" s="720"/>
      <c r="G465" s="24">
        <f t="shared" si="76"/>
        <v>7.0000000000000007E-2</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0.02</v>
      </c>
      <c r="F466" s="720"/>
      <c r="G466" s="24">
        <f t="shared" si="76"/>
        <v>7.0000000000000007E-2</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0.02</v>
      </c>
      <c r="F467" s="720"/>
      <c r="G467" s="24">
        <f t="shared" si="76"/>
        <v>7.0000000000000007E-2</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0.02</v>
      </c>
      <c r="F468" s="720"/>
      <c r="G468" s="24">
        <f t="shared" si="76"/>
        <v>7.0000000000000007E-2</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0.02</v>
      </c>
      <c r="F469" s="720"/>
      <c r="G469" s="24">
        <f t="shared" si="76"/>
        <v>7.0000000000000007E-2</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0.02</v>
      </c>
      <c r="F470" s="720"/>
      <c r="G470" s="24">
        <f t="shared" si="76"/>
        <v>7.0000000000000007E-2</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0.02</v>
      </c>
      <c r="F471" s="720"/>
      <c r="G471" s="24">
        <f t="shared" si="76"/>
        <v>7.0000000000000007E-2</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0.02</v>
      </c>
      <c r="F472" s="720"/>
      <c r="G472" s="24">
        <f t="shared" si="76"/>
        <v>7.0000000000000007E-2</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0.02</v>
      </c>
      <c r="F473" s="720"/>
      <c r="G473" s="24">
        <f t="shared" si="76"/>
        <v>7.0000000000000007E-2</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0.02</v>
      </c>
      <c r="F474" s="720"/>
      <c r="G474" s="24">
        <f t="shared" ref="G474:G524" si="87">(SUMIF($7:$7,F474,$8:$8)-SUMIF($7:$7,$F$24,$8:$8)+100)/100</f>
        <v>7.0000000000000007E-2</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0.02</v>
      </c>
      <c r="F475" s="720"/>
      <c r="G475" s="24">
        <f t="shared" si="87"/>
        <v>7.0000000000000007E-2</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0.02</v>
      </c>
      <c r="F476" s="720"/>
      <c r="G476" s="24">
        <f t="shared" si="87"/>
        <v>7.0000000000000007E-2</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0.02</v>
      </c>
      <c r="F477" s="720"/>
      <c r="G477" s="24">
        <f t="shared" si="87"/>
        <v>7.0000000000000007E-2</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0.02</v>
      </c>
      <c r="F478" s="720"/>
      <c r="G478" s="24">
        <f t="shared" si="87"/>
        <v>7.0000000000000007E-2</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0.02</v>
      </c>
      <c r="F479" s="720"/>
      <c r="G479" s="24">
        <f t="shared" si="87"/>
        <v>7.0000000000000007E-2</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0.02</v>
      </c>
      <c r="F480" s="720"/>
      <c r="G480" s="24">
        <f t="shared" si="87"/>
        <v>7.0000000000000007E-2</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0.02</v>
      </c>
      <c r="F481" s="720"/>
      <c r="G481" s="24">
        <f t="shared" si="87"/>
        <v>7.0000000000000007E-2</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0.02</v>
      </c>
      <c r="F482" s="720"/>
      <c r="G482" s="24">
        <f t="shared" si="87"/>
        <v>7.0000000000000007E-2</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0.02</v>
      </c>
      <c r="F483" s="720"/>
      <c r="G483" s="24">
        <f t="shared" si="87"/>
        <v>7.0000000000000007E-2</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0.02</v>
      </c>
      <c r="F484" s="720"/>
      <c r="G484" s="24">
        <f t="shared" si="87"/>
        <v>7.0000000000000007E-2</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0.02</v>
      </c>
      <c r="F485" s="720"/>
      <c r="G485" s="24">
        <f t="shared" si="87"/>
        <v>7.0000000000000007E-2</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0.02</v>
      </c>
      <c r="F486" s="720"/>
      <c r="G486" s="24">
        <f t="shared" si="87"/>
        <v>7.0000000000000007E-2</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0.02</v>
      </c>
      <c r="F487" s="720"/>
      <c r="G487" s="24">
        <f t="shared" si="87"/>
        <v>7.0000000000000007E-2</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0.02</v>
      </c>
      <c r="F488" s="720"/>
      <c r="G488" s="24">
        <f t="shared" si="87"/>
        <v>7.0000000000000007E-2</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0.02</v>
      </c>
      <c r="F489" s="720"/>
      <c r="G489" s="24">
        <f t="shared" si="87"/>
        <v>7.0000000000000007E-2</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0.02</v>
      </c>
      <c r="F490" s="720"/>
      <c r="G490" s="24">
        <f t="shared" si="87"/>
        <v>7.0000000000000007E-2</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0.02</v>
      </c>
      <c r="F491" s="720"/>
      <c r="G491" s="24">
        <f t="shared" si="87"/>
        <v>7.0000000000000007E-2</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0.02</v>
      </c>
      <c r="F492" s="720"/>
      <c r="G492" s="24">
        <f t="shared" si="87"/>
        <v>7.0000000000000007E-2</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0.02</v>
      </c>
      <c r="F493" s="720"/>
      <c r="G493" s="24">
        <f t="shared" si="87"/>
        <v>7.0000000000000007E-2</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0.02</v>
      </c>
      <c r="F494" s="720"/>
      <c r="G494" s="24">
        <f t="shared" si="87"/>
        <v>7.0000000000000007E-2</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0.02</v>
      </c>
      <c r="F495" s="720"/>
      <c r="G495" s="24">
        <f t="shared" si="87"/>
        <v>7.0000000000000007E-2</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0.02</v>
      </c>
      <c r="F496" s="720"/>
      <c r="G496" s="24">
        <f t="shared" si="87"/>
        <v>7.0000000000000007E-2</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0.02</v>
      </c>
      <c r="F497" s="720"/>
      <c r="G497" s="24">
        <f t="shared" si="87"/>
        <v>7.0000000000000007E-2</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0.02</v>
      </c>
      <c r="F498" s="720"/>
      <c r="G498" s="24">
        <f t="shared" si="87"/>
        <v>7.0000000000000007E-2</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0.02</v>
      </c>
      <c r="F499" s="720"/>
      <c r="G499" s="24">
        <f t="shared" si="87"/>
        <v>7.0000000000000007E-2</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0.02</v>
      </c>
      <c r="F500" s="720"/>
      <c r="G500" s="24">
        <f t="shared" si="87"/>
        <v>7.0000000000000007E-2</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0.02</v>
      </c>
      <c r="F501" s="720"/>
      <c r="G501" s="24">
        <f t="shared" si="87"/>
        <v>7.0000000000000007E-2</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0.02</v>
      </c>
      <c r="F502" s="720"/>
      <c r="G502" s="24">
        <f t="shared" si="87"/>
        <v>7.0000000000000007E-2</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0.02</v>
      </c>
      <c r="F503" s="720"/>
      <c r="G503" s="24">
        <f t="shared" si="87"/>
        <v>7.0000000000000007E-2</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0.02</v>
      </c>
      <c r="F504" s="720"/>
      <c r="G504" s="24">
        <f t="shared" si="87"/>
        <v>7.0000000000000007E-2</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0.02</v>
      </c>
      <c r="F505" s="720"/>
      <c r="G505" s="24">
        <f t="shared" si="87"/>
        <v>7.0000000000000007E-2</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0.02</v>
      </c>
      <c r="F506" s="720"/>
      <c r="G506" s="24">
        <f t="shared" si="87"/>
        <v>7.0000000000000007E-2</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0.02</v>
      </c>
      <c r="F507" s="720"/>
      <c r="G507" s="24">
        <f t="shared" si="87"/>
        <v>7.0000000000000007E-2</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0.02</v>
      </c>
      <c r="F508" s="720"/>
      <c r="G508" s="24">
        <f t="shared" si="87"/>
        <v>7.0000000000000007E-2</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0.02</v>
      </c>
      <c r="F509" s="720"/>
      <c r="G509" s="24">
        <f t="shared" si="87"/>
        <v>7.0000000000000007E-2</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0.02</v>
      </c>
      <c r="F510" s="720"/>
      <c r="G510" s="24">
        <f t="shared" si="87"/>
        <v>7.0000000000000007E-2</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0.02</v>
      </c>
      <c r="F511" s="720"/>
      <c r="G511" s="24">
        <f t="shared" si="87"/>
        <v>7.0000000000000007E-2</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0.02</v>
      </c>
      <c r="F512" s="720"/>
      <c r="G512" s="24">
        <f t="shared" si="87"/>
        <v>7.0000000000000007E-2</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0.02</v>
      </c>
      <c r="F513" s="720"/>
      <c r="G513" s="24">
        <f t="shared" si="87"/>
        <v>7.0000000000000007E-2</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0.02</v>
      </c>
      <c r="F514" s="720"/>
      <c r="G514" s="24">
        <f t="shared" si="87"/>
        <v>7.0000000000000007E-2</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0.02</v>
      </c>
      <c r="F515" s="720"/>
      <c r="G515" s="24">
        <f t="shared" si="87"/>
        <v>7.0000000000000007E-2</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0.02</v>
      </c>
      <c r="F516" s="720"/>
      <c r="G516" s="24">
        <f t="shared" si="87"/>
        <v>7.0000000000000007E-2</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0.02</v>
      </c>
      <c r="F517" s="720"/>
      <c r="G517" s="24">
        <f t="shared" si="87"/>
        <v>7.0000000000000007E-2</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0.02</v>
      </c>
      <c r="F518" s="720"/>
      <c r="G518" s="24">
        <f t="shared" si="87"/>
        <v>7.0000000000000007E-2</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0.02</v>
      </c>
      <c r="F519" s="720"/>
      <c r="G519" s="24">
        <f t="shared" si="87"/>
        <v>7.0000000000000007E-2</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0.02</v>
      </c>
      <c r="F520" s="720"/>
      <c r="G520" s="24">
        <f t="shared" si="87"/>
        <v>7.0000000000000007E-2</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0.02</v>
      </c>
      <c r="F521" s="720"/>
      <c r="G521" s="24">
        <f t="shared" si="87"/>
        <v>7.0000000000000007E-2</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0.02</v>
      </c>
      <c r="F522" s="720"/>
      <c r="G522" s="24">
        <f t="shared" si="87"/>
        <v>7.0000000000000007E-2</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0.02</v>
      </c>
      <c r="F523" s="720"/>
      <c r="G523" s="24">
        <f t="shared" si="87"/>
        <v>7.0000000000000007E-2</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0.02</v>
      </c>
      <c r="F524" s="720"/>
      <c r="G524" s="24">
        <f t="shared" si="87"/>
        <v>7.0000000000000007E-2</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266" t="s">
        <v>1403</v>
      </c>
      <c r="C6" s="1299">
        <f ca="1">ROUND(F6*F8*F7*(1-F9)/10000,0)</f>
        <v>0</v>
      </c>
      <c r="D6" s="164" t="s">
        <v>3032</v>
      </c>
      <c r="E6" s="347" t="s">
        <v>1405</v>
      </c>
      <c r="F6" s="348">
        <f ca="1">INDIRECT("'数据-取费表'!u"&amp;$G$1)</f>
        <v>0</v>
      </c>
      <c r="G6" s="1854"/>
      <c r="H6" s="1294" t="s">
        <v>1035</v>
      </c>
      <c r="I6" s="3266" t="s">
        <v>1403</v>
      </c>
      <c r="J6" s="346">
        <f ca="1">ROUND(M6*M8*M7*(1-M9)/10000,0)</f>
        <v>0</v>
      </c>
      <c r="K6" s="164" t="s">
        <v>3031</v>
      </c>
      <c r="L6" s="347" t="s">
        <v>1405</v>
      </c>
      <c r="M6" s="348">
        <f ca="1">INDIRECT("'数据-取费表'!z"&amp;$G$1)</f>
        <v>0</v>
      </c>
    </row>
    <row r="7" spans="1:37" ht="18" customHeight="1">
      <c r="A7" s="1298"/>
      <c r="B7" s="3267"/>
      <c r="C7" s="1300"/>
      <c r="D7" s="352"/>
      <c r="E7" s="1301" t="s">
        <v>1406</v>
      </c>
      <c r="F7" s="348">
        <f ca="1">IF(INDIRECT("'数据-取费表'!ah"&amp;$G$1)="",INDIRECT("'数据-取费表'!k"&amp;$G$1),INDIRECT("'数据-取费表'!ah"&amp;$G$1))</f>
        <v>0</v>
      </c>
      <c r="G7" s="1854"/>
      <c r="H7" s="349"/>
      <c r="I7" s="3267"/>
      <c r="J7" s="351"/>
      <c r="K7" s="352"/>
      <c r="L7" s="347" t="s">
        <v>1406</v>
      </c>
      <c r="M7" s="348">
        <f ca="1">F7</f>
        <v>0</v>
      </c>
    </row>
    <row r="8" spans="1:37" ht="18" customHeight="1">
      <c r="A8" s="349"/>
      <c r="B8" s="3267"/>
      <c r="C8" s="351"/>
      <c r="D8" s="352"/>
      <c r="E8" s="347" t="s">
        <v>1407</v>
      </c>
      <c r="F8" s="348">
        <f ca="1">INDIRECT("'数据-取费表'!ai"&amp;$G$1)</f>
        <v>0</v>
      </c>
      <c r="G8" s="1854"/>
      <c r="H8" s="349"/>
      <c r="I8" s="3267"/>
      <c r="J8" s="351"/>
      <c r="K8" s="352"/>
      <c r="L8" s="347" t="s">
        <v>1407</v>
      </c>
      <c r="M8" s="348">
        <f ca="1">INDIRECT("'数据-取费表'!ai"&amp;$G$1)</f>
        <v>0</v>
      </c>
    </row>
    <row r="9" spans="1:37" ht="18" customHeight="1">
      <c r="A9" s="349"/>
      <c r="B9" s="3268"/>
      <c r="C9" s="351"/>
      <c r="D9" s="352"/>
      <c r="E9" s="347" t="s">
        <v>1408</v>
      </c>
      <c r="F9" s="357">
        <f ca="1">INDIRECT("'数据-取费表'!w"&amp;$G$1)</f>
        <v>0</v>
      </c>
      <c r="G9" s="1854"/>
      <c r="H9" s="349"/>
      <c r="I9" s="326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3041</v>
      </c>
      <c r="E10" s="358" t="s">
        <v>1410</v>
      </c>
      <c r="F10" s="1369"/>
      <c r="G10" s="1854"/>
      <c r="H10" s="1294" t="s">
        <v>1039</v>
      </c>
      <c r="I10" s="1826" t="s">
        <v>1409</v>
      </c>
      <c r="J10" s="346">
        <f ca="1">ROUND(IF(M10="押一",J6/12*M11,IF(M10="押二",J6/12*2*M11,IF(M10="押三",J6/12*3*M11,J11*M11))),0)</f>
        <v>0</v>
      </c>
      <c r="K10" s="1827" t="s">
        <v>3040</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200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1389</v>
      </c>
      <c r="I20" s="164" t="s">
        <v>1441</v>
      </c>
      <c r="J20" s="25">
        <f ca="1">ROUND(M20*M21/10000,2)</f>
        <v>0</v>
      </c>
      <c r="K20" s="370" t="s">
        <v>1442</v>
      </c>
      <c r="L20" s="347" t="s">
        <v>1443</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24</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3033</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3040</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64" t="s">
        <v>1548</v>
      </c>
      <c r="L53" s="3265"/>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24</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66" t="s">
        <v>1403</v>
      </c>
      <c r="C6" s="1299">
        <f ca="1">ROUND(F6*F8*F7*(1-F9),0)</f>
        <v>0</v>
      </c>
      <c r="D6" s="164" t="s">
        <v>3029</v>
      </c>
      <c r="E6" s="347" t="s">
        <v>1405</v>
      </c>
      <c r="F6" s="348">
        <f ca="1">INDIRECT("'数据-取费表'!u"&amp;$G$1)</f>
        <v>0</v>
      </c>
      <c r="G6" s="1854"/>
      <c r="H6" s="1294" t="s">
        <v>1035</v>
      </c>
      <c r="I6" s="3266" t="s">
        <v>1403</v>
      </c>
      <c r="J6" s="346">
        <f ca="1">ROUND(M6*M8*M7*(1-M9),0)</f>
        <v>0</v>
      </c>
      <c r="K6" s="1837" t="s">
        <v>3030</v>
      </c>
      <c r="L6" s="347" t="s">
        <v>1405</v>
      </c>
      <c r="M6" s="348">
        <f ca="1">INDIRECT("'数据-取费表'!z"&amp;$G$1)</f>
        <v>0</v>
      </c>
    </row>
    <row r="7" spans="1:37" ht="18" customHeight="1">
      <c r="A7" s="1298"/>
      <c r="B7" s="3267"/>
      <c r="C7" s="1300"/>
      <c r="D7" s="352"/>
      <c r="E7" s="1301" t="s">
        <v>1406</v>
      </c>
      <c r="F7" s="348">
        <f ca="1">IF(INDIRECT("'数据-取费表'!ah"&amp;$G$1)="",INDIRECT("'数据-取费表'!k"&amp;$G$1),INDIRECT("'数据-取费表'!ah"&amp;$G$1))</f>
        <v>0</v>
      </c>
      <c r="G7" s="1854"/>
      <c r="H7" s="349"/>
      <c r="I7" s="3267"/>
      <c r="J7" s="351"/>
      <c r="K7" s="352"/>
      <c r="L7" s="347" t="s">
        <v>1406</v>
      </c>
      <c r="M7" s="348">
        <f ca="1">F7</f>
        <v>0</v>
      </c>
    </row>
    <row r="8" spans="1:37" ht="18" customHeight="1">
      <c r="A8" s="349"/>
      <c r="B8" s="3267"/>
      <c r="C8" s="351"/>
      <c r="D8" s="352"/>
      <c r="E8" s="347" t="s">
        <v>1407</v>
      </c>
      <c r="F8" s="348">
        <f ca="1">INDIRECT("'数据-取费表'!ai"&amp;$G$1)</f>
        <v>0</v>
      </c>
      <c r="G8" s="1854"/>
      <c r="H8" s="349"/>
      <c r="I8" s="3267"/>
      <c r="J8" s="351"/>
      <c r="K8" s="352"/>
      <c r="L8" s="347" t="s">
        <v>1407</v>
      </c>
      <c r="M8" s="348">
        <f ca="1">INDIRECT("'数据-取费表'!ai"&amp;$G$1)</f>
        <v>0</v>
      </c>
    </row>
    <row r="9" spans="1:37" ht="18" customHeight="1">
      <c r="A9" s="349"/>
      <c r="B9" s="3268"/>
      <c r="C9" s="351"/>
      <c r="D9" s="352"/>
      <c r="E9" s="347" t="s">
        <v>1408</v>
      </c>
      <c r="F9" s="357">
        <f ca="1">INDIRECT("'数据-取费表'!w"&amp;$G$1)</f>
        <v>0</v>
      </c>
      <c r="G9" s="1854"/>
      <c r="H9" s="349"/>
      <c r="I9" s="326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3040</v>
      </c>
      <c r="E10" s="358" t="s">
        <v>1410</v>
      </c>
      <c r="F10" s="1369"/>
      <c r="G10" s="1854"/>
      <c r="H10" s="1294" t="s">
        <v>1039</v>
      </c>
      <c r="I10" s="1826" t="s">
        <v>1409</v>
      </c>
      <c r="J10" s="346">
        <f ca="1">ROUND(IF(M10="押一",J6/12*M11,IF(M10="押二",J6/12*2*M11,IF(M10="押三",J6/12*3*M11,J11*M11))),0)</f>
        <v>0</v>
      </c>
      <c r="K10" s="1838" t="s">
        <v>3042</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1389</v>
      </c>
      <c r="I20" s="164" t="s">
        <v>1441</v>
      </c>
      <c r="J20" s="25">
        <f ca="1">ROUND(M20*M21,0)</f>
        <v>0</v>
      </c>
      <c r="K20" s="370" t="s">
        <v>1442</v>
      </c>
      <c r="L20" s="347" t="s">
        <v>1443</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24</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3043</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64" t="s">
        <v>1548</v>
      </c>
      <c r="L53" s="3265"/>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24</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2531</v>
      </c>
      <c r="B1" s="2569"/>
      <c r="C1" s="2569"/>
      <c r="D1" s="2569"/>
      <c r="E1" s="2570"/>
    </row>
    <row r="2" spans="1:6" ht="15.75">
      <c r="A2" s="2571" t="s">
        <v>2332</v>
      </c>
      <c r="B2" s="2572">
        <f ca="1">SUMIF(B6:B13,"&lt;&gt;#ref!",B6:B13)</f>
        <v>0</v>
      </c>
      <c r="C2" s="2573" t="s">
        <v>2524</v>
      </c>
      <c r="D2" s="2574" t="s">
        <v>2525</v>
      </c>
      <c r="E2" s="2575">
        <f>SUM(E6:E13)</f>
        <v>0</v>
      </c>
    </row>
    <row r="3" spans="1:6" ht="15.75">
      <c r="A3" s="2571" t="s">
        <v>1395</v>
      </c>
      <c r="B3" s="2572" t="e">
        <f ca="1">ROUND(B2*10000/E2,0)</f>
        <v>#DIV/0!</v>
      </c>
      <c r="C3" s="2573" t="s">
        <v>2532</v>
      </c>
      <c r="D3" s="2576"/>
      <c r="E3" s="2577"/>
    </row>
    <row r="4" spans="1:6" ht="15.75">
      <c r="A4" s="2578"/>
      <c r="B4" s="2576"/>
      <c r="C4" s="2576"/>
      <c r="D4" s="2576"/>
      <c r="E4" s="2577"/>
    </row>
    <row r="5" spans="1:6" ht="15">
      <c r="A5" s="2579" t="s">
        <v>2526</v>
      </c>
      <c r="B5" s="3269" t="s">
        <v>2527</v>
      </c>
      <c r="C5" s="3269"/>
      <c r="D5" s="2580"/>
      <c r="E5" s="2581" t="s">
        <v>2528</v>
      </c>
      <c r="F5" s="2582" t="s">
        <v>2529</v>
      </c>
    </row>
    <row r="6" spans="1:6">
      <c r="A6" s="2583">
        <f>'数据-取费表'!AN6</f>
        <v>0</v>
      </c>
      <c r="B6" s="2582" t="e">
        <f ca="1">IF(F6="是",'数据-取费表'!AO6,0)</f>
        <v>#REF!</v>
      </c>
      <c r="C6" s="2573" t="s">
        <v>2524</v>
      </c>
      <c r="D6" s="2576"/>
      <c r="E6" s="2584">
        <f>IF(OR(A6=0,F6="否"),0,'数据-取费表'!K6+'数据-取费表'!S6)</f>
        <v>0</v>
      </c>
      <c r="F6" s="2585" t="s">
        <v>2530</v>
      </c>
    </row>
    <row r="7" spans="1:6">
      <c r="A7" s="2583">
        <f>'数据-取费表'!AN7</f>
        <v>0</v>
      </c>
      <c r="B7" s="2582" t="e">
        <f ca="1">IF(F7="是",'数据-取费表'!AO7,0)</f>
        <v>#REF!</v>
      </c>
      <c r="C7" s="2573" t="s">
        <v>2524</v>
      </c>
      <c r="D7" s="2576"/>
      <c r="E7" s="2584">
        <f>IF(OR(A7=0,F7="否"),0,'数据-取费表'!K7+'数据-取费表'!S7)</f>
        <v>0</v>
      </c>
      <c r="F7" s="2585" t="s">
        <v>2530</v>
      </c>
    </row>
    <row r="8" spans="1:6">
      <c r="A8" s="2583">
        <f>'数据-取费表'!AN8</f>
        <v>0</v>
      </c>
      <c r="B8" s="2582" t="e">
        <f ca="1">IF(F8="是",'数据-取费表'!AO8,0)</f>
        <v>#REF!</v>
      </c>
      <c r="C8" s="2573" t="s">
        <v>2524</v>
      </c>
      <c r="D8" s="2576"/>
      <c r="E8" s="2584">
        <f>IF(OR(A8=0,F8="否"),0,'数据-取费表'!K8+'数据-取费表'!S8)</f>
        <v>0</v>
      </c>
      <c r="F8" s="2585" t="s">
        <v>2530</v>
      </c>
    </row>
    <row r="9" spans="1:6">
      <c r="A9" s="2583">
        <f>'数据-取费表'!AN9</f>
        <v>0</v>
      </c>
      <c r="B9" s="2582" t="e">
        <f ca="1">IF(F9="是",'数据-取费表'!AO9,0)</f>
        <v>#REF!</v>
      </c>
      <c r="C9" s="2573" t="s">
        <v>2524</v>
      </c>
      <c r="D9" s="2576"/>
      <c r="E9" s="2584">
        <f>IF(OR(A9=0,F9="否"),0,'数据-取费表'!K9+'数据-取费表'!S9)</f>
        <v>0</v>
      </c>
      <c r="F9" s="2585" t="s">
        <v>2530</v>
      </c>
    </row>
    <row r="10" spans="1:6">
      <c r="A10" s="2583">
        <f>'数据-取费表'!AN10</f>
        <v>0</v>
      </c>
      <c r="B10" s="2582" t="e">
        <f ca="1">IF(F10="是",'数据-取费表'!AO10,0)</f>
        <v>#REF!</v>
      </c>
      <c r="C10" s="2573" t="s">
        <v>2524</v>
      </c>
      <c r="D10" s="2576"/>
      <c r="E10" s="2584">
        <f>IF(OR(A10=0,F10="否"),0,'数据-取费表'!K10+'数据-取费表'!S10)</f>
        <v>0</v>
      </c>
      <c r="F10" s="2585" t="s">
        <v>2530</v>
      </c>
    </row>
    <row r="11" spans="1:6">
      <c r="A11" s="2583">
        <f>'数据-取费表'!AN11</f>
        <v>0</v>
      </c>
      <c r="B11" s="2582" t="e">
        <f ca="1">IF(F11="是",'数据-取费表'!AO11,0)</f>
        <v>#REF!</v>
      </c>
      <c r="C11" s="2573" t="s">
        <v>2524</v>
      </c>
      <c r="D11" s="2576"/>
      <c r="E11" s="2584">
        <f>IF(OR(A11=0,F11="否"),0,'数据-取费表'!K11+'数据-取费表'!S11)</f>
        <v>0</v>
      </c>
      <c r="F11" s="2585" t="s">
        <v>2530</v>
      </c>
    </row>
    <row r="12" spans="1:6">
      <c r="A12" s="2583">
        <f>'数据-取费表'!AN12</f>
        <v>0</v>
      </c>
      <c r="B12" s="2582" t="e">
        <f ca="1">IF(F12="是",'数据-取费表'!AO12,0)</f>
        <v>#REF!</v>
      </c>
      <c r="C12" s="2573" t="s">
        <v>2524</v>
      </c>
      <c r="D12" s="2576"/>
      <c r="E12" s="2584">
        <f>IF(OR(A12=0,F12="否"),0,'数据-取费表'!K12+'数据-取费表'!S12)</f>
        <v>0</v>
      </c>
      <c r="F12" s="2585" t="s">
        <v>2530</v>
      </c>
    </row>
    <row r="13" spans="1:6" ht="15" thickBot="1">
      <c r="A13" s="2586">
        <f>'数据-取费表'!AN13</f>
        <v>0</v>
      </c>
      <c r="B13" s="2582" t="e">
        <f ca="1">IF(F13="是",'数据-取费表'!AO13,0)</f>
        <v>#REF!</v>
      </c>
      <c r="C13" s="2587" t="s">
        <v>2524</v>
      </c>
      <c r="D13" s="2588"/>
      <c r="E13" s="2584">
        <f>IF(OR(A13=0,F13="否"),0,'数据-取费表'!K13+'数据-取费表'!S13)</f>
        <v>0</v>
      </c>
      <c r="F13" s="2585"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9"/>
    </sheetView>
  </sheetViews>
  <sheetFormatPr defaultRowHeight="13.5"/>
  <cols>
    <col min="1" max="1" width="10.5" customWidth="1"/>
    <col min="2" max="2" width="12.875" customWidth="1"/>
    <col min="3" max="3" width="8.75" customWidth="1"/>
  </cols>
  <sheetData>
    <row r="1" spans="1:9" ht="14.25">
      <c r="A1" s="3286" t="s">
        <v>1076</v>
      </c>
      <c r="B1" s="3287"/>
      <c r="C1" s="3288"/>
      <c r="D1" s="3289">
        <f>SUM(I10,I15,I20,I21,I23)</f>
        <v>0</v>
      </c>
      <c r="E1" s="3289"/>
      <c r="F1" s="3289"/>
      <c r="G1" s="3289"/>
      <c r="H1" s="3289"/>
      <c r="I1" s="3290"/>
    </row>
    <row r="2" spans="1:9">
      <c r="A2" s="3276" t="s">
        <v>1077</v>
      </c>
      <c r="B2" s="3277" t="s">
        <v>1078</v>
      </c>
      <c r="C2" s="3277"/>
      <c r="D2" s="1304" t="s">
        <v>1079</v>
      </c>
      <c r="E2" s="1304" t="s">
        <v>1080</v>
      </c>
      <c r="F2" s="1304" t="s">
        <v>1081</v>
      </c>
      <c r="G2" s="1304" t="s">
        <v>1082</v>
      </c>
      <c r="H2" s="1304" t="s">
        <v>1083</v>
      </c>
      <c r="I2" s="1305" t="s">
        <v>1084</v>
      </c>
    </row>
    <row r="3" spans="1:9">
      <c r="A3" s="3276"/>
      <c r="B3" s="3277" t="s">
        <v>1085</v>
      </c>
      <c r="C3" s="3277"/>
      <c r="D3" s="1306"/>
      <c r="E3" s="1304"/>
      <c r="F3" s="1307"/>
      <c r="G3" s="1307"/>
      <c r="H3" s="1308"/>
      <c r="I3" s="1309">
        <f>ROUND(D3*E3*F3*G3*H3/10000,0)</f>
        <v>0</v>
      </c>
    </row>
    <row r="4" spans="1:9">
      <c r="A4" s="3276"/>
      <c r="B4" s="3277" t="s">
        <v>1086</v>
      </c>
      <c r="C4" s="3277"/>
      <c r="D4" s="1306"/>
      <c r="E4" s="1304"/>
      <c r="F4" s="1307"/>
      <c r="G4" s="1307"/>
      <c r="H4" s="1308"/>
      <c r="I4" s="1309">
        <f t="shared" ref="I4:I9" si="0">ROUND(D4*E4*F4*G4*H4/10000,0)</f>
        <v>0</v>
      </c>
    </row>
    <row r="5" spans="1:9">
      <c r="A5" s="3276"/>
      <c r="B5" s="3277" t="s">
        <v>1087</v>
      </c>
      <c r="C5" s="3277"/>
      <c r="D5" s="1306"/>
      <c r="E5" s="1304"/>
      <c r="F5" s="1307"/>
      <c r="G5" s="1307"/>
      <c r="H5" s="1308"/>
      <c r="I5" s="1309">
        <f t="shared" si="0"/>
        <v>0</v>
      </c>
    </row>
    <row r="6" spans="1:9">
      <c r="A6" s="3276"/>
      <c r="B6" s="3277" t="s">
        <v>1088</v>
      </c>
      <c r="C6" s="3277"/>
      <c r="D6" s="1306"/>
      <c r="E6" s="1304"/>
      <c r="F6" s="1307"/>
      <c r="G6" s="1307"/>
      <c r="H6" s="1308"/>
      <c r="I6" s="1309">
        <f t="shared" si="0"/>
        <v>0</v>
      </c>
    </row>
    <row r="7" spans="1:9">
      <c r="A7" s="3276"/>
      <c r="B7" s="3277" t="s">
        <v>1089</v>
      </c>
      <c r="C7" s="3277"/>
      <c r="D7" s="1306"/>
      <c r="E7" s="1304"/>
      <c r="F7" s="1307"/>
      <c r="G7" s="1307"/>
      <c r="H7" s="1308"/>
      <c r="I7" s="1309">
        <f t="shared" si="0"/>
        <v>0</v>
      </c>
    </row>
    <row r="8" spans="1:9">
      <c r="A8" s="3276"/>
      <c r="B8" s="3277" t="s">
        <v>1090</v>
      </c>
      <c r="C8" s="3277"/>
      <c r="D8" s="1306"/>
      <c r="E8" s="1304"/>
      <c r="F8" s="1307"/>
      <c r="G8" s="1307"/>
      <c r="H8" s="1308"/>
      <c r="I8" s="1309">
        <f t="shared" si="0"/>
        <v>0</v>
      </c>
    </row>
    <row r="9" spans="1:9">
      <c r="A9" s="3276"/>
      <c r="B9" s="3277" t="s">
        <v>1091</v>
      </c>
      <c r="C9" s="3277"/>
      <c r="D9" s="1306"/>
      <c r="E9" s="1304"/>
      <c r="F9" s="1307"/>
      <c r="G9" s="1307"/>
      <c r="H9" s="1308"/>
      <c r="I9" s="1309">
        <f t="shared" si="0"/>
        <v>0</v>
      </c>
    </row>
    <row r="10" spans="1:9">
      <c r="A10" s="3276"/>
      <c r="B10" s="3278" t="s">
        <v>1092</v>
      </c>
      <c r="C10" s="3278"/>
      <c r="D10" s="1310"/>
      <c r="E10" s="1310" t="e">
        <f>ROUND(D1*10000/D10/H9,0)</f>
        <v>#DIV/0!</v>
      </c>
      <c r="F10" s="1311"/>
      <c r="G10" s="1311"/>
      <c r="H10" s="1312"/>
      <c r="I10" s="1313">
        <f>SUM(I3:I9)</f>
        <v>0</v>
      </c>
    </row>
    <row r="11" spans="1:9" ht="14.25">
      <c r="A11" s="3276" t="s">
        <v>1093</v>
      </c>
      <c r="B11" s="3277" t="s">
        <v>1094</v>
      </c>
      <c r="C11" s="3277"/>
      <c r="D11" s="1306" t="s">
        <v>1095</v>
      </c>
      <c r="E11" s="1306" t="s">
        <v>1096</v>
      </c>
      <c r="F11" s="1307" t="s">
        <v>1097</v>
      </c>
      <c r="G11" s="1307" t="s">
        <v>1083</v>
      </c>
      <c r="H11" s="1314" t="s">
        <v>1098</v>
      </c>
      <c r="I11" s="1305" t="s">
        <v>1084</v>
      </c>
    </row>
    <row r="12" spans="1:9">
      <c r="A12" s="3276"/>
      <c r="B12" s="3277" t="s">
        <v>1099</v>
      </c>
      <c r="C12" s="3277"/>
      <c r="D12" s="1306"/>
      <c r="E12" s="1306"/>
      <c r="F12" s="1307"/>
      <c r="G12" s="1308"/>
      <c r="H12" s="1315"/>
      <c r="I12" s="1305">
        <f>ROUND(D12*E12*F12*G12/10000,0)</f>
        <v>0</v>
      </c>
    </row>
    <row r="13" spans="1:9">
      <c r="A13" s="3276"/>
      <c r="B13" s="3277" t="s">
        <v>1100</v>
      </c>
      <c r="C13" s="3277"/>
      <c r="D13" s="1306"/>
      <c r="E13" s="1306"/>
      <c r="F13" s="1307"/>
      <c r="G13" s="1308"/>
      <c r="H13" s="1315"/>
      <c r="I13" s="1305">
        <f>ROUND(D13*E13*F13*G13/10000,0)</f>
        <v>0</v>
      </c>
    </row>
    <row r="14" spans="1:9">
      <c r="A14" s="3276"/>
      <c r="B14" s="3277" t="s">
        <v>1101</v>
      </c>
      <c r="C14" s="3277"/>
      <c r="D14" s="1306"/>
      <c r="E14" s="1306"/>
      <c r="F14" s="1307"/>
      <c r="G14" s="1308"/>
      <c r="H14" s="1315"/>
      <c r="I14" s="1305">
        <f>ROUND(D14*E14*F14*G14/10000,0)</f>
        <v>0</v>
      </c>
    </row>
    <row r="15" spans="1:9">
      <c r="A15" s="3276"/>
      <c r="B15" s="3278" t="s">
        <v>1092</v>
      </c>
      <c r="C15" s="3278"/>
      <c r="D15" s="1310"/>
      <c r="E15" s="1310">
        <f>SUM(E12:E14)</f>
        <v>0</v>
      </c>
      <c r="F15" s="1311"/>
      <c r="G15" s="1308"/>
      <c r="H15" s="1315"/>
      <c r="I15" s="1316">
        <f>SUM(I12:I14)</f>
        <v>0</v>
      </c>
    </row>
    <row r="16" spans="1:9" ht="24">
      <c r="A16" s="3276" t="s">
        <v>1102</v>
      </c>
      <c r="B16" s="3277" t="s">
        <v>1103</v>
      </c>
      <c r="C16" s="3277"/>
      <c r="D16" s="1306" t="s">
        <v>1079</v>
      </c>
      <c r="E16" s="1317" t="s">
        <v>1104</v>
      </c>
      <c r="F16" s="1307" t="s">
        <v>1105</v>
      </c>
      <c r="G16" s="1308" t="s">
        <v>1083</v>
      </c>
      <c r="H16" s="1314" t="s">
        <v>1098</v>
      </c>
      <c r="I16" s="1305" t="s">
        <v>1084</v>
      </c>
    </row>
    <row r="17" spans="1:9" ht="14.25">
      <c r="A17" s="3276"/>
      <c r="B17" s="3277" t="s">
        <v>1106</v>
      </c>
      <c r="C17" s="3277"/>
      <c r="D17" s="1306"/>
      <c r="E17" s="1306"/>
      <c r="F17" s="1307"/>
      <c r="G17" s="1308"/>
      <c r="H17" s="1318"/>
      <c r="I17" s="1319">
        <f>ROUND(D17*E17*F17*G17/10000,0)</f>
        <v>0</v>
      </c>
    </row>
    <row r="18" spans="1:9" ht="14.25">
      <c r="A18" s="3276"/>
      <c r="B18" s="3277" t="s">
        <v>1107</v>
      </c>
      <c r="C18" s="3277"/>
      <c r="D18" s="1306"/>
      <c r="E18" s="1306"/>
      <c r="F18" s="1307"/>
      <c r="G18" s="1308"/>
      <c r="H18" s="1318"/>
      <c r="I18" s="1319">
        <f>ROUND(D18*E18*F18*G18/10000,0)</f>
        <v>0</v>
      </c>
    </row>
    <row r="19" spans="1:9" ht="14.25">
      <c r="A19" s="3276"/>
      <c r="B19" s="3277" t="s">
        <v>1108</v>
      </c>
      <c r="C19" s="3277"/>
      <c r="D19" s="1306"/>
      <c r="E19" s="1306"/>
      <c r="F19" s="1307"/>
      <c r="G19" s="1308"/>
      <c r="H19" s="1318"/>
      <c r="I19" s="1319">
        <f>ROUND(D19*E19*F19*G19/10000,0)</f>
        <v>0</v>
      </c>
    </row>
    <row r="20" spans="1:9">
      <c r="A20" s="3276"/>
      <c r="B20" s="3278" t="s">
        <v>1092</v>
      </c>
      <c r="C20" s="3278"/>
      <c r="D20" s="1310">
        <f>SUM(D17:D19)</f>
        <v>0</v>
      </c>
      <c r="E20" s="1310"/>
      <c r="F20" s="1311"/>
      <c r="G20" s="1308"/>
      <c r="H20" s="1315"/>
      <c r="I20" s="1316">
        <f>SUM(I17:I19)</f>
        <v>0</v>
      </c>
    </row>
    <row r="21" spans="1:9">
      <c r="A21" s="3276" t="s">
        <v>1109</v>
      </c>
      <c r="B21" s="3279"/>
      <c r="C21" s="3279"/>
      <c r="D21" s="3279"/>
      <c r="E21" s="3279"/>
      <c r="F21" s="3279"/>
      <c r="G21" s="3279"/>
      <c r="H21" s="1768">
        <v>0.1</v>
      </c>
      <c r="I21" s="1313">
        <f>ROUND(I10*H21,0)</f>
        <v>0</v>
      </c>
    </row>
    <row r="22" spans="1:9" ht="14.25">
      <c r="A22" s="3280" t="s">
        <v>1110</v>
      </c>
      <c r="B22" s="3281"/>
      <c r="C22" s="3282"/>
      <c r="D22" s="1320" t="s">
        <v>1111</v>
      </c>
      <c r="E22" s="1320" t="s">
        <v>1112</v>
      </c>
      <c r="F22" s="1321" t="s">
        <v>1113</v>
      </c>
      <c r="G22" s="1321" t="s">
        <v>1114</v>
      </c>
      <c r="H22" s="1314" t="s">
        <v>1115</v>
      </c>
      <c r="I22" s="1305" t="s">
        <v>1116</v>
      </c>
    </row>
    <row r="23" spans="1:9" ht="14.25" thickBot="1">
      <c r="A23" s="3283"/>
      <c r="B23" s="3284"/>
      <c r="C23" s="3285"/>
      <c r="D23" s="1322"/>
      <c r="E23" s="1322"/>
      <c r="F23" s="1322"/>
      <c r="G23" s="1323"/>
      <c r="H23" s="1324"/>
      <c r="I23" s="1325">
        <f>ROUND(E23*D23*F23*(1-G23)/10000,0)</f>
        <v>0</v>
      </c>
    </row>
    <row r="26" spans="1:9">
      <c r="A26" s="1326" t="s">
        <v>1117</v>
      </c>
      <c r="B26" s="1326"/>
      <c r="C26" s="1326"/>
      <c r="D26" s="1326"/>
      <c r="E26" s="3273">
        <f>C27-C30-C31-C32</f>
        <v>0</v>
      </c>
      <c r="F26" s="3273"/>
      <c r="G26" s="3273"/>
      <c r="H26" s="1740" t="s">
        <v>1340</v>
      </c>
    </row>
    <row r="27" spans="1:9">
      <c r="A27" s="1327">
        <v>1</v>
      </c>
      <c r="B27" s="1328" t="s">
        <v>1118</v>
      </c>
      <c r="C27" s="1328">
        <f>C28+C29</f>
        <v>0</v>
      </c>
      <c r="D27" s="1328"/>
      <c r="E27" s="3274"/>
      <c r="F27" s="3274"/>
      <c r="G27" s="3274"/>
    </row>
    <row r="28" spans="1:9">
      <c r="A28" s="1329" t="s">
        <v>1119</v>
      </c>
      <c r="B28" s="1328" t="s">
        <v>1120</v>
      </c>
      <c r="C28" s="1328"/>
      <c r="D28" s="1328"/>
      <c r="E28" s="3274"/>
      <c r="F28" s="3274"/>
      <c r="G28" s="327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75"/>
      <c r="F32" s="3275"/>
      <c r="G32" s="3275"/>
    </row>
    <row r="33" spans="1:7" hidden="1">
      <c r="A33" s="3270" t="s">
        <v>1129</v>
      </c>
      <c r="B33" s="3271"/>
      <c r="C33" s="3271"/>
      <c r="D33" s="3272"/>
      <c r="E33" s="3273"/>
      <c r="F33" s="3273"/>
      <c r="G33" s="3273"/>
    </row>
    <row r="34" spans="1:7" hidden="1">
      <c r="A34" s="1331">
        <v>1</v>
      </c>
      <c r="B34" s="1328" t="s">
        <v>1130</v>
      </c>
      <c r="C34" s="1328"/>
      <c r="D34" s="1328"/>
      <c r="E34" s="3274"/>
      <c r="F34" s="3274"/>
      <c r="G34" s="3274"/>
    </row>
    <row r="35" spans="1:7" hidden="1">
      <c r="A35" s="1331">
        <v>2</v>
      </c>
      <c r="B35" s="1328" t="s">
        <v>1131</v>
      </c>
      <c r="C35" s="1328"/>
      <c r="D35" s="1328"/>
      <c r="E35" s="3274"/>
      <c r="F35" s="3274"/>
      <c r="G35" s="3274"/>
    </row>
    <row r="36" spans="1:7" hidden="1">
      <c r="A36" s="1331">
        <v>3</v>
      </c>
      <c r="B36" s="1328" t="s">
        <v>1132</v>
      </c>
      <c r="C36" s="1328"/>
      <c r="D36" s="1328"/>
      <c r="E36" s="3274"/>
      <c r="F36" s="3274"/>
      <c r="G36" s="3274"/>
    </row>
    <row r="37" spans="1:7" hidden="1">
      <c r="A37" s="1331">
        <v>4</v>
      </c>
      <c r="B37" s="1328" t="s">
        <v>1133</v>
      </c>
      <c r="C37" s="1328"/>
      <c r="D37" s="1328"/>
      <c r="E37" s="3274"/>
      <c r="F37" s="3274"/>
      <c r="G37" s="3274"/>
    </row>
    <row r="38" spans="1:7" hidden="1">
      <c r="A38" s="3270" t="s">
        <v>1134</v>
      </c>
      <c r="B38" s="3271"/>
      <c r="C38" s="3271"/>
      <c r="D38" s="3272"/>
      <c r="E38" s="3273"/>
      <c r="F38" s="3273"/>
      <c r="G38" s="32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18">
      <c r="A4" s="1951" t="str">
        <f>"受贵公司委托，我公司对"&amp;项目基本情况!S1&amp;"进行了预评估。"</f>
        <v>受贵公司委托，我公司对北京市房地产抵押价值进行了预评估。</v>
      </c>
    </row>
    <row r="5" spans="1:1" ht="18.75">
      <c r="A5" s="1952" t="s">
        <v>1612</v>
      </c>
    </row>
    <row r="6" spans="1:1" ht="18.75">
      <c r="A6" s="1953" t="s">
        <v>1613</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估价对象为北京市房地产，为所有。根据《国有土地使用证》[]，估价对象（分摊）出让国有建设用地使用权面积为0平方米，建筑面积为166.41平方米。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估价对象为北京市房地产,属开发建设的居住项目，该项目尚在开发建设中。根据《国有土地使用证》[]，估价对象（分摊）出让国有建设用地使用权面积为0平方米，规划建筑面积为166.41平方米。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2018年6月29日（评估专业人员实地查勘之日）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29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本次评估采用的主估价方法为比较法和成本法。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3" sqref="G1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9" t="s">
        <v>2647</v>
      </c>
      <c r="C1" s="1637" t="s">
        <v>2535</v>
      </c>
      <c r="D1" s="1624"/>
      <c r="E1" s="2662"/>
      <c r="F1" s="2591"/>
      <c r="G1" s="1634" t="s">
        <v>2648</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2332</v>
      </c>
      <c r="B2" s="1421" t="e">
        <f ca="1">IF(C2="——",ROUND(C49*D3/10000,0),ROUND(C49*D3/10000,0)-D2)</f>
        <v>#DIV/0!</v>
      </c>
      <c r="C2" s="2593"/>
      <c r="D2" s="1368" t="e">
        <f ca="1">SUMIF(INDIRECT("'"&amp;F2&amp;"'"&amp;"!A:A"),"承租人权益价值",INDIRECT("'"&amp;F2&amp;"'"&amp;"!c:c"))</f>
        <v>#REF!</v>
      </c>
      <c r="E2" s="2594" t="s">
        <v>2333</v>
      </c>
      <c r="F2" s="2595"/>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2334</v>
      </c>
      <c r="B3" s="609" t="e">
        <f ca="1">IF(C2="——",C49,ROUND(B2*10000/D3,0))</f>
        <v>#DIV/0!</v>
      </c>
      <c r="C3" s="400" t="s">
        <v>2649</v>
      </c>
      <c r="D3" s="399">
        <f>IF(D1="",'数据-汇总表'!E3,SUMIF('数据-汇总表'!$C19:$C33,D1,'数据-汇总表'!$E19:$E33))</f>
        <v>166.41</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2650</v>
      </c>
      <c r="B4" s="402"/>
      <c r="C4" s="3184" t="s">
        <v>2651</v>
      </c>
      <c r="D4" s="3185"/>
      <c r="E4" s="3186" t="s">
        <v>2652</v>
      </c>
      <c r="F4" s="3187"/>
      <c r="G4" s="3184" t="s">
        <v>2653</v>
      </c>
      <c r="H4" s="3185"/>
      <c r="I4" s="3184" t="s">
        <v>2654</v>
      </c>
      <c r="J4" s="3185"/>
      <c r="K4" s="610" t="s">
        <v>2655</v>
      </c>
      <c r="L4" s="1133"/>
      <c r="M4" s="1134"/>
      <c r="N4" s="1134"/>
      <c r="O4" s="1134"/>
      <c r="P4" s="3188" t="s">
        <v>2656</v>
      </c>
      <c r="Q4" s="3189"/>
      <c r="R4" s="3194" t="s">
        <v>2652</v>
      </c>
      <c r="S4" s="3195"/>
      <c r="T4" s="3194" t="s">
        <v>2653</v>
      </c>
      <c r="U4" s="3195"/>
      <c r="V4" s="3200" t="s">
        <v>2654</v>
      </c>
      <c r="W4" s="3200"/>
      <c r="X4" s="1816"/>
      <c r="Y4" s="3194" t="s">
        <v>2656</v>
      </c>
      <c r="Z4" s="3195"/>
      <c r="AA4" s="3181" t="s">
        <v>2652</v>
      </c>
      <c r="AB4" s="3200" t="s">
        <v>2653</v>
      </c>
      <c r="AC4" s="3181" t="s">
        <v>2654</v>
      </c>
    </row>
    <row r="5" spans="1:29" ht="15">
      <c r="A5" s="404"/>
      <c r="B5" s="405"/>
      <c r="C5" s="3208" t="s">
        <v>2547</v>
      </c>
      <c r="D5" s="3204"/>
      <c r="E5" s="3291" t="s">
        <v>2548</v>
      </c>
      <c r="F5" s="3212"/>
      <c r="G5" s="3208" t="s">
        <v>2549</v>
      </c>
      <c r="H5" s="3204"/>
      <c r="I5" s="3208" t="s">
        <v>2550</v>
      </c>
      <c r="J5" s="3204"/>
      <c r="K5" s="610"/>
      <c r="L5" s="1133"/>
      <c r="M5" s="1134"/>
      <c r="N5" s="1134"/>
      <c r="O5" s="1134"/>
      <c r="P5" s="3190"/>
      <c r="Q5" s="3191"/>
      <c r="R5" s="3196"/>
      <c r="S5" s="3197"/>
      <c r="T5" s="3196"/>
      <c r="U5" s="3197"/>
      <c r="V5" s="3200"/>
      <c r="W5" s="3200"/>
      <c r="X5" s="1816"/>
      <c r="Y5" s="3196"/>
      <c r="Z5" s="3197"/>
      <c r="AA5" s="3182"/>
      <c r="AB5" s="3200"/>
      <c r="AC5" s="3182"/>
    </row>
    <row r="6" spans="1:29" ht="15.75" thickBot="1">
      <c r="A6" s="406"/>
      <c r="B6" s="407"/>
      <c r="C6" s="3201" t="s">
        <v>2551</v>
      </c>
      <c r="D6" s="3202"/>
      <c r="E6" s="3209" t="s">
        <v>2551</v>
      </c>
      <c r="F6" s="3210"/>
      <c r="G6" s="3201" t="s">
        <v>2551</v>
      </c>
      <c r="H6" s="3202"/>
      <c r="I6" s="3201" t="s">
        <v>2551</v>
      </c>
      <c r="J6" s="3202"/>
      <c r="K6" s="610" t="s">
        <v>2552</v>
      </c>
      <c r="L6" s="1133"/>
      <c r="M6" s="1134"/>
      <c r="N6" s="1134"/>
      <c r="O6" s="1134"/>
      <c r="P6" s="3192"/>
      <c r="Q6" s="3193"/>
      <c r="R6" s="3196"/>
      <c r="S6" s="3197"/>
      <c r="T6" s="3198"/>
      <c r="U6" s="3199"/>
      <c r="V6" s="3200"/>
      <c r="W6" s="3200"/>
      <c r="X6" s="1816"/>
      <c r="Y6" s="3198"/>
      <c r="Z6" s="3199"/>
      <c r="AA6" s="3183"/>
      <c r="AB6" s="3200"/>
      <c r="AC6" s="3183"/>
    </row>
    <row r="7" spans="1:29" s="117" customFormat="1" ht="15.75" thickBot="1">
      <c r="A7" s="408" t="s">
        <v>2553</v>
      </c>
      <c r="B7" s="409"/>
      <c r="C7" s="410">
        <f>'数据-取费表'!B2</f>
        <v>43280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5" t="s">
        <v>2554</v>
      </c>
      <c r="Q7" s="3207"/>
      <c r="R7" s="770" t="s">
        <v>17</v>
      </c>
      <c r="S7" s="771">
        <f t="shared" ref="S7:S15" si="0">F7</f>
        <v>0</v>
      </c>
      <c r="T7" s="770" t="s">
        <v>17</v>
      </c>
      <c r="U7" s="771">
        <f t="shared" ref="U7:U15" si="1">H7</f>
        <v>0</v>
      </c>
      <c r="V7" s="770" t="s">
        <v>17</v>
      </c>
      <c r="W7" s="771">
        <f t="shared" ref="W7:W15" si="2">J7</f>
        <v>0</v>
      </c>
      <c r="X7" s="772"/>
      <c r="Y7" s="3205" t="s">
        <v>2554</v>
      </c>
      <c r="Z7" s="3206"/>
      <c r="AA7" s="773" t="e">
        <f>D7/F7</f>
        <v>#DIV/0!</v>
      </c>
      <c r="AB7" s="773" t="e">
        <f>D7/H7</f>
        <v>#DIV/0!</v>
      </c>
      <c r="AC7" s="773" t="e">
        <f>D7/J7</f>
        <v>#DIV/0!</v>
      </c>
    </row>
    <row r="8" spans="1:29" s="117" customFormat="1" ht="15.75" thickBot="1">
      <c r="A8" s="408" t="s">
        <v>2555</v>
      </c>
      <c r="B8" s="409"/>
      <c r="C8" s="414" t="s">
        <v>2657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5" t="s">
        <v>2557</v>
      </c>
      <c r="Q8" s="3206"/>
      <c r="R8" s="770" t="s">
        <v>17</v>
      </c>
      <c r="S8" s="771">
        <f t="shared" si="0"/>
        <v>0</v>
      </c>
      <c r="T8" s="770" t="s">
        <v>17</v>
      </c>
      <c r="U8" s="771">
        <f t="shared" si="1"/>
        <v>0</v>
      </c>
      <c r="V8" s="770" t="s">
        <v>17</v>
      </c>
      <c r="W8" s="771">
        <f t="shared" si="2"/>
        <v>0</v>
      </c>
      <c r="X8" s="772"/>
      <c r="Y8" s="3205" t="s">
        <v>2557</v>
      </c>
      <c r="Z8" s="3206"/>
      <c r="AA8" s="773" t="e">
        <f t="shared" ref="AA8:AA46" si="3">D8/F8</f>
        <v>#DIV/0!</v>
      </c>
      <c r="AB8" s="773" t="e">
        <f t="shared" ref="AB8:AB46" si="4">D8/H8</f>
        <v>#DIV/0!</v>
      </c>
      <c r="AC8" s="773" t="e">
        <f t="shared" ref="AC8:AC46" si="5">D8/J8</f>
        <v>#DIV/0!</v>
      </c>
    </row>
    <row r="9" spans="1:29" s="117" customFormat="1">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0" t="s">
        <v>2560</v>
      </c>
      <c r="Q9" s="1798" t="str">
        <f t="shared" ref="Q9:Q15" si="6">B9</f>
        <v>用途</v>
      </c>
      <c r="R9" s="770" t="s">
        <v>17</v>
      </c>
      <c r="S9" s="771">
        <f t="shared" si="0"/>
        <v>100</v>
      </c>
      <c r="T9" s="770" t="s">
        <v>17</v>
      </c>
      <c r="U9" s="771">
        <f t="shared" si="1"/>
        <v>100</v>
      </c>
      <c r="V9" s="770" t="s">
        <v>17</v>
      </c>
      <c r="W9" s="771">
        <f t="shared" si="2"/>
        <v>100</v>
      </c>
      <c r="X9" s="772"/>
      <c r="Y9" s="3024"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0"/>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0"/>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0"/>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0"/>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0"/>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71.25">
      <c r="A15" s="440" t="s">
        <v>2564</v>
      </c>
      <c r="B15" s="69" t="s">
        <v>2658</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78" t="s">
        <v>2565</v>
      </c>
      <c r="Q15" s="1813" t="str">
        <f t="shared" si="6"/>
        <v>商业繁华度</v>
      </c>
      <c r="R15" s="774" t="s">
        <v>17</v>
      </c>
      <c r="S15" s="775">
        <f t="shared" si="0"/>
        <v>100</v>
      </c>
      <c r="T15" s="774" t="s">
        <v>17</v>
      </c>
      <c r="U15" s="775">
        <f t="shared" si="1"/>
        <v>100</v>
      </c>
      <c r="V15" s="774" t="s">
        <v>17</v>
      </c>
      <c r="W15" s="775">
        <f t="shared" si="2"/>
        <v>100</v>
      </c>
      <c r="X15" s="1816"/>
      <c r="Y15" s="3171" t="s">
        <v>2565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79"/>
      <c r="Q16" s="1813"/>
      <c r="R16" s="774"/>
      <c r="S16" s="775"/>
      <c r="T16" s="774"/>
      <c r="U16" s="775"/>
      <c r="V16" s="774"/>
      <c r="W16" s="775"/>
      <c r="X16" s="1816"/>
      <c r="Y16" s="3172"/>
      <c r="Z16" s="1817"/>
      <c r="AA16" s="1814">
        <v>1</v>
      </c>
      <c r="AB16" s="1814">
        <v>1</v>
      </c>
      <c r="AC16" s="1814">
        <v>1</v>
      </c>
    </row>
    <row r="17" spans="1:29" ht="85.5">
      <c r="A17" s="428"/>
      <c r="B17" s="451" t="s">
        <v>2101</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79"/>
      <c r="Q17" s="1813" t="str">
        <f>B17</f>
        <v>交通便捷度</v>
      </c>
      <c r="R17" s="774" t="s">
        <v>17</v>
      </c>
      <c r="S17" s="775">
        <f>F17</f>
        <v>100</v>
      </c>
      <c r="T17" s="774" t="s">
        <v>17</v>
      </c>
      <c r="U17" s="775">
        <f>H17</f>
        <v>100</v>
      </c>
      <c r="V17" s="774" t="s">
        <v>17</v>
      </c>
      <c r="W17" s="775">
        <f>J17</f>
        <v>100</v>
      </c>
      <c r="X17" s="1816"/>
      <c r="Y17" s="3172"/>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79"/>
      <c r="Q18" s="1813"/>
      <c r="R18" s="774"/>
      <c r="S18" s="775"/>
      <c r="T18" s="774"/>
      <c r="U18" s="775"/>
      <c r="V18" s="774"/>
      <c r="W18" s="775"/>
      <c r="X18" s="1816"/>
      <c r="Y18" s="3172"/>
      <c r="Z18" s="1817"/>
      <c r="AA18" s="1814">
        <v>1</v>
      </c>
      <c r="AB18" s="1814">
        <v>1</v>
      </c>
      <c r="AC18" s="1814">
        <v>1</v>
      </c>
    </row>
    <row r="19" spans="1:29" ht="42.75">
      <c r="A19" s="428"/>
      <c r="B19" s="451" t="s">
        <v>2659</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79"/>
      <c r="Q19" s="1813" t="str">
        <f>B19</f>
        <v>公共配套设施</v>
      </c>
      <c r="R19" s="774" t="s">
        <v>17</v>
      </c>
      <c r="S19" s="775">
        <f>F19</f>
        <v>100</v>
      </c>
      <c r="T19" s="774" t="s">
        <v>17</v>
      </c>
      <c r="U19" s="775">
        <f>H19</f>
        <v>100</v>
      </c>
      <c r="V19" s="774" t="s">
        <v>17</v>
      </c>
      <c r="W19" s="775">
        <f>J19</f>
        <v>100</v>
      </c>
      <c r="X19" s="1816"/>
      <c r="Y19" s="3172"/>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79"/>
      <c r="Q20" s="1813"/>
      <c r="R20" s="774"/>
      <c r="S20" s="775"/>
      <c r="T20" s="774"/>
      <c r="U20" s="775"/>
      <c r="V20" s="774"/>
      <c r="W20" s="775"/>
      <c r="X20" s="1816"/>
      <c r="Y20" s="3172"/>
      <c r="Z20" s="1817"/>
      <c r="AA20" s="1814">
        <v>1</v>
      </c>
      <c r="AB20" s="1814">
        <v>1</v>
      </c>
      <c r="AC20" s="1814">
        <v>1</v>
      </c>
    </row>
    <row r="21" spans="1:29" ht="28.5">
      <c r="A21" s="428"/>
      <c r="B21" s="1387" t="s">
        <v>2660</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79"/>
      <c r="Q21" s="1813" t="str">
        <f>B21</f>
        <v>基础设施水平</v>
      </c>
      <c r="R21" s="774" t="s">
        <v>17</v>
      </c>
      <c r="S21" s="775">
        <f>F21</f>
        <v>100</v>
      </c>
      <c r="T21" s="774" t="s">
        <v>17</v>
      </c>
      <c r="U21" s="775">
        <f>H21</f>
        <v>100</v>
      </c>
      <c r="V21" s="774" t="s">
        <v>17</v>
      </c>
      <c r="W21" s="775">
        <f>J21</f>
        <v>100</v>
      </c>
      <c r="X21" s="1816"/>
      <c r="Y21" s="3172"/>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79"/>
      <c r="Q22" s="1813"/>
      <c r="R22" s="774"/>
      <c r="S22" s="775"/>
      <c r="T22" s="774"/>
      <c r="U22" s="775"/>
      <c r="V22" s="774"/>
      <c r="W22" s="775"/>
      <c r="X22" s="1816"/>
      <c r="Y22" s="3172"/>
      <c r="Z22" s="1817"/>
      <c r="AA22" s="1814">
        <v>1</v>
      </c>
      <c r="AB22" s="1814">
        <v>1</v>
      </c>
      <c r="AC22" s="1814">
        <v>1</v>
      </c>
    </row>
    <row r="23" spans="1:29" ht="57">
      <c r="A23" s="428"/>
      <c r="B23" s="451" t="s">
        <v>2106</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79"/>
      <c r="Q23" s="1813" t="str">
        <f>B23</f>
        <v>自然及人文环境</v>
      </c>
      <c r="R23" s="774" t="s">
        <v>17</v>
      </c>
      <c r="S23" s="775">
        <f>F23</f>
        <v>100</v>
      </c>
      <c r="T23" s="774" t="s">
        <v>17</v>
      </c>
      <c r="U23" s="775">
        <f>H23</f>
        <v>100</v>
      </c>
      <c r="V23" s="774" t="s">
        <v>17</v>
      </c>
      <c r="W23" s="775">
        <f>J23</f>
        <v>100</v>
      </c>
      <c r="X23" s="1816"/>
      <c r="Y23" s="3172"/>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179"/>
      <c r="Q24" s="1813"/>
      <c r="R24" s="774"/>
      <c r="S24" s="775"/>
      <c r="T24" s="774"/>
      <c r="U24" s="775"/>
      <c r="V24" s="774"/>
      <c r="W24" s="775"/>
      <c r="X24" s="1816"/>
      <c r="Y24" s="3172"/>
      <c r="Z24" s="1817"/>
      <c r="AA24" s="1814">
        <v>1</v>
      </c>
      <c r="AB24" s="1814">
        <v>1</v>
      </c>
      <c r="AC24" s="1814">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79"/>
      <c r="Q25" s="1813" t="str">
        <f t="shared" ref="Q25:Q46" si="11">B25</f>
        <v>临街状况</v>
      </c>
      <c r="R25" s="774" t="s">
        <v>17</v>
      </c>
      <c r="S25" s="775">
        <f>F25</f>
        <v>100</v>
      </c>
      <c r="T25" s="774" t="s">
        <v>17</v>
      </c>
      <c r="U25" s="775">
        <f>H25</f>
        <v>100</v>
      </c>
      <c r="V25" s="774" t="s">
        <v>17</v>
      </c>
      <c r="W25" s="775">
        <f>J25</f>
        <v>100</v>
      </c>
      <c r="X25" s="1816"/>
      <c r="Y25" s="3172"/>
      <c r="Z25" s="1817" t="str">
        <f>Q25</f>
        <v>临街状况</v>
      </c>
      <c r="AA25" s="1814">
        <f t="shared" si="3"/>
        <v>1</v>
      </c>
      <c r="AB25" s="1814">
        <f t="shared" si="4"/>
        <v>1</v>
      </c>
      <c r="AC25" s="1814">
        <f t="shared" si="5"/>
        <v>1</v>
      </c>
    </row>
    <row r="26" spans="1:29" ht="15">
      <c r="A26" s="428"/>
      <c r="B26" s="1389"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79"/>
      <c r="Q26" s="1813" t="str">
        <f t="shared" si="11"/>
        <v>平面位置/可视性</v>
      </c>
      <c r="R26" s="774" t="s">
        <v>17</v>
      </c>
      <c r="S26" s="775">
        <f>F26</f>
        <v>100</v>
      </c>
      <c r="T26" s="774" t="s">
        <v>17</v>
      </c>
      <c r="U26" s="775">
        <f>H26</f>
        <v>100</v>
      </c>
      <c r="V26" s="774" t="s">
        <v>17</v>
      </c>
      <c r="W26" s="775">
        <f>J26</f>
        <v>100</v>
      </c>
      <c r="X26" s="1816"/>
      <c r="Y26" s="3172"/>
      <c r="Z26" s="1817" t="str">
        <f>Q26</f>
        <v>平面位置/可视性</v>
      </c>
      <c r="AA26" s="1814">
        <f t="shared" si="3"/>
        <v>1</v>
      </c>
      <c r="AB26" s="1814">
        <f t="shared" si="4"/>
        <v>1</v>
      </c>
      <c r="AC26" s="1814">
        <f t="shared" si="5"/>
        <v>1</v>
      </c>
    </row>
    <row r="27" spans="1:29" s="117" customFormat="1" ht="15">
      <c r="A27" s="431"/>
      <c r="B27" s="451" t="s">
        <v>2663</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179"/>
      <c r="Q27" s="1798" t="str">
        <f t="shared" si="11"/>
        <v>人流量</v>
      </c>
      <c r="R27" s="770" t="s">
        <v>17</v>
      </c>
      <c r="S27" s="771">
        <f>F27</f>
        <v>100</v>
      </c>
      <c r="T27" s="770" t="s">
        <v>17</v>
      </c>
      <c r="U27" s="771">
        <f>H27</f>
        <v>100</v>
      </c>
      <c r="V27" s="770" t="s">
        <v>17</v>
      </c>
      <c r="W27" s="771">
        <f>J27</f>
        <v>100</v>
      </c>
      <c r="X27" s="772"/>
      <c r="Y27" s="3172"/>
      <c r="Z27" s="55" t="str">
        <f>Q27</f>
        <v>人流量</v>
      </c>
      <c r="AA27" s="1814">
        <f>D27/F27</f>
        <v>1</v>
      </c>
      <c r="AB27" s="1814">
        <f>D27/H27</f>
        <v>1</v>
      </c>
      <c r="AC27" s="1814">
        <f>D27/J27</f>
        <v>1</v>
      </c>
    </row>
    <row r="28" spans="1:29" ht="15">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7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79"/>
      <c r="Q29" s="1813">
        <f t="shared" si="11"/>
        <v>111</v>
      </c>
      <c r="R29" s="774" t="s">
        <v>17</v>
      </c>
      <c r="S29" s="775">
        <f t="shared" si="12"/>
        <v>100</v>
      </c>
      <c r="T29" s="774" t="s">
        <v>17</v>
      </c>
      <c r="U29" s="775">
        <f t="shared" si="13"/>
        <v>100</v>
      </c>
      <c r="V29" s="774" t="s">
        <v>17</v>
      </c>
      <c r="W29" s="775">
        <f t="shared" si="14"/>
        <v>100</v>
      </c>
      <c r="X29" s="1816"/>
      <c r="Y29" s="317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79"/>
      <c r="Q30" s="1813">
        <f t="shared" si="11"/>
        <v>111</v>
      </c>
      <c r="R30" s="774" t="s">
        <v>17</v>
      </c>
      <c r="S30" s="775">
        <f t="shared" si="12"/>
        <v>100</v>
      </c>
      <c r="T30" s="774" t="s">
        <v>17</v>
      </c>
      <c r="U30" s="775">
        <f t="shared" si="13"/>
        <v>100</v>
      </c>
      <c r="V30" s="774" t="s">
        <v>17</v>
      </c>
      <c r="W30" s="775">
        <f t="shared" si="14"/>
        <v>100</v>
      </c>
      <c r="X30" s="1816"/>
      <c r="Y30" s="317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79"/>
      <c r="Q31" s="1813">
        <f t="shared" si="11"/>
        <v>111</v>
      </c>
      <c r="R31" s="774" t="s">
        <v>17</v>
      </c>
      <c r="S31" s="775">
        <f t="shared" si="12"/>
        <v>100</v>
      </c>
      <c r="T31" s="774" t="s">
        <v>17</v>
      </c>
      <c r="U31" s="775">
        <f t="shared" si="13"/>
        <v>100</v>
      </c>
      <c r="V31" s="774" t="s">
        <v>17</v>
      </c>
      <c r="W31" s="775">
        <f t="shared" si="14"/>
        <v>100</v>
      </c>
      <c r="X31" s="1816"/>
      <c r="Y31" s="3172"/>
      <c r="Z31" s="1817">
        <f t="shared" si="15"/>
        <v>111</v>
      </c>
      <c r="AA31" s="1814">
        <f t="shared" si="3"/>
        <v>1</v>
      </c>
      <c r="AB31" s="1814">
        <f t="shared" si="4"/>
        <v>1</v>
      </c>
      <c r="AC31" s="1814">
        <f t="shared" si="5"/>
        <v>1</v>
      </c>
    </row>
    <row r="32" spans="1:29" ht="15">
      <c r="A32" s="440" t="s">
        <v>2568</v>
      </c>
      <c r="B32" s="71" t="s">
        <v>2665</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73" t="s">
        <v>2570</v>
      </c>
      <c r="Q32" s="1813" t="str">
        <f t="shared" si="11"/>
        <v>商业类型</v>
      </c>
      <c r="R32" s="774" t="s">
        <v>17</v>
      </c>
      <c r="S32" s="775">
        <f t="shared" si="12"/>
        <v>100</v>
      </c>
      <c r="T32" s="774" t="s">
        <v>17</v>
      </c>
      <c r="U32" s="775">
        <f t="shared" si="13"/>
        <v>100</v>
      </c>
      <c r="V32" s="774" t="s">
        <v>17</v>
      </c>
      <c r="W32" s="775">
        <f t="shared" si="14"/>
        <v>100</v>
      </c>
      <c r="X32" s="1816"/>
      <c r="Y32" s="3176" t="s">
        <v>2570</v>
      </c>
      <c r="Z32" s="1817" t="str">
        <f t="shared" si="15"/>
        <v>商业类型</v>
      </c>
      <c r="AA32" s="1814">
        <f t="shared" si="3"/>
        <v>1</v>
      </c>
      <c r="AB32" s="1814">
        <f t="shared" si="4"/>
        <v>1</v>
      </c>
      <c r="AC32" s="1814">
        <f t="shared" si="5"/>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74"/>
      <c r="Q33" s="776" t="str">
        <f t="shared" si="11"/>
        <v>项目建筑规模</v>
      </c>
      <c r="R33" s="777" t="s">
        <v>17</v>
      </c>
      <c r="S33" s="778" t="e">
        <f t="shared" si="12"/>
        <v>#N/A</v>
      </c>
      <c r="T33" s="777" t="s">
        <v>17</v>
      </c>
      <c r="U33" s="778" t="e">
        <f t="shared" si="13"/>
        <v>#N/A</v>
      </c>
      <c r="V33" s="777" t="s">
        <v>17</v>
      </c>
      <c r="W33" s="778" t="e">
        <f t="shared" si="14"/>
        <v>#N/A</v>
      </c>
      <c r="X33" s="779"/>
      <c r="Y33" s="3176"/>
      <c r="Z33" s="780" t="str">
        <f t="shared" si="15"/>
        <v>项目建筑规模</v>
      </c>
      <c r="AA33" s="1814" t="e">
        <f t="shared" si="3"/>
        <v>#N/A</v>
      </c>
      <c r="AB33" s="1814" t="e">
        <f t="shared" si="4"/>
        <v>#N/A</v>
      </c>
      <c r="AC33" s="1814" t="e">
        <f t="shared" si="5"/>
        <v>#N/A</v>
      </c>
    </row>
    <row r="34" spans="1:29" ht="15">
      <c r="A34" s="472"/>
      <c r="B34" s="422" t="s">
        <v>2572</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74"/>
      <c r="Q34" s="1813" t="str">
        <f t="shared" si="11"/>
        <v>建筑结构</v>
      </c>
      <c r="R34" s="774" t="s">
        <v>17</v>
      </c>
      <c r="S34" s="775">
        <f t="shared" si="12"/>
        <v>100</v>
      </c>
      <c r="T34" s="774" t="s">
        <v>17</v>
      </c>
      <c r="U34" s="775">
        <f t="shared" si="13"/>
        <v>100</v>
      </c>
      <c r="V34" s="774" t="s">
        <v>17</v>
      </c>
      <c r="W34" s="775">
        <f t="shared" si="14"/>
        <v>100</v>
      </c>
      <c r="X34" s="1816"/>
      <c r="Y34" s="3176"/>
      <c r="Z34" s="1817" t="str">
        <f t="shared" si="15"/>
        <v>建筑结构</v>
      </c>
      <c r="AA34" s="1814">
        <f t="shared" si="3"/>
        <v>1</v>
      </c>
      <c r="AB34" s="1814">
        <f t="shared" si="4"/>
        <v>1</v>
      </c>
      <c r="AC34" s="1814">
        <f t="shared" si="5"/>
        <v>1</v>
      </c>
    </row>
    <row r="35" spans="1:29" ht="15">
      <c r="A35" s="472"/>
      <c r="B35" s="422" t="s">
        <v>2666</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74"/>
      <c r="Q35" s="1813" t="str">
        <f t="shared" si="11"/>
        <v>公共部分装修</v>
      </c>
      <c r="R35" s="774" t="s">
        <v>17</v>
      </c>
      <c r="S35" s="775">
        <f t="shared" si="12"/>
        <v>100</v>
      </c>
      <c r="T35" s="774" t="s">
        <v>17</v>
      </c>
      <c r="U35" s="775">
        <f t="shared" si="13"/>
        <v>100</v>
      </c>
      <c r="V35" s="774" t="s">
        <v>17</v>
      </c>
      <c r="W35" s="775">
        <f t="shared" si="14"/>
        <v>100</v>
      </c>
      <c r="X35" s="1816"/>
      <c r="Y35" s="3176"/>
      <c r="Z35" s="1817" t="str">
        <f t="shared" si="15"/>
        <v>公共部分装修</v>
      </c>
      <c r="AA35" s="1814">
        <f t="shared" si="3"/>
        <v>1</v>
      </c>
      <c r="AB35" s="1814">
        <f t="shared" si="4"/>
        <v>1</v>
      </c>
      <c r="AC35" s="1814">
        <f t="shared" si="5"/>
        <v>1</v>
      </c>
    </row>
    <row r="36" spans="1:29" ht="15">
      <c r="A36" s="472"/>
      <c r="B36" s="422" t="s">
        <v>2667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74"/>
      <c r="Q36" s="1813" t="str">
        <f t="shared" si="11"/>
        <v>成新度</v>
      </c>
      <c r="R36" s="774" t="s">
        <v>17</v>
      </c>
      <c r="S36" s="775" t="e">
        <f t="shared" si="12"/>
        <v>#N/A</v>
      </c>
      <c r="T36" s="774" t="s">
        <v>17</v>
      </c>
      <c r="U36" s="775" t="e">
        <f t="shared" si="13"/>
        <v>#N/A</v>
      </c>
      <c r="V36" s="774" t="s">
        <v>17</v>
      </c>
      <c r="W36" s="775" t="e">
        <f t="shared" si="14"/>
        <v>#N/A</v>
      </c>
      <c r="X36" s="1816"/>
      <c r="Y36" s="3176"/>
      <c r="Z36" s="1817" t="str">
        <f t="shared" si="15"/>
        <v>成新度</v>
      </c>
      <c r="AA36" s="1814" t="e">
        <f t="shared" si="3"/>
        <v>#N/A</v>
      </c>
      <c r="AB36" s="1814" t="e">
        <f t="shared" si="4"/>
        <v>#N/A</v>
      </c>
      <c r="AC36" s="1814" t="e">
        <f t="shared" si="5"/>
        <v>#N/A</v>
      </c>
    </row>
    <row r="37" spans="1:29" s="117" customFormat="1" ht="15">
      <c r="A37" s="473"/>
      <c r="B37" s="422" t="s">
        <v>2668</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74"/>
      <c r="Q37" s="1798" t="str">
        <f t="shared" si="11"/>
        <v>市政基础设施</v>
      </c>
      <c r="R37" s="770" t="s">
        <v>17</v>
      </c>
      <c r="S37" s="771">
        <f t="shared" si="12"/>
        <v>100</v>
      </c>
      <c r="T37" s="770" t="s">
        <v>17</v>
      </c>
      <c r="U37" s="771">
        <f t="shared" si="13"/>
        <v>100</v>
      </c>
      <c r="V37" s="770" t="s">
        <v>17</v>
      </c>
      <c r="W37" s="771">
        <f t="shared" si="14"/>
        <v>100</v>
      </c>
      <c r="X37" s="772"/>
      <c r="Y37" s="3176"/>
      <c r="Z37" s="55" t="str">
        <f t="shared" si="15"/>
        <v>市政基础设施</v>
      </c>
      <c r="AA37" s="773">
        <f t="shared" si="3"/>
        <v>1</v>
      </c>
      <c r="AB37" s="773">
        <f t="shared" si="4"/>
        <v>1</v>
      </c>
      <c r="AC37" s="773">
        <f t="shared" si="5"/>
        <v>1</v>
      </c>
    </row>
    <row r="38" spans="1:29" ht="15">
      <c r="A38" s="472"/>
      <c r="B38" s="422" t="s">
        <v>2669</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74" t="s">
        <v>2570</v>
      </c>
      <c r="Q38" s="1813" t="str">
        <f t="shared" si="11"/>
        <v>业态</v>
      </c>
      <c r="R38" s="774" t="s">
        <v>17</v>
      </c>
      <c r="S38" s="775">
        <f t="shared" si="12"/>
        <v>100</v>
      </c>
      <c r="T38" s="774" t="s">
        <v>17</v>
      </c>
      <c r="U38" s="775">
        <f t="shared" si="13"/>
        <v>100</v>
      </c>
      <c r="V38" s="774" t="s">
        <v>17</v>
      </c>
      <c r="W38" s="775">
        <f t="shared" si="14"/>
        <v>100</v>
      </c>
      <c r="X38" s="1816"/>
      <c r="Y38" s="3176" t="s">
        <v>2570</v>
      </c>
      <c r="Z38" s="1817" t="str">
        <f t="shared" si="15"/>
        <v>业态</v>
      </c>
      <c r="AA38" s="1814">
        <f t="shared" si="3"/>
        <v>1</v>
      </c>
      <c r="AB38" s="1814">
        <f t="shared" si="4"/>
        <v>1</v>
      </c>
      <c r="AC38" s="1814">
        <f t="shared" si="5"/>
        <v>1</v>
      </c>
    </row>
    <row r="39" spans="1:29" ht="15">
      <c r="A39" s="472"/>
      <c r="B39" s="422" t="s">
        <v>2670</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74"/>
      <c r="Q39" s="1813" t="str">
        <f t="shared" si="11"/>
        <v>层高</v>
      </c>
      <c r="R39" s="774" t="s">
        <v>17</v>
      </c>
      <c r="S39" s="775">
        <f t="shared" si="12"/>
        <v>100</v>
      </c>
      <c r="T39" s="774" t="s">
        <v>17</v>
      </c>
      <c r="U39" s="775">
        <f t="shared" si="13"/>
        <v>100</v>
      </c>
      <c r="V39" s="774" t="s">
        <v>17</v>
      </c>
      <c r="W39" s="775">
        <f t="shared" si="14"/>
        <v>100</v>
      </c>
      <c r="X39" s="1816"/>
      <c r="Y39" s="3176"/>
      <c r="Z39" s="1817" t="str">
        <f t="shared" si="15"/>
        <v>层高</v>
      </c>
      <c r="AA39" s="1814">
        <f t="shared" si="3"/>
        <v>1</v>
      </c>
      <c r="AB39" s="1814">
        <f t="shared" si="4"/>
        <v>1</v>
      </c>
      <c r="AC39" s="1814">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74"/>
      <c r="Q40" s="1813" t="str">
        <f t="shared" si="11"/>
        <v>单套建筑面积</v>
      </c>
      <c r="R40" s="774" t="s">
        <v>17</v>
      </c>
      <c r="S40" s="775">
        <f t="shared" si="12"/>
        <v>100</v>
      </c>
      <c r="T40" s="774" t="s">
        <v>17</v>
      </c>
      <c r="U40" s="775">
        <f t="shared" si="13"/>
        <v>100</v>
      </c>
      <c r="V40" s="774" t="s">
        <v>17</v>
      </c>
      <c r="W40" s="775">
        <f t="shared" si="14"/>
        <v>100</v>
      </c>
      <c r="X40" s="1816"/>
      <c r="Y40" s="3176"/>
      <c r="Z40" s="1817" t="str">
        <f t="shared" si="15"/>
        <v>单套建筑面积</v>
      </c>
      <c r="AA40" s="1814">
        <f t="shared" si="3"/>
        <v>1</v>
      </c>
      <c r="AB40" s="1814">
        <f t="shared" si="4"/>
        <v>1</v>
      </c>
      <c r="AC40" s="1814">
        <f t="shared" si="5"/>
        <v>1</v>
      </c>
    </row>
    <row r="41" spans="1:29" s="471" customFormat="1" ht="15">
      <c r="A41" s="468"/>
      <c r="B41" s="1815"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74"/>
      <c r="Q41" s="776" t="str">
        <f t="shared" si="11"/>
        <v>进深比</v>
      </c>
      <c r="R41" s="777" t="s">
        <v>17</v>
      </c>
      <c r="S41" s="778">
        <f t="shared" si="12"/>
        <v>100</v>
      </c>
      <c r="T41" s="777" t="s">
        <v>17</v>
      </c>
      <c r="U41" s="778">
        <f t="shared" si="13"/>
        <v>100</v>
      </c>
      <c r="V41" s="777" t="s">
        <v>17</v>
      </c>
      <c r="W41" s="778">
        <f t="shared" si="14"/>
        <v>100</v>
      </c>
      <c r="X41" s="779"/>
      <c r="Y41" s="3176"/>
      <c r="Z41" s="780" t="str">
        <f t="shared" si="15"/>
        <v>进深比</v>
      </c>
      <c r="AA41" s="1814">
        <f t="shared" si="3"/>
        <v>1</v>
      </c>
      <c r="AB41" s="1814">
        <f t="shared" si="4"/>
        <v>1</v>
      </c>
      <c r="AC41" s="1814">
        <f t="shared" si="5"/>
        <v>1</v>
      </c>
    </row>
    <row r="42" spans="1:29" ht="15">
      <c r="A42" s="472"/>
      <c r="B42" s="422" t="s">
        <v>2673</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74"/>
      <c r="Q42" s="1813" t="str">
        <f t="shared" si="11"/>
        <v>内部装修</v>
      </c>
      <c r="R42" s="774" t="s">
        <v>17</v>
      </c>
      <c r="S42" s="775">
        <f t="shared" si="12"/>
        <v>100</v>
      </c>
      <c r="T42" s="774" t="s">
        <v>17</v>
      </c>
      <c r="U42" s="775">
        <f t="shared" si="13"/>
        <v>100</v>
      </c>
      <c r="V42" s="774" t="s">
        <v>17</v>
      </c>
      <c r="W42" s="775">
        <f t="shared" si="14"/>
        <v>100</v>
      </c>
      <c r="X42" s="1816"/>
      <c r="Y42" s="3176"/>
      <c r="Z42" s="1817" t="str">
        <f t="shared" si="15"/>
        <v>内部装修</v>
      </c>
      <c r="AA42" s="1814">
        <f t="shared" si="3"/>
        <v>1</v>
      </c>
      <c r="AB42" s="1814">
        <f t="shared" si="4"/>
        <v>1</v>
      </c>
      <c r="AC42" s="1814">
        <f t="shared" si="5"/>
        <v>1</v>
      </c>
    </row>
    <row r="43" spans="1:29" ht="15">
      <c r="A43" s="472"/>
      <c r="B43" s="422" t="s">
        <v>2581</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74"/>
      <c r="Q43" s="1813" t="str">
        <f t="shared" si="11"/>
        <v>内部装修维护情况</v>
      </c>
      <c r="R43" s="774" t="s">
        <v>17</v>
      </c>
      <c r="S43" s="775">
        <f t="shared" si="12"/>
        <v>100</v>
      </c>
      <c r="T43" s="774" t="s">
        <v>17</v>
      </c>
      <c r="U43" s="775">
        <f t="shared" si="13"/>
        <v>100</v>
      </c>
      <c r="V43" s="774" t="s">
        <v>17</v>
      </c>
      <c r="W43" s="775">
        <f t="shared" si="14"/>
        <v>100</v>
      </c>
      <c r="X43" s="1816"/>
      <c r="Y43" s="317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74"/>
      <c r="Q44" s="1798">
        <f t="shared" si="11"/>
        <v>111</v>
      </c>
      <c r="R44" s="770" t="s">
        <v>17</v>
      </c>
      <c r="S44" s="771">
        <f t="shared" si="12"/>
        <v>100</v>
      </c>
      <c r="T44" s="770" t="s">
        <v>17</v>
      </c>
      <c r="U44" s="771">
        <f t="shared" si="13"/>
        <v>100</v>
      </c>
      <c r="V44" s="770" t="s">
        <v>17</v>
      </c>
      <c r="W44" s="771">
        <f t="shared" si="14"/>
        <v>100</v>
      </c>
      <c r="X44" s="772"/>
      <c r="Y44" s="317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74"/>
      <c r="Q45" s="1813">
        <f t="shared" si="11"/>
        <v>111</v>
      </c>
      <c r="R45" s="774" t="s">
        <v>17</v>
      </c>
      <c r="S45" s="775">
        <f t="shared" si="12"/>
        <v>100</v>
      </c>
      <c r="T45" s="774" t="s">
        <v>17</v>
      </c>
      <c r="U45" s="775">
        <f t="shared" si="13"/>
        <v>100</v>
      </c>
      <c r="V45" s="774" t="s">
        <v>17</v>
      </c>
      <c r="W45" s="775">
        <f t="shared" si="14"/>
        <v>100</v>
      </c>
      <c r="X45" s="1816"/>
      <c r="Y45" s="3176"/>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75"/>
      <c r="Q46" s="1813">
        <f t="shared" si="11"/>
        <v>111</v>
      </c>
      <c r="R46" s="774" t="s">
        <v>17</v>
      </c>
      <c r="S46" s="775">
        <f t="shared" si="12"/>
        <v>100</v>
      </c>
      <c r="T46" s="774" t="s">
        <v>17</v>
      </c>
      <c r="U46" s="775">
        <f t="shared" si="13"/>
        <v>100</v>
      </c>
      <c r="V46" s="774" t="s">
        <v>17</v>
      </c>
      <c r="W46" s="775">
        <f t="shared" si="14"/>
        <v>100</v>
      </c>
      <c r="X46" s="1816"/>
      <c r="Y46" s="3177"/>
      <c r="Z46" s="1817">
        <f t="shared" si="15"/>
        <v>111</v>
      </c>
      <c r="AA46" s="1814">
        <f t="shared" si="3"/>
        <v>1</v>
      </c>
      <c r="AB46" s="1814">
        <f t="shared" si="4"/>
        <v>1</v>
      </c>
      <c r="AC46" s="1814">
        <f t="shared" si="5"/>
        <v>1</v>
      </c>
    </row>
    <row r="47" spans="1:29" ht="15">
      <c r="A47" s="479" t="s">
        <v>2582</v>
      </c>
      <c r="B47" s="480"/>
      <c r="C47" s="1410" t="s">
        <v>1</v>
      </c>
      <c r="D47" s="1411"/>
      <c r="E47" s="1412"/>
      <c r="F47" s="1413"/>
      <c r="G47" s="1414"/>
      <c r="H47" s="1415"/>
      <c r="I47" s="1412"/>
      <c r="J47" s="1415"/>
      <c r="K47" s="783"/>
      <c r="L47" s="1146"/>
      <c r="M47" s="1147"/>
      <c r="N47" s="1134"/>
      <c r="O47" s="1147"/>
      <c r="P47" s="3169" t="str">
        <f>A47</f>
        <v>成交单价（元/平方米）</v>
      </c>
      <c r="Q47" s="3169"/>
      <c r="R47" s="3200">
        <f>E47</f>
        <v>0</v>
      </c>
      <c r="S47" s="3200"/>
      <c r="T47" s="3200">
        <f>G47</f>
        <v>0</v>
      </c>
      <c r="U47" s="3200"/>
      <c r="V47" s="3200">
        <f>I47</f>
        <v>0</v>
      </c>
      <c r="W47" s="3200"/>
      <c r="X47" s="759"/>
      <c r="Y47" s="781"/>
      <c r="Z47" s="759"/>
      <c r="AA47" s="759"/>
      <c r="AB47" s="759"/>
      <c r="AC47" s="759"/>
    </row>
    <row r="48" spans="1:29" ht="15.75" thickBot="1">
      <c r="A48" s="486" t="s">
        <v>2674</v>
      </c>
      <c r="B48" s="487"/>
      <c r="C48" s="1416" t="e">
        <f>R49</f>
        <v>#DIV/0!</v>
      </c>
      <c r="D48" s="1417"/>
      <c r="E48" s="1418" t="e">
        <f>R48</f>
        <v>#DIV/0!</v>
      </c>
      <c r="F48" s="1418"/>
      <c r="G48" s="1416" t="e">
        <f>T48</f>
        <v>#DIV/0!</v>
      </c>
      <c r="H48" s="1417"/>
      <c r="I48" s="1418" t="e">
        <f>V48</f>
        <v>#DIV/0!</v>
      </c>
      <c r="J48" s="1417"/>
      <c r="K48" s="784"/>
      <c r="L48" s="1146"/>
      <c r="M48" s="1147"/>
      <c r="N48" s="1134"/>
      <c r="O48" s="1147"/>
      <c r="P48" s="3169" t="str">
        <f>A48</f>
        <v>比较价值（元/平方米）</v>
      </c>
      <c r="Q48" s="3169"/>
      <c r="R48" s="3170" t="e">
        <f>IF(F1="售价",ROUND(PRODUCT(R47,AA7:AA46),0),ROUND(PRODUCT(R47,AA7:AA46),1))</f>
        <v>#DIV/0!</v>
      </c>
      <c r="S48" s="3170"/>
      <c r="T48" s="3170" t="e">
        <f>IF(F1="售价",ROUND(PRODUCT(T47,AB7:AB46),0),ROUND(PRODUCT(T47,AB7:AB46),1))</f>
        <v>#DIV/0!</v>
      </c>
      <c r="U48" s="3170"/>
      <c r="V48" s="3170" t="e">
        <f>IF(F1="售价",ROUND(PRODUCT(V47,AC7:AC46),0),ROUND(PRODUCT(V47,AC7:AC46),1))</f>
        <v>#DIV/0!</v>
      </c>
      <c r="W48" s="3170"/>
      <c r="X48" s="759"/>
      <c r="Y48" s="759"/>
      <c r="Z48" s="759"/>
      <c r="AA48" s="759"/>
      <c r="AB48" s="759"/>
      <c r="AC48" s="759"/>
    </row>
    <row r="49" spans="1:29" ht="15.75" thickBot="1">
      <c r="A49" s="492" t="s">
        <v>2675</v>
      </c>
      <c r="B49" s="493"/>
      <c r="C49" s="1420" t="e">
        <f>R49</f>
        <v>#DIV/0!</v>
      </c>
      <c r="D49" s="1420"/>
      <c r="E49" s="1420"/>
      <c r="F49" s="1420"/>
      <c r="G49" s="1420"/>
      <c r="H49" s="1420"/>
      <c r="I49" s="1420"/>
      <c r="J49" s="1420"/>
      <c r="K49" s="785"/>
      <c r="L49" s="1146"/>
      <c r="M49" s="1147"/>
      <c r="N49" s="1134"/>
      <c r="O49" s="1147"/>
      <c r="P49" s="3166" t="str">
        <f>A49</f>
        <v>估价对象XX用房的比较价值（楼面单价，元/平方米）</v>
      </c>
      <c r="Q49" s="3167"/>
      <c r="R49" s="3168" t="e">
        <f>IF(F1="售价",ROUND(AVERAGE(R48:V48),0),ROUND(AVERAGE(R48:V48),1))</f>
        <v>#DIV/0!</v>
      </c>
      <c r="S49" s="3168"/>
      <c r="T49" s="3168"/>
      <c r="U49" s="3168"/>
      <c r="V49" s="3168"/>
      <c r="W49" s="316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2553</v>
      </c>
      <c r="B58" s="506"/>
      <c r="C58" s="1577" t="str">
        <f>YEAR(C7)&amp;"-"&amp;MONTH(C7)</f>
        <v>2018-6</v>
      </c>
      <c r="D58" s="1578">
        <f>EDATE(C58,-1)</f>
        <v>43221</v>
      </c>
      <c r="E58" s="1578">
        <f t="shared" ref="E58:N58" si="16">EDATE(D58,-1)</f>
        <v>43191</v>
      </c>
      <c r="F58" s="1578">
        <f t="shared" si="16"/>
        <v>43160</v>
      </c>
      <c r="G58" s="1578">
        <f t="shared" si="16"/>
        <v>43132</v>
      </c>
      <c r="H58" s="1578">
        <f t="shared" si="16"/>
        <v>43101</v>
      </c>
      <c r="I58" s="1578">
        <f t="shared" si="16"/>
        <v>43070</v>
      </c>
      <c r="J58" s="1578">
        <f t="shared" si="16"/>
        <v>43040</v>
      </c>
      <c r="K58" s="1578">
        <f t="shared" si="16"/>
        <v>43009</v>
      </c>
      <c r="L58" s="1578">
        <f t="shared" si="16"/>
        <v>42979</v>
      </c>
      <c r="M58" s="1578">
        <f t="shared" si="16"/>
        <v>42948</v>
      </c>
      <c r="N58" s="1578">
        <f t="shared" si="16"/>
        <v>42917</v>
      </c>
      <c r="O58" s="1578">
        <f>EDATE(N58,-1)</f>
        <v>42887</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2590</v>
      </c>
      <c r="B60" s="516"/>
      <c r="C60" s="517"/>
      <c r="D60" s="518"/>
      <c r="E60" s="518"/>
      <c r="F60" s="518"/>
      <c r="G60" s="518"/>
      <c r="H60" s="518"/>
      <c r="I60" s="518"/>
      <c r="J60" s="518"/>
      <c r="K60" s="518"/>
      <c r="L60" s="518"/>
      <c r="M60" s="519"/>
      <c r="N60" s="518"/>
      <c r="O60" s="519"/>
      <c r="P60" s="2633"/>
      <c r="Q60" s="504"/>
    </row>
    <row r="61" spans="1:29" s="117" customFormat="1" ht="15">
      <c r="A61" s="521" t="s">
        <v>2555</v>
      </c>
      <c r="B61" s="510"/>
      <c r="C61" s="522" t="s">
        <v>2657</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2593</v>
      </c>
      <c r="B63" s="528" t="s">
        <v>2559</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2563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2660</v>
      </c>
      <c r="C82" s="660" t="s">
        <v>2680</v>
      </c>
      <c r="D82" s="660" t="s">
        <v>2681</v>
      </c>
      <c r="E82" s="660" t="s">
        <v>2682</v>
      </c>
      <c r="F82" s="660" t="s">
        <v>2683</v>
      </c>
      <c r="G82" s="660" t="s">
        <v>2684</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2685</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2568</v>
      </c>
      <c r="B100" s="528" t="s">
        <v>2686</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2619</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2621</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2623</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2687</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2688</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2689</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2625</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4" t="s">
        <v>2691</v>
      </c>
      <c r="C1" s="1623" t="s">
        <v>2535</v>
      </c>
      <c r="D1" s="1624"/>
      <c r="E1" s="1633"/>
      <c r="F1" s="2591"/>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IF(C2="——",ROUND(C50*D3/10000,0),ROUND(C50*D3/10000,0)-D2)</f>
        <v>#DIV/0!</v>
      </c>
      <c r="C2" s="2593"/>
      <c r="D2" s="1368" t="e">
        <f ca="1">SUMIF(INDIRECT("'"&amp;F2&amp;"'"&amp;"!A:A"),"承租人权益价值",INDIRECT("'"&amp;F2&amp;"'"&amp;"!c:c"))</f>
        <v>#REF!</v>
      </c>
      <c r="E2" s="2594" t="s">
        <v>2333</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IF(C2="——",C50,ROUND(B2*10000/D3,0))</f>
        <v>#DIV/0!</v>
      </c>
      <c r="C3" s="400" t="s">
        <v>2649</v>
      </c>
      <c r="D3" s="399">
        <f>IF(D1="",'数据-汇总表'!E3,SUMIF('数据-汇总表'!$C19:$C33,D1,'数据-汇总表'!$E19:$E33))</f>
        <v>166.41</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184" t="s">
        <v>2651</v>
      </c>
      <c r="D4" s="3185"/>
      <c r="E4" s="3186" t="s">
        <v>2652</v>
      </c>
      <c r="F4" s="3187"/>
      <c r="G4" s="3184" t="s">
        <v>2653</v>
      </c>
      <c r="H4" s="3185"/>
      <c r="I4" s="3184" t="s">
        <v>2654</v>
      </c>
      <c r="J4" s="3185"/>
      <c r="K4" s="610" t="s">
        <v>2655</v>
      </c>
      <c r="L4" s="1133"/>
      <c r="M4" s="1134"/>
      <c r="N4" s="1134"/>
      <c r="O4" s="1134"/>
      <c r="P4" s="3298" t="s">
        <v>2656</v>
      </c>
      <c r="Q4" s="3299"/>
      <c r="R4" s="3302" t="s">
        <v>2652</v>
      </c>
      <c r="S4" s="3303"/>
      <c r="T4" s="3302" t="s">
        <v>2653</v>
      </c>
      <c r="U4" s="3303"/>
      <c r="V4" s="3304" t="s">
        <v>2654</v>
      </c>
      <c r="W4" s="3304"/>
      <c r="X4" s="2675"/>
      <c r="Y4" s="3302" t="s">
        <v>2656</v>
      </c>
      <c r="Z4" s="3303"/>
      <c r="AA4" s="3306" t="s">
        <v>2652</v>
      </c>
      <c r="AB4" s="3306" t="s">
        <v>2653</v>
      </c>
      <c r="AC4" s="3295" t="s">
        <v>2654</v>
      </c>
    </row>
    <row r="5" spans="1:29" ht="15">
      <c r="A5" s="404"/>
      <c r="B5" s="405"/>
      <c r="C5" s="3208" t="s">
        <v>2547</v>
      </c>
      <c r="D5" s="3204"/>
      <c r="E5" s="3291" t="s">
        <v>2548</v>
      </c>
      <c r="F5" s="3212"/>
      <c r="G5" s="3208" t="s">
        <v>2549</v>
      </c>
      <c r="H5" s="3204"/>
      <c r="I5" s="3208" t="s">
        <v>2550</v>
      </c>
      <c r="J5" s="3204"/>
      <c r="K5" s="610"/>
      <c r="L5" s="1133"/>
      <c r="M5" s="1134"/>
      <c r="N5" s="1134"/>
      <c r="O5" s="1134"/>
      <c r="P5" s="3300"/>
      <c r="Q5" s="3191"/>
      <c r="R5" s="3196"/>
      <c r="S5" s="3197"/>
      <c r="T5" s="3196"/>
      <c r="U5" s="3197"/>
      <c r="V5" s="3200"/>
      <c r="W5" s="3200"/>
      <c r="X5" s="1816"/>
      <c r="Y5" s="3196"/>
      <c r="Z5" s="3197"/>
      <c r="AA5" s="3182"/>
      <c r="AB5" s="3182"/>
      <c r="AC5" s="3296"/>
    </row>
    <row r="6" spans="1:29" ht="15.75" thickBot="1">
      <c r="A6" s="406"/>
      <c r="B6" s="407"/>
      <c r="C6" s="3201" t="s">
        <v>2551</v>
      </c>
      <c r="D6" s="3202"/>
      <c r="E6" s="3209" t="s">
        <v>2551</v>
      </c>
      <c r="F6" s="3210"/>
      <c r="G6" s="3201" t="s">
        <v>2551</v>
      </c>
      <c r="H6" s="3202"/>
      <c r="I6" s="3201" t="s">
        <v>2551</v>
      </c>
      <c r="J6" s="3202"/>
      <c r="K6" s="610" t="s">
        <v>2552</v>
      </c>
      <c r="L6" s="1133"/>
      <c r="M6" s="1134"/>
      <c r="N6" s="1134"/>
      <c r="O6" s="1134"/>
      <c r="P6" s="3301"/>
      <c r="Q6" s="3193"/>
      <c r="R6" s="3196"/>
      <c r="S6" s="3197"/>
      <c r="T6" s="3198"/>
      <c r="U6" s="3199"/>
      <c r="V6" s="3200"/>
      <c r="W6" s="3200"/>
      <c r="X6" s="1816"/>
      <c r="Y6" s="3198"/>
      <c r="Z6" s="3199"/>
      <c r="AA6" s="3183"/>
      <c r="AB6" s="3183"/>
      <c r="AC6" s="3297"/>
    </row>
    <row r="7" spans="1:29" s="117" customFormat="1" ht="15.75" thickBot="1">
      <c r="A7" s="408" t="s">
        <v>2553</v>
      </c>
      <c r="B7" s="409"/>
      <c r="C7" s="410">
        <f>'数据-取费表'!B2</f>
        <v>43280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05" t="s">
        <v>2554</v>
      </c>
      <c r="Q7" s="3207"/>
      <c r="R7" s="770" t="s">
        <v>17</v>
      </c>
      <c r="S7" s="771">
        <f t="shared" ref="S7:S15" si="0">F7</f>
        <v>0</v>
      </c>
      <c r="T7" s="770" t="s">
        <v>17</v>
      </c>
      <c r="U7" s="771">
        <f t="shared" ref="U7:U15" si="1">H7</f>
        <v>0</v>
      </c>
      <c r="V7" s="770" t="s">
        <v>17</v>
      </c>
      <c r="W7" s="771">
        <f t="shared" ref="W7:W15" si="2">J7</f>
        <v>0</v>
      </c>
      <c r="X7" s="772"/>
      <c r="Y7" s="3205" t="s">
        <v>2554</v>
      </c>
      <c r="Z7" s="3206"/>
      <c r="AA7" s="773" t="e">
        <f>D7/F7</f>
        <v>#DIV/0!</v>
      </c>
      <c r="AB7" s="773" t="e">
        <f>D7/H7</f>
        <v>#DIV/0!</v>
      </c>
      <c r="AC7" s="2676"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05" t="s">
        <v>2557</v>
      </c>
      <c r="Q8" s="3206"/>
      <c r="R8" s="770" t="s">
        <v>17</v>
      </c>
      <c r="S8" s="771">
        <f t="shared" si="0"/>
        <v>0</v>
      </c>
      <c r="T8" s="770" t="s">
        <v>17</v>
      </c>
      <c r="U8" s="771">
        <f t="shared" si="1"/>
        <v>0</v>
      </c>
      <c r="V8" s="770" t="s">
        <v>17</v>
      </c>
      <c r="W8" s="771">
        <f t="shared" si="2"/>
        <v>0</v>
      </c>
      <c r="X8" s="772"/>
      <c r="Y8" s="3205" t="s">
        <v>2557</v>
      </c>
      <c r="Z8" s="3206"/>
      <c r="AA8" s="773" t="e">
        <f t="shared" ref="AA8:AA47" si="3">D8/F8</f>
        <v>#DIV/0!</v>
      </c>
      <c r="AB8" s="773" t="e">
        <f t="shared" ref="AB8:AB47" si="4">D8/H8</f>
        <v>#DIV/0!</v>
      </c>
      <c r="AC8" s="2676"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0" t="s">
        <v>2560</v>
      </c>
      <c r="Q9" s="1798" t="str">
        <f t="shared" ref="Q9:Q15" si="6">B9</f>
        <v>用途</v>
      </c>
      <c r="R9" s="770" t="s">
        <v>17</v>
      </c>
      <c r="S9" s="771">
        <f t="shared" si="0"/>
        <v>100</v>
      </c>
      <c r="T9" s="770" t="s">
        <v>17</v>
      </c>
      <c r="U9" s="771">
        <f t="shared" si="1"/>
        <v>100</v>
      </c>
      <c r="V9" s="770" t="s">
        <v>17</v>
      </c>
      <c r="W9" s="771">
        <f t="shared" si="2"/>
        <v>100</v>
      </c>
      <c r="X9" s="772"/>
      <c r="Y9" s="3024" t="s">
        <v>2561</v>
      </c>
      <c r="Z9" s="55" t="str">
        <f t="shared" ref="Z9:Z15" si="7">Q9</f>
        <v>用途</v>
      </c>
      <c r="AA9" s="773">
        <f t="shared" si="3"/>
        <v>1</v>
      </c>
      <c r="AB9" s="773">
        <f t="shared" si="4"/>
        <v>1</v>
      </c>
      <c r="AC9" s="2676">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0"/>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2676">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0"/>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2676" t="e">
        <f t="shared" si="5"/>
        <v>#N/A</v>
      </c>
    </row>
    <row r="12" spans="1:29" s="117" customFormat="1" ht="15">
      <c r="A12" s="431"/>
      <c r="B12" s="2607">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80"/>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2676">
        <f>D12/J12</f>
        <v>1</v>
      </c>
    </row>
    <row r="13" spans="1:29" ht="15">
      <c r="A13" s="428"/>
      <c r="B13" s="2607">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80"/>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2676">
        <f t="shared" si="5"/>
        <v>1</v>
      </c>
    </row>
    <row r="14" spans="1:29" ht="15.75" thickBot="1">
      <c r="A14" s="436"/>
      <c r="B14" s="2609">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80"/>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2676">
        <f t="shared" si="5"/>
        <v>1</v>
      </c>
    </row>
    <row r="15" spans="1:29" ht="71.25">
      <c r="A15" s="440" t="s">
        <v>2564</v>
      </c>
      <c r="B15" s="629" t="s">
        <v>2692</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78" t="s">
        <v>2565</v>
      </c>
      <c r="Q15" s="1813" t="str">
        <f t="shared" si="6"/>
        <v>办公集聚程度</v>
      </c>
      <c r="R15" s="774" t="s">
        <v>17</v>
      </c>
      <c r="S15" s="775">
        <f t="shared" si="0"/>
        <v>100</v>
      </c>
      <c r="T15" s="774" t="s">
        <v>17</v>
      </c>
      <c r="U15" s="775">
        <f t="shared" si="1"/>
        <v>100</v>
      </c>
      <c r="V15" s="774" t="s">
        <v>17</v>
      </c>
      <c r="W15" s="775">
        <f t="shared" si="2"/>
        <v>100</v>
      </c>
      <c r="X15" s="1816"/>
      <c r="Y15" s="3171" t="s">
        <v>2565</v>
      </c>
      <c r="Z15" s="1817" t="str">
        <f t="shared" si="7"/>
        <v>办公集聚程度</v>
      </c>
      <c r="AA15" s="1814">
        <f t="shared" si="3"/>
        <v>1</v>
      </c>
      <c r="AB15" s="1814">
        <f t="shared" si="4"/>
        <v>1</v>
      </c>
      <c r="AC15" s="2679">
        <f t="shared" si="5"/>
        <v>1</v>
      </c>
    </row>
    <row r="16" spans="1:29" ht="15">
      <c r="A16" s="428"/>
      <c r="B16" s="630"/>
      <c r="C16" s="2618"/>
      <c r="D16" s="448"/>
      <c r="E16" s="447"/>
      <c r="F16" s="448"/>
      <c r="G16" s="2618"/>
      <c r="H16" s="450"/>
      <c r="I16" s="447"/>
      <c r="J16" s="448"/>
      <c r="K16" s="615"/>
      <c r="L16" s="1143"/>
      <c r="M16" s="1134"/>
      <c r="N16" s="1134"/>
      <c r="O16" s="1134"/>
      <c r="P16" s="3179"/>
      <c r="Q16" s="1813"/>
      <c r="R16" s="774"/>
      <c r="S16" s="775"/>
      <c r="T16" s="774"/>
      <c r="U16" s="775"/>
      <c r="V16" s="774"/>
      <c r="W16" s="775"/>
      <c r="X16" s="1816"/>
      <c r="Y16" s="3172"/>
      <c r="Z16" s="1817"/>
      <c r="AA16" s="1814">
        <v>1</v>
      </c>
      <c r="AB16" s="1814">
        <v>1</v>
      </c>
      <c r="AC16" s="2679">
        <v>1</v>
      </c>
    </row>
    <row r="17" spans="1:29" ht="71.25">
      <c r="A17" s="428"/>
      <c r="B17" s="631" t="s">
        <v>2101</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79"/>
      <c r="Q17" s="1813" t="str">
        <f>B17</f>
        <v>交通便捷度</v>
      </c>
      <c r="R17" s="774" t="s">
        <v>17</v>
      </c>
      <c r="S17" s="775">
        <f>F17</f>
        <v>100</v>
      </c>
      <c r="T17" s="774" t="s">
        <v>17</v>
      </c>
      <c r="U17" s="775">
        <f>H17</f>
        <v>100</v>
      </c>
      <c r="V17" s="774" t="s">
        <v>17</v>
      </c>
      <c r="W17" s="775">
        <f>J17</f>
        <v>100</v>
      </c>
      <c r="X17" s="1816"/>
      <c r="Y17" s="3172"/>
      <c r="Z17" s="1817" t="str">
        <f>Q17</f>
        <v>交通便捷度</v>
      </c>
      <c r="AA17" s="1814">
        <f t="shared" si="3"/>
        <v>1</v>
      </c>
      <c r="AB17" s="1814">
        <f t="shared" si="4"/>
        <v>1</v>
      </c>
      <c r="AC17" s="2679">
        <f t="shared" si="5"/>
        <v>1</v>
      </c>
    </row>
    <row r="18" spans="1:29" ht="15">
      <c r="A18" s="428"/>
      <c r="B18" s="632"/>
      <c r="C18" s="2681"/>
      <c r="D18" s="450"/>
      <c r="E18" s="2616"/>
      <c r="F18" s="450"/>
      <c r="G18" s="2617"/>
      <c r="H18" s="448"/>
      <c r="I18" s="2617"/>
      <c r="J18" s="448"/>
      <c r="K18" s="615"/>
      <c r="L18" s="1143"/>
      <c r="M18" s="1134"/>
      <c r="N18" s="1134"/>
      <c r="O18" s="1134"/>
      <c r="P18" s="3179"/>
      <c r="Q18" s="1813"/>
      <c r="R18" s="774"/>
      <c r="S18" s="775"/>
      <c r="T18" s="774"/>
      <c r="U18" s="775"/>
      <c r="V18" s="774"/>
      <c r="W18" s="775"/>
      <c r="X18" s="1816"/>
      <c r="Y18" s="3172"/>
      <c r="Z18" s="1817"/>
      <c r="AA18" s="1814">
        <v>1</v>
      </c>
      <c r="AB18" s="1814">
        <v>1</v>
      </c>
      <c r="AC18" s="2679">
        <v>1</v>
      </c>
    </row>
    <row r="19" spans="1:29" ht="42.75">
      <c r="A19" s="428"/>
      <c r="B19" s="631" t="s">
        <v>2693</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79"/>
      <c r="Q19" s="1813" t="str">
        <f>B19</f>
        <v>公共配套设施</v>
      </c>
      <c r="R19" s="774" t="s">
        <v>17</v>
      </c>
      <c r="S19" s="775">
        <f>F19</f>
        <v>100</v>
      </c>
      <c r="T19" s="774" t="s">
        <v>17</v>
      </c>
      <c r="U19" s="775">
        <f>H19</f>
        <v>100</v>
      </c>
      <c r="V19" s="774" t="s">
        <v>17</v>
      </c>
      <c r="W19" s="775">
        <f>J19</f>
        <v>100</v>
      </c>
      <c r="X19" s="1816"/>
      <c r="Y19" s="3172"/>
      <c r="Z19" s="1817" t="str">
        <f>Q19</f>
        <v>公共配套设施</v>
      </c>
      <c r="AA19" s="1814">
        <f t="shared" si="3"/>
        <v>1</v>
      </c>
      <c r="AB19" s="1814">
        <f t="shared" si="4"/>
        <v>1</v>
      </c>
      <c r="AC19" s="2679">
        <f t="shared" si="5"/>
        <v>1</v>
      </c>
    </row>
    <row r="20" spans="1:29" ht="15">
      <c r="A20" s="428"/>
      <c r="B20" s="632"/>
      <c r="C20" s="2618"/>
      <c r="D20" s="448"/>
      <c r="E20" s="2611"/>
      <c r="F20" s="448"/>
      <c r="G20" s="2612"/>
      <c r="H20" s="448"/>
      <c r="I20" s="2612"/>
      <c r="J20" s="448"/>
      <c r="K20" s="615"/>
      <c r="L20" s="1143"/>
      <c r="M20" s="1134"/>
      <c r="N20" s="1134"/>
      <c r="O20" s="1134"/>
      <c r="P20" s="3179"/>
      <c r="Q20" s="1813"/>
      <c r="R20" s="774"/>
      <c r="S20" s="775"/>
      <c r="T20" s="774"/>
      <c r="U20" s="775"/>
      <c r="V20" s="774"/>
      <c r="W20" s="775"/>
      <c r="X20" s="1816"/>
      <c r="Y20" s="3172"/>
      <c r="Z20" s="1817"/>
      <c r="AA20" s="1814">
        <v>1</v>
      </c>
      <c r="AB20" s="1814">
        <v>1</v>
      </c>
      <c r="AC20" s="2679">
        <v>1</v>
      </c>
    </row>
    <row r="21" spans="1:29" ht="28.5">
      <c r="A21" s="428"/>
      <c r="B21" s="633" t="s">
        <v>2694</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79"/>
      <c r="Q21" s="1813" t="str">
        <f>B21</f>
        <v>基础设施水平</v>
      </c>
      <c r="R21" s="774" t="s">
        <v>17</v>
      </c>
      <c r="S21" s="775">
        <f>F21</f>
        <v>100</v>
      </c>
      <c r="T21" s="774" t="s">
        <v>17</v>
      </c>
      <c r="U21" s="775">
        <f>H21</f>
        <v>100</v>
      </c>
      <c r="V21" s="774" t="s">
        <v>17</v>
      </c>
      <c r="W21" s="775">
        <f>J21</f>
        <v>100</v>
      </c>
      <c r="X21" s="1816"/>
      <c r="Y21" s="3172"/>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8"/>
      <c r="H22" s="448"/>
      <c r="I22" s="2618"/>
      <c r="J22" s="448"/>
      <c r="K22" s="1386"/>
      <c r="L22" s="1143"/>
      <c r="M22" s="1134"/>
      <c r="N22" s="1134"/>
      <c r="O22" s="1134"/>
      <c r="P22" s="3179"/>
      <c r="Q22" s="1813"/>
      <c r="R22" s="774"/>
      <c r="S22" s="775"/>
      <c r="T22" s="774"/>
      <c r="U22" s="775"/>
      <c r="V22" s="774"/>
      <c r="W22" s="775"/>
      <c r="X22" s="1816"/>
      <c r="Y22" s="3172"/>
      <c r="Z22" s="1817"/>
      <c r="AA22" s="1814">
        <v>1</v>
      </c>
      <c r="AB22" s="1814">
        <v>1</v>
      </c>
      <c r="AC22" s="2679">
        <v>1</v>
      </c>
    </row>
    <row r="23" spans="1:29" ht="42.75">
      <c r="A23" s="428"/>
      <c r="B23" s="631" t="s">
        <v>2695</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79"/>
      <c r="Q23" s="1813" t="str">
        <f>B23</f>
        <v>环境质量</v>
      </c>
      <c r="R23" s="774" t="s">
        <v>17</v>
      </c>
      <c r="S23" s="775">
        <f>F23</f>
        <v>100</v>
      </c>
      <c r="T23" s="774" t="s">
        <v>17</v>
      </c>
      <c r="U23" s="775">
        <f>H23</f>
        <v>100</v>
      </c>
      <c r="V23" s="774" t="s">
        <v>17</v>
      </c>
      <c r="W23" s="775">
        <f>J23</f>
        <v>100</v>
      </c>
      <c r="X23" s="1816"/>
      <c r="Y23" s="3172"/>
      <c r="Z23" s="1817" t="str">
        <f>Q23</f>
        <v>环境质量</v>
      </c>
      <c r="AA23" s="1814">
        <f t="shared" si="3"/>
        <v>1</v>
      </c>
      <c r="AB23" s="1814">
        <f t="shared" si="4"/>
        <v>1</v>
      </c>
      <c r="AC23" s="2679">
        <f t="shared" si="5"/>
        <v>1</v>
      </c>
    </row>
    <row r="24" spans="1:29" ht="15">
      <c r="A24" s="428"/>
      <c r="B24" s="633"/>
      <c r="C24" s="2618"/>
      <c r="D24" s="448"/>
      <c r="E24" s="2611"/>
      <c r="F24" s="448"/>
      <c r="G24" s="2612"/>
      <c r="H24" s="448"/>
      <c r="I24" s="2612"/>
      <c r="J24" s="448"/>
      <c r="K24" s="615"/>
      <c r="L24" s="1143"/>
      <c r="M24" s="1134"/>
      <c r="N24" s="1134"/>
      <c r="O24" s="1134"/>
      <c r="P24" s="3179"/>
      <c r="Q24" s="1813"/>
      <c r="R24" s="774"/>
      <c r="S24" s="775"/>
      <c r="T24" s="774"/>
      <c r="U24" s="775"/>
      <c r="V24" s="774"/>
      <c r="W24" s="775"/>
      <c r="X24" s="1816"/>
      <c r="Y24" s="3172"/>
      <c r="Z24" s="1817"/>
      <c r="AA24" s="1814">
        <v>1</v>
      </c>
      <c r="AB24" s="1814">
        <v>1</v>
      </c>
      <c r="AC24" s="2679">
        <v>1</v>
      </c>
    </row>
    <row r="25" spans="1:29" ht="27">
      <c r="A25" s="404"/>
      <c r="B25" s="631" t="s">
        <v>2696</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79"/>
      <c r="Q25" s="1813" t="str">
        <f>B25</f>
        <v>毗邻道路的类型与等级</v>
      </c>
      <c r="R25" s="774" t="s">
        <v>17</v>
      </c>
      <c r="S25" s="775">
        <f>F25</f>
        <v>100</v>
      </c>
      <c r="T25" s="774" t="s">
        <v>17</v>
      </c>
      <c r="U25" s="775">
        <f>H25</f>
        <v>100</v>
      </c>
      <c r="V25" s="774" t="s">
        <v>17</v>
      </c>
      <c r="W25" s="775">
        <f>J25</f>
        <v>100</v>
      </c>
      <c r="X25" s="1816"/>
      <c r="Y25" s="3172"/>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179"/>
      <c r="Q26" s="1813"/>
      <c r="R26" s="774"/>
      <c r="S26" s="775"/>
      <c r="T26" s="774"/>
      <c r="U26" s="775"/>
      <c r="V26" s="774"/>
      <c r="W26" s="775"/>
      <c r="X26" s="1816"/>
      <c r="Y26" s="3172"/>
      <c r="Z26" s="1817"/>
      <c r="AA26" s="1814">
        <v>1</v>
      </c>
      <c r="AB26" s="1814">
        <v>1</v>
      </c>
      <c r="AC26" s="2679">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79"/>
      <c r="Q27" s="1813" t="str">
        <f t="shared" ref="Q27:Q47" si="11">B27</f>
        <v>楼层</v>
      </c>
      <c r="R27" s="774" t="s">
        <v>17</v>
      </c>
      <c r="S27" s="775">
        <f>F27</f>
        <v>100</v>
      </c>
      <c r="T27" s="774" t="s">
        <v>17</v>
      </c>
      <c r="U27" s="775">
        <f>H27</f>
        <v>100</v>
      </c>
      <c r="V27" s="774" t="s">
        <v>17</v>
      </c>
      <c r="W27" s="775">
        <f>J27</f>
        <v>100</v>
      </c>
      <c r="X27" s="1816"/>
      <c r="Y27" s="3172"/>
      <c r="Z27" s="1817" t="str">
        <f>Q27</f>
        <v>楼层</v>
      </c>
      <c r="AA27" s="1814">
        <f t="shared" si="3"/>
        <v>1</v>
      </c>
      <c r="AB27" s="1814">
        <f t="shared" si="4"/>
        <v>1</v>
      </c>
      <c r="AC27" s="2679">
        <f t="shared" si="5"/>
        <v>1</v>
      </c>
    </row>
    <row r="28" spans="1:29" s="117" customFormat="1" ht="15">
      <c r="A28" s="431"/>
      <c r="B28" s="631" t="s">
        <v>2697</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179"/>
      <c r="Q28" s="1798" t="str">
        <f t="shared" si="11"/>
        <v>朝向</v>
      </c>
      <c r="R28" s="770" t="s">
        <v>17</v>
      </c>
      <c r="S28" s="771">
        <f>F28</f>
        <v>100</v>
      </c>
      <c r="T28" s="770" t="s">
        <v>17</v>
      </c>
      <c r="U28" s="771">
        <f>H28</f>
        <v>100</v>
      </c>
      <c r="V28" s="770" t="s">
        <v>17</v>
      </c>
      <c r="W28" s="771">
        <f>J28</f>
        <v>100</v>
      </c>
      <c r="X28" s="772"/>
      <c r="Y28" s="3172"/>
      <c r="Z28" s="55" t="str">
        <f>Q28</f>
        <v>朝向</v>
      </c>
      <c r="AA28" s="1814">
        <f>D28/F28</f>
        <v>1</v>
      </c>
      <c r="AB28" s="1814">
        <f>D28/H28</f>
        <v>1</v>
      </c>
      <c r="AC28" s="2679">
        <f>D28/J28</f>
        <v>1</v>
      </c>
    </row>
    <row r="29" spans="1:29" ht="15">
      <c r="A29" s="428"/>
      <c r="B29" s="2683">
        <v>111</v>
      </c>
      <c r="C29" s="2622"/>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179"/>
      <c r="Q29" s="1813">
        <f t="shared" si="11"/>
        <v>111</v>
      </c>
      <c r="R29" s="774" t="s">
        <v>17</v>
      </c>
      <c r="S29" s="775">
        <f t="shared" ref="S29:S47" si="12">F29</f>
        <v>100</v>
      </c>
      <c r="T29" s="774" t="s">
        <v>17</v>
      </c>
      <c r="U29" s="775">
        <f t="shared" ref="U29:U47" si="13">H29</f>
        <v>100</v>
      </c>
      <c r="V29" s="774" t="s">
        <v>17</v>
      </c>
      <c r="W29" s="775">
        <f t="shared" ref="W29:W47" si="14">J29</f>
        <v>100</v>
      </c>
      <c r="X29" s="1816"/>
      <c r="Y29" s="3172"/>
      <c r="Z29" s="1817">
        <f t="shared" ref="Z29:Z47" si="15">Q29</f>
        <v>111</v>
      </c>
      <c r="AA29" s="1814">
        <f t="shared" si="3"/>
        <v>1</v>
      </c>
      <c r="AB29" s="1814">
        <f t="shared" si="4"/>
        <v>1</v>
      </c>
      <c r="AC29" s="2679">
        <f t="shared" si="5"/>
        <v>1</v>
      </c>
    </row>
    <row r="30" spans="1:29" ht="15">
      <c r="A30" s="428"/>
      <c r="B30" s="2683">
        <v>111</v>
      </c>
      <c r="C30" s="2622"/>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179"/>
      <c r="Q30" s="1813">
        <f t="shared" si="11"/>
        <v>111</v>
      </c>
      <c r="R30" s="774" t="s">
        <v>17</v>
      </c>
      <c r="S30" s="775">
        <f t="shared" si="12"/>
        <v>100</v>
      </c>
      <c r="T30" s="774" t="s">
        <v>17</v>
      </c>
      <c r="U30" s="775">
        <f t="shared" si="13"/>
        <v>100</v>
      </c>
      <c r="V30" s="774" t="s">
        <v>17</v>
      </c>
      <c r="W30" s="775">
        <f t="shared" si="14"/>
        <v>100</v>
      </c>
      <c r="X30" s="1816"/>
      <c r="Y30" s="3172"/>
      <c r="Z30" s="1817">
        <f t="shared" si="15"/>
        <v>111</v>
      </c>
      <c r="AA30" s="1814">
        <f t="shared" si="3"/>
        <v>1</v>
      </c>
      <c r="AB30" s="1814">
        <f t="shared" si="4"/>
        <v>1</v>
      </c>
      <c r="AC30" s="2679">
        <f t="shared" si="5"/>
        <v>1</v>
      </c>
    </row>
    <row r="31" spans="1:29" ht="15">
      <c r="A31" s="428"/>
      <c r="B31" s="2683">
        <v>111</v>
      </c>
      <c r="C31" s="2622"/>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179"/>
      <c r="Q31" s="1813">
        <f t="shared" si="11"/>
        <v>111</v>
      </c>
      <c r="R31" s="774" t="s">
        <v>17</v>
      </c>
      <c r="S31" s="775">
        <f t="shared" si="12"/>
        <v>100</v>
      </c>
      <c r="T31" s="774" t="s">
        <v>17</v>
      </c>
      <c r="U31" s="775">
        <f t="shared" si="13"/>
        <v>100</v>
      </c>
      <c r="V31" s="774" t="s">
        <v>17</v>
      </c>
      <c r="W31" s="775">
        <f t="shared" si="14"/>
        <v>100</v>
      </c>
      <c r="X31" s="1816"/>
      <c r="Y31" s="3172"/>
      <c r="Z31" s="1817">
        <f t="shared" si="15"/>
        <v>111</v>
      </c>
      <c r="AA31" s="1814">
        <f t="shared" si="3"/>
        <v>1</v>
      </c>
      <c r="AB31" s="1814">
        <f t="shared" si="4"/>
        <v>1</v>
      </c>
      <c r="AC31" s="2679">
        <f t="shared" si="5"/>
        <v>1</v>
      </c>
    </row>
    <row r="32" spans="1:29" ht="15.75" thickBot="1">
      <c r="A32" s="436"/>
      <c r="B32" s="635">
        <v>111</v>
      </c>
      <c r="C32" s="2623"/>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179"/>
      <c r="Q32" s="1813">
        <f t="shared" si="11"/>
        <v>111</v>
      </c>
      <c r="R32" s="774" t="s">
        <v>17</v>
      </c>
      <c r="S32" s="775">
        <f t="shared" si="12"/>
        <v>100</v>
      </c>
      <c r="T32" s="774" t="s">
        <v>17</v>
      </c>
      <c r="U32" s="775">
        <f t="shared" si="13"/>
        <v>100</v>
      </c>
      <c r="V32" s="774" t="s">
        <v>17</v>
      </c>
      <c r="W32" s="775">
        <f t="shared" si="14"/>
        <v>100</v>
      </c>
      <c r="X32" s="1816"/>
      <c r="Y32" s="3172"/>
      <c r="Z32" s="1817">
        <f t="shared" si="15"/>
        <v>111</v>
      </c>
      <c r="AA32" s="1814">
        <f t="shared" si="3"/>
        <v>1</v>
      </c>
      <c r="AB32" s="1814">
        <f t="shared" si="4"/>
        <v>1</v>
      </c>
      <c r="AC32" s="2679">
        <f t="shared" si="5"/>
        <v>1</v>
      </c>
    </row>
    <row r="33" spans="1:29" ht="15">
      <c r="A33" s="440" t="s">
        <v>2568</v>
      </c>
      <c r="B33" s="71" t="s">
        <v>2698</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173" t="s">
        <v>2570</v>
      </c>
      <c r="Q33" s="1813" t="str">
        <f t="shared" si="11"/>
        <v>建筑类型</v>
      </c>
      <c r="R33" s="774" t="s">
        <v>17</v>
      </c>
      <c r="S33" s="775">
        <f t="shared" si="12"/>
        <v>100</v>
      </c>
      <c r="T33" s="774" t="s">
        <v>17</v>
      </c>
      <c r="U33" s="775">
        <f t="shared" si="13"/>
        <v>100</v>
      </c>
      <c r="V33" s="774" t="s">
        <v>17</v>
      </c>
      <c r="W33" s="775">
        <f t="shared" si="14"/>
        <v>100</v>
      </c>
      <c r="X33" s="1816"/>
      <c r="Y33" s="3176" t="s">
        <v>2570</v>
      </c>
      <c r="Z33" s="1817" t="str">
        <f t="shared" si="15"/>
        <v>建筑类型</v>
      </c>
      <c r="AA33" s="1814">
        <f t="shared" si="3"/>
        <v>1</v>
      </c>
      <c r="AB33" s="1814">
        <f t="shared" si="4"/>
        <v>1</v>
      </c>
      <c r="AC33" s="2679">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74"/>
      <c r="Q34" s="776" t="str">
        <f t="shared" si="11"/>
        <v>项目建筑规模</v>
      </c>
      <c r="R34" s="777" t="s">
        <v>17</v>
      </c>
      <c r="S34" s="778" t="e">
        <f t="shared" si="12"/>
        <v>#N/A</v>
      </c>
      <c r="T34" s="777" t="s">
        <v>17</v>
      </c>
      <c r="U34" s="778" t="e">
        <f t="shared" si="13"/>
        <v>#N/A</v>
      </c>
      <c r="V34" s="777" t="s">
        <v>17</v>
      </c>
      <c r="W34" s="778" t="e">
        <f t="shared" si="14"/>
        <v>#N/A</v>
      </c>
      <c r="X34" s="779"/>
      <c r="Y34" s="3176"/>
      <c r="Z34" s="780" t="str">
        <f t="shared" si="15"/>
        <v>项目建筑规模</v>
      </c>
      <c r="AA34" s="1814" t="e">
        <f t="shared" si="3"/>
        <v>#N/A</v>
      </c>
      <c r="AB34" s="1814" t="e">
        <f t="shared" si="4"/>
        <v>#N/A</v>
      </c>
      <c r="AC34" s="2679"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74"/>
      <c r="Q35" s="1813" t="str">
        <f t="shared" si="11"/>
        <v>建筑结构</v>
      </c>
      <c r="R35" s="774" t="s">
        <v>17</v>
      </c>
      <c r="S35" s="775">
        <f t="shared" si="12"/>
        <v>100</v>
      </c>
      <c r="T35" s="774" t="s">
        <v>17</v>
      </c>
      <c r="U35" s="775">
        <f t="shared" si="13"/>
        <v>100</v>
      </c>
      <c r="V35" s="774" t="s">
        <v>17</v>
      </c>
      <c r="W35" s="775">
        <f t="shared" si="14"/>
        <v>100</v>
      </c>
      <c r="X35" s="1816"/>
      <c r="Y35" s="3176"/>
      <c r="Z35" s="1817" t="str">
        <f t="shared" si="15"/>
        <v>建筑结构</v>
      </c>
      <c r="AA35" s="1814">
        <f t="shared" si="3"/>
        <v>1</v>
      </c>
      <c r="AB35" s="1814">
        <f t="shared" si="4"/>
        <v>1</v>
      </c>
      <c r="AC35" s="2679">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74"/>
      <c r="Q36" s="1813" t="str">
        <f t="shared" si="11"/>
        <v>公共部分装修</v>
      </c>
      <c r="R36" s="774" t="s">
        <v>17</v>
      </c>
      <c r="S36" s="775">
        <f t="shared" si="12"/>
        <v>100</v>
      </c>
      <c r="T36" s="774" t="s">
        <v>17</v>
      </c>
      <c r="U36" s="775">
        <f t="shared" si="13"/>
        <v>100</v>
      </c>
      <c r="V36" s="774" t="s">
        <v>17</v>
      </c>
      <c r="W36" s="775">
        <f t="shared" si="14"/>
        <v>100</v>
      </c>
      <c r="X36" s="1816"/>
      <c r="Y36" s="3176"/>
      <c r="Z36" s="1817" t="str">
        <f t="shared" si="15"/>
        <v>公共部分装修</v>
      </c>
      <c r="AA36" s="1814">
        <f t="shared" si="3"/>
        <v>1</v>
      </c>
      <c r="AB36" s="1814">
        <f t="shared" si="4"/>
        <v>1</v>
      </c>
      <c r="AC36" s="2679">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74"/>
      <c r="Q37" s="1813" t="str">
        <f t="shared" si="11"/>
        <v>成新度</v>
      </c>
      <c r="R37" s="774" t="s">
        <v>17</v>
      </c>
      <c r="S37" s="775" t="e">
        <f t="shared" si="12"/>
        <v>#N/A</v>
      </c>
      <c r="T37" s="774" t="s">
        <v>17</v>
      </c>
      <c r="U37" s="775" t="e">
        <f t="shared" si="13"/>
        <v>#N/A</v>
      </c>
      <c r="V37" s="774" t="s">
        <v>17</v>
      </c>
      <c r="W37" s="775" t="e">
        <f t="shared" si="14"/>
        <v>#N/A</v>
      </c>
      <c r="X37" s="1816"/>
      <c r="Y37" s="3176"/>
      <c r="Z37" s="1817" t="str">
        <f t="shared" si="15"/>
        <v>成新度</v>
      </c>
      <c r="AA37" s="1814" t="e">
        <f t="shared" si="3"/>
        <v>#N/A</v>
      </c>
      <c r="AB37" s="1814" t="e">
        <f t="shared" si="4"/>
        <v>#N/A</v>
      </c>
      <c r="AC37" s="2679"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74"/>
      <c r="Q38" s="1798" t="str">
        <f t="shared" si="11"/>
        <v>写字楼等级</v>
      </c>
      <c r="R38" s="770" t="s">
        <v>17</v>
      </c>
      <c r="S38" s="771">
        <f t="shared" si="12"/>
        <v>100</v>
      </c>
      <c r="T38" s="770" t="s">
        <v>17</v>
      </c>
      <c r="U38" s="771">
        <f t="shared" si="13"/>
        <v>100</v>
      </c>
      <c r="V38" s="770" t="s">
        <v>17</v>
      </c>
      <c r="W38" s="771">
        <f t="shared" si="14"/>
        <v>100</v>
      </c>
      <c r="X38" s="772"/>
      <c r="Y38" s="3176"/>
      <c r="Z38" s="55" t="str">
        <f t="shared" si="15"/>
        <v>写字楼等级</v>
      </c>
      <c r="AA38" s="773">
        <f t="shared" si="3"/>
        <v>1</v>
      </c>
      <c r="AB38" s="773">
        <f t="shared" si="4"/>
        <v>1</v>
      </c>
      <c r="AC38" s="2676">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74" t="s">
        <v>2570</v>
      </c>
      <c r="Q39" s="1813" t="str">
        <f t="shared" si="11"/>
        <v>物业管理</v>
      </c>
      <c r="R39" s="774" t="s">
        <v>17</v>
      </c>
      <c r="S39" s="775">
        <f t="shared" si="12"/>
        <v>100</v>
      </c>
      <c r="T39" s="774" t="s">
        <v>17</v>
      </c>
      <c r="U39" s="775">
        <f t="shared" si="13"/>
        <v>100</v>
      </c>
      <c r="V39" s="774" t="s">
        <v>17</v>
      </c>
      <c r="W39" s="775">
        <f t="shared" si="14"/>
        <v>100</v>
      </c>
      <c r="X39" s="1816"/>
      <c r="Y39" s="3176" t="s">
        <v>2570</v>
      </c>
      <c r="Z39" s="1817" t="str">
        <f t="shared" si="15"/>
        <v>物业管理</v>
      </c>
      <c r="AA39" s="1814">
        <f t="shared" si="3"/>
        <v>1</v>
      </c>
      <c r="AB39" s="1814">
        <f t="shared" si="4"/>
        <v>1</v>
      </c>
      <c r="AC39" s="2679">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74"/>
      <c r="Q40" s="1813" t="str">
        <f t="shared" si="11"/>
        <v>市政基础设施</v>
      </c>
      <c r="R40" s="774" t="s">
        <v>17</v>
      </c>
      <c r="S40" s="775">
        <f t="shared" si="12"/>
        <v>100</v>
      </c>
      <c r="T40" s="774" t="s">
        <v>17</v>
      </c>
      <c r="U40" s="775">
        <f t="shared" si="13"/>
        <v>100</v>
      </c>
      <c r="V40" s="774" t="s">
        <v>17</v>
      </c>
      <c r="W40" s="775">
        <f t="shared" si="14"/>
        <v>100</v>
      </c>
      <c r="X40" s="1816"/>
      <c r="Y40" s="3176"/>
      <c r="Z40" s="1817" t="str">
        <f t="shared" si="15"/>
        <v>市政基础设施</v>
      </c>
      <c r="AA40" s="1814">
        <f t="shared" si="3"/>
        <v>1</v>
      </c>
      <c r="AB40" s="1814">
        <f t="shared" si="4"/>
        <v>1</v>
      </c>
      <c r="AC40" s="2679">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74"/>
      <c r="Q41" s="1813" t="str">
        <f t="shared" si="11"/>
        <v>层高</v>
      </c>
      <c r="R41" s="774" t="s">
        <v>17</v>
      </c>
      <c r="S41" s="775">
        <f t="shared" si="12"/>
        <v>100</v>
      </c>
      <c r="T41" s="774" t="s">
        <v>17</v>
      </c>
      <c r="U41" s="775">
        <f t="shared" si="13"/>
        <v>100</v>
      </c>
      <c r="V41" s="774" t="s">
        <v>17</v>
      </c>
      <c r="W41" s="775">
        <f t="shared" si="14"/>
        <v>100</v>
      </c>
      <c r="X41" s="1816"/>
      <c r="Y41" s="3176"/>
      <c r="Z41" s="1817" t="str">
        <f t="shared" si="15"/>
        <v>层高</v>
      </c>
      <c r="AA41" s="1814">
        <f t="shared" si="3"/>
        <v>1</v>
      </c>
      <c r="AB41" s="1814">
        <f t="shared" si="4"/>
        <v>1</v>
      </c>
      <c r="AC41" s="2679">
        <f t="shared" si="5"/>
        <v>1</v>
      </c>
    </row>
    <row r="42" spans="1:29" s="471" customFormat="1" ht="15">
      <c r="A42" s="468"/>
      <c r="B42" s="1815"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74"/>
      <c r="Q42" s="776" t="str">
        <f t="shared" si="11"/>
        <v>单套建筑面积</v>
      </c>
      <c r="R42" s="777" t="s">
        <v>17</v>
      </c>
      <c r="S42" s="778">
        <f t="shared" si="12"/>
        <v>100</v>
      </c>
      <c r="T42" s="777" t="s">
        <v>17</v>
      </c>
      <c r="U42" s="778">
        <f t="shared" si="13"/>
        <v>100</v>
      </c>
      <c r="V42" s="777" t="s">
        <v>17</v>
      </c>
      <c r="W42" s="778">
        <f t="shared" si="14"/>
        <v>100</v>
      </c>
      <c r="X42" s="779"/>
      <c r="Y42" s="3176"/>
      <c r="Z42" s="780" t="str">
        <f t="shared" si="15"/>
        <v>单套建筑面积</v>
      </c>
      <c r="AA42" s="1814">
        <f t="shared" si="3"/>
        <v>1</v>
      </c>
      <c r="AB42" s="1814">
        <f t="shared" si="4"/>
        <v>1</v>
      </c>
      <c r="AC42" s="2679">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74"/>
      <c r="Q43" s="1813" t="str">
        <f t="shared" si="11"/>
        <v>内部装修</v>
      </c>
      <c r="R43" s="774" t="s">
        <v>17</v>
      </c>
      <c r="S43" s="775">
        <f t="shared" si="12"/>
        <v>100</v>
      </c>
      <c r="T43" s="774" t="s">
        <v>17</v>
      </c>
      <c r="U43" s="775">
        <f t="shared" si="13"/>
        <v>100</v>
      </c>
      <c r="V43" s="774" t="s">
        <v>17</v>
      </c>
      <c r="W43" s="775">
        <f t="shared" si="14"/>
        <v>100</v>
      </c>
      <c r="X43" s="1816"/>
      <c r="Y43" s="3176"/>
      <c r="Z43" s="1817" t="str">
        <f t="shared" si="15"/>
        <v>内部装修</v>
      </c>
      <c r="AA43" s="1814">
        <f t="shared" si="3"/>
        <v>1</v>
      </c>
      <c r="AB43" s="1814">
        <f t="shared" si="4"/>
        <v>1</v>
      </c>
      <c r="AC43" s="2679">
        <f t="shared" si="5"/>
        <v>1</v>
      </c>
    </row>
    <row r="44" spans="1:29" ht="15">
      <c r="A44" s="472"/>
      <c r="B44" s="422" t="s">
        <v>2581</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74"/>
      <c r="Q44" s="1813" t="str">
        <f t="shared" si="11"/>
        <v>内部装修维护情况</v>
      </c>
      <c r="R44" s="774" t="s">
        <v>17</v>
      </c>
      <c r="S44" s="775">
        <f t="shared" si="12"/>
        <v>100</v>
      </c>
      <c r="T44" s="774" t="s">
        <v>17</v>
      </c>
      <c r="U44" s="775">
        <f t="shared" si="13"/>
        <v>100</v>
      </c>
      <c r="V44" s="774" t="s">
        <v>17</v>
      </c>
      <c r="W44" s="775">
        <f t="shared" si="14"/>
        <v>100</v>
      </c>
      <c r="X44" s="1816"/>
      <c r="Y44" s="3176"/>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74"/>
      <c r="Q45" s="1798">
        <f t="shared" si="11"/>
        <v>111</v>
      </c>
      <c r="R45" s="770" t="s">
        <v>17</v>
      </c>
      <c r="S45" s="771">
        <f t="shared" si="12"/>
        <v>100</v>
      </c>
      <c r="T45" s="770" t="s">
        <v>17</v>
      </c>
      <c r="U45" s="771">
        <f t="shared" si="13"/>
        <v>100</v>
      </c>
      <c r="V45" s="770" t="s">
        <v>17</v>
      </c>
      <c r="W45" s="771">
        <f t="shared" si="14"/>
        <v>100</v>
      </c>
      <c r="X45" s="772"/>
      <c r="Y45" s="3176"/>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74"/>
      <c r="Q46" s="1813">
        <f t="shared" si="11"/>
        <v>111</v>
      </c>
      <c r="R46" s="774" t="s">
        <v>17</v>
      </c>
      <c r="S46" s="775">
        <f t="shared" si="12"/>
        <v>100</v>
      </c>
      <c r="T46" s="774" t="s">
        <v>17</v>
      </c>
      <c r="U46" s="775">
        <f t="shared" si="13"/>
        <v>100</v>
      </c>
      <c r="V46" s="774" t="s">
        <v>17</v>
      </c>
      <c r="W46" s="775">
        <f t="shared" si="14"/>
        <v>100</v>
      </c>
      <c r="X46" s="1816"/>
      <c r="Y46" s="3176"/>
      <c r="Z46" s="1817">
        <f t="shared" si="15"/>
        <v>111</v>
      </c>
      <c r="AA46" s="1814">
        <f t="shared" si="3"/>
        <v>1</v>
      </c>
      <c r="AB46" s="1814">
        <f t="shared" si="4"/>
        <v>1</v>
      </c>
      <c r="AC46" s="2679">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75"/>
      <c r="Q47" s="1813">
        <f t="shared" si="11"/>
        <v>111</v>
      </c>
      <c r="R47" s="774" t="s">
        <v>17</v>
      </c>
      <c r="S47" s="775">
        <f t="shared" si="12"/>
        <v>100</v>
      </c>
      <c r="T47" s="774" t="s">
        <v>17</v>
      </c>
      <c r="U47" s="775">
        <f t="shared" si="13"/>
        <v>100</v>
      </c>
      <c r="V47" s="774" t="s">
        <v>17</v>
      </c>
      <c r="W47" s="775">
        <f t="shared" si="14"/>
        <v>100</v>
      </c>
      <c r="X47" s="1816"/>
      <c r="Y47" s="3177"/>
      <c r="Z47" s="1817">
        <f t="shared" si="15"/>
        <v>111</v>
      </c>
      <c r="AA47" s="1814">
        <f t="shared" si="3"/>
        <v>1</v>
      </c>
      <c r="AB47" s="1814">
        <f t="shared" si="4"/>
        <v>1</v>
      </c>
      <c r="AC47" s="2679">
        <f t="shared" si="5"/>
        <v>1</v>
      </c>
    </row>
    <row r="48" spans="1:29" ht="15">
      <c r="A48" s="479" t="s">
        <v>2582</v>
      </c>
      <c r="B48" s="480"/>
      <c r="C48" s="1410" t="s">
        <v>1</v>
      </c>
      <c r="D48" s="1411"/>
      <c r="E48" s="1412"/>
      <c r="F48" s="1413"/>
      <c r="G48" s="1414"/>
      <c r="H48" s="1415"/>
      <c r="I48" s="1412"/>
      <c r="J48" s="485"/>
      <c r="K48" s="783"/>
      <c r="L48" s="1146"/>
      <c r="M48" s="1134"/>
      <c r="N48" s="1134"/>
      <c r="O48" s="1134"/>
      <c r="P48" s="3180" t="str">
        <f>A48</f>
        <v>成交单价（元/平方米）</v>
      </c>
      <c r="Q48" s="3169"/>
      <c r="R48" s="3170">
        <f>E48</f>
        <v>0</v>
      </c>
      <c r="S48" s="3170"/>
      <c r="T48" s="3170">
        <f>G48</f>
        <v>0</v>
      </c>
      <c r="U48" s="3170"/>
      <c r="V48" s="3170">
        <f>I48</f>
        <v>0</v>
      </c>
      <c r="W48" s="3170"/>
      <c r="X48" s="446"/>
      <c r="Y48" s="781"/>
      <c r="Z48" s="446"/>
      <c r="AA48" s="446"/>
      <c r="AB48" s="446"/>
      <c r="AC48" s="630"/>
    </row>
    <row r="49" spans="1:29" ht="15.75" thickBot="1">
      <c r="A49" s="486" t="s">
        <v>2674</v>
      </c>
      <c r="B49" s="487"/>
      <c r="C49" s="1416" t="e">
        <f>R50</f>
        <v>#DIV/0!</v>
      </c>
      <c r="D49" s="1417"/>
      <c r="E49" s="1418" t="e">
        <f>R49</f>
        <v>#DIV/0!</v>
      </c>
      <c r="F49" s="1418"/>
      <c r="G49" s="1416" t="e">
        <f>T49</f>
        <v>#DIV/0!</v>
      </c>
      <c r="H49" s="1417"/>
      <c r="I49" s="1418" t="e">
        <f>V49</f>
        <v>#DIV/0!</v>
      </c>
      <c r="J49" s="489"/>
      <c r="K49" s="784"/>
      <c r="L49" s="1146"/>
      <c r="M49" s="1134"/>
      <c r="N49" s="1134"/>
      <c r="O49" s="1134"/>
      <c r="P49" s="3180" t="str">
        <f>A49</f>
        <v>比较价值（元/平方米）</v>
      </c>
      <c r="Q49" s="3169"/>
      <c r="R49" s="3170" t="e">
        <f>IF(F1="售价",ROUND(PRODUCT(R48,AA7:AA47),0),ROUND(PRODUCT(R48,AA7:AA47),1))</f>
        <v>#DIV/0!</v>
      </c>
      <c r="S49" s="3170"/>
      <c r="T49" s="3170" t="e">
        <f>IF(F1="售价",ROUND(PRODUCT(T48,AB7:AB47),0),ROUND(PRODUCT(T48,AB7:AB47),1))</f>
        <v>#DIV/0!</v>
      </c>
      <c r="U49" s="3170"/>
      <c r="V49" s="3170" t="e">
        <f>IF(F1="售价",ROUND(PRODUCT(V48,AC7:AC47),0),ROUND(PRODUCT(V48,AC7:AC47),1))</f>
        <v>#DIV/0!</v>
      </c>
      <c r="W49" s="3170"/>
      <c r="X49" s="446"/>
      <c r="Y49" s="446"/>
      <c r="Z49" s="446"/>
      <c r="AA49" s="446"/>
      <c r="AB49" s="446"/>
      <c r="AC49" s="630"/>
    </row>
    <row r="50" spans="1:29" ht="15.75" thickBot="1">
      <c r="A50" s="492" t="s">
        <v>2675</v>
      </c>
      <c r="B50" s="493"/>
      <c r="C50" s="1420" t="e">
        <f>R50</f>
        <v>#DIV/0!</v>
      </c>
      <c r="D50" s="1420"/>
      <c r="E50" s="1420"/>
      <c r="F50" s="1420"/>
      <c r="G50" s="1420"/>
      <c r="H50" s="1420"/>
      <c r="I50" s="1420"/>
      <c r="J50" s="494"/>
      <c r="K50" s="785"/>
      <c r="L50" s="1146"/>
      <c r="M50" s="1134"/>
      <c r="N50" s="1134"/>
      <c r="O50" s="1134"/>
      <c r="P50" s="3292" t="str">
        <f>A50</f>
        <v>估价对象XX用房的比较价值（楼面单价，元/平方米）</v>
      </c>
      <c r="Q50" s="3293"/>
      <c r="R50" s="3294" t="e">
        <f>IF(F1="售价",ROUND(AVERAGE(R49:V49),0),ROUND(AVERAGE(R49:V49),1))</f>
        <v>#DIV/0!</v>
      </c>
      <c r="S50" s="3294"/>
      <c r="T50" s="3294"/>
      <c r="U50" s="3294"/>
      <c r="V50" s="3294"/>
      <c r="W50" s="3294"/>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6"/>
      <c r="Q58" s="504"/>
    </row>
    <row r="59" spans="1:29" s="508" customFormat="1" ht="15">
      <c r="A59" s="505" t="s">
        <v>2553</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2590</v>
      </c>
      <c r="B61" s="516"/>
      <c r="C61" s="517"/>
      <c r="D61" s="518"/>
      <c r="E61" s="518"/>
      <c r="F61" s="518"/>
      <c r="G61" s="518"/>
      <c r="H61" s="518"/>
      <c r="I61" s="518"/>
      <c r="J61" s="518"/>
      <c r="K61" s="518"/>
      <c r="L61" s="518"/>
      <c r="M61" s="519"/>
      <c r="N61" s="518"/>
      <c r="O61" s="519"/>
      <c r="P61" s="2687"/>
      <c r="Q61" s="504"/>
    </row>
    <row r="62" spans="1:29" s="117" customFormat="1" ht="15">
      <c r="A62" s="521" t="s">
        <v>2555</v>
      </c>
      <c r="B62" s="510"/>
      <c r="C62" s="522" t="s">
        <v>2657</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2593</v>
      </c>
      <c r="B64" s="528" t="s">
        <v>2559</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2694</v>
      </c>
      <c r="C83" s="660" t="s">
        <v>2680</v>
      </c>
      <c r="D83" s="660" t="s">
        <v>2681</v>
      </c>
      <c r="E83" s="660" t="s">
        <v>2682</v>
      </c>
      <c r="F83" s="660" t="s">
        <v>2683</v>
      </c>
      <c r="G83" s="660" t="s">
        <v>2684</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2704</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2568</v>
      </c>
      <c r="B101" s="528" t="s">
        <v>2617</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2619</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2621</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2622</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2623</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2706</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2625</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4" sqref="C14"/>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4" t="s">
        <v>2707</v>
      </c>
      <c r="C1" s="1623" t="s">
        <v>2535</v>
      </c>
      <c r="D1" s="1624"/>
      <c r="E1" s="1633"/>
      <c r="F1" s="2591"/>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IF(C2="——",ROUND(C43*D3/10000,0),ROUND(C43*D3/10000,0)-D2)</f>
        <v>#DIV/0!</v>
      </c>
      <c r="C2" s="2593"/>
      <c r="D2" s="1127" t="e">
        <f ca="1">SUMIF(INDIRECT("'"&amp;F2&amp;"'"&amp;"!A:A"),"承租人权益价值",INDIRECT("'"&amp;F2&amp;"'"&amp;"!c:c"))</f>
        <v>#REF!</v>
      </c>
      <c r="E2" s="2594" t="s">
        <v>2333</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2334</v>
      </c>
      <c r="B3" s="609" t="e">
        <f ca="1">IF(C2="——",C43,ROUND(B2*10000/D3,0))</f>
        <v>#DIV/0!</v>
      </c>
      <c r="C3" s="400" t="s">
        <v>2649</v>
      </c>
      <c r="D3" s="399">
        <f>IF(D1="",'数据-汇总表'!E3,SUMIF('数据-汇总表'!$C19:$C33,D1,'数据-汇总表'!$E19:$E33))</f>
        <v>166.41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84" t="s">
        <v>2651</v>
      </c>
      <c r="D4" s="3185"/>
      <c r="E4" s="3186" t="s">
        <v>2652</v>
      </c>
      <c r="F4" s="3187"/>
      <c r="G4" s="3184" t="s">
        <v>2653</v>
      </c>
      <c r="H4" s="3185"/>
      <c r="I4" s="3184" t="s">
        <v>2654</v>
      </c>
      <c r="J4" s="3185"/>
      <c r="K4" s="610" t="s">
        <v>2655</v>
      </c>
      <c r="L4" s="1133"/>
      <c r="M4" s="1134"/>
      <c r="N4" s="1134"/>
      <c r="O4" s="1134"/>
      <c r="P4" s="3188" t="s">
        <v>2656</v>
      </c>
      <c r="Q4" s="3189"/>
      <c r="R4" s="3194" t="s">
        <v>2652</v>
      </c>
      <c r="S4" s="3195"/>
      <c r="T4" s="3194" t="s">
        <v>2653</v>
      </c>
      <c r="U4" s="3195"/>
      <c r="V4" s="3200" t="s">
        <v>2654</v>
      </c>
      <c r="W4" s="3200"/>
      <c r="X4" s="1816"/>
      <c r="Y4" s="3194" t="s">
        <v>2656</v>
      </c>
      <c r="Z4" s="3195"/>
      <c r="AA4" s="3181" t="s">
        <v>2652</v>
      </c>
      <c r="AB4" s="3182" t="s">
        <v>2653</v>
      </c>
      <c r="AC4" s="3181" t="s">
        <v>2654</v>
      </c>
    </row>
    <row r="5" spans="1:29" ht="15">
      <c r="A5" s="404"/>
      <c r="B5" s="405"/>
      <c r="C5" s="3208" t="s">
        <v>2547</v>
      </c>
      <c r="D5" s="3204"/>
      <c r="E5" s="3291" t="s">
        <v>2548</v>
      </c>
      <c r="F5" s="3212"/>
      <c r="G5" s="3208" t="s">
        <v>2549</v>
      </c>
      <c r="H5" s="3204"/>
      <c r="I5" s="3208" t="s">
        <v>2550</v>
      </c>
      <c r="J5" s="3204"/>
      <c r="K5" s="610"/>
      <c r="L5" s="1133"/>
      <c r="M5" s="1134"/>
      <c r="N5" s="1134"/>
      <c r="O5" s="1134"/>
      <c r="P5" s="3190"/>
      <c r="Q5" s="3191"/>
      <c r="R5" s="3196"/>
      <c r="S5" s="3197"/>
      <c r="T5" s="3196"/>
      <c r="U5" s="3197"/>
      <c r="V5" s="3200"/>
      <c r="W5" s="3200"/>
      <c r="X5" s="1816"/>
      <c r="Y5" s="3196"/>
      <c r="Z5" s="3197"/>
      <c r="AA5" s="3182"/>
      <c r="AB5" s="3182"/>
      <c r="AC5" s="3182"/>
    </row>
    <row r="6" spans="1:29" ht="15.75" thickBot="1">
      <c r="A6" s="406"/>
      <c r="B6" s="407"/>
      <c r="C6" s="3201" t="s">
        <v>2551</v>
      </c>
      <c r="D6" s="3202"/>
      <c r="E6" s="3209" t="s">
        <v>2551</v>
      </c>
      <c r="F6" s="3210"/>
      <c r="G6" s="3201" t="s">
        <v>2551</v>
      </c>
      <c r="H6" s="3202"/>
      <c r="I6" s="3201" t="s">
        <v>2551</v>
      </c>
      <c r="J6" s="3202"/>
      <c r="K6" s="610" t="s">
        <v>2552</v>
      </c>
      <c r="L6" s="1133"/>
      <c r="M6" s="1134"/>
      <c r="N6" s="1134"/>
      <c r="O6" s="1134"/>
      <c r="P6" s="3192"/>
      <c r="Q6" s="3193"/>
      <c r="R6" s="3196"/>
      <c r="S6" s="3197"/>
      <c r="T6" s="3198"/>
      <c r="U6" s="3199"/>
      <c r="V6" s="3200"/>
      <c r="W6" s="3200"/>
      <c r="X6" s="1816"/>
      <c r="Y6" s="3198"/>
      <c r="Z6" s="3199"/>
      <c r="AA6" s="3183"/>
      <c r="AB6" s="3183"/>
      <c r="AC6" s="3183"/>
    </row>
    <row r="7" spans="1:29" s="117" customFormat="1" ht="15.75" thickBot="1">
      <c r="A7" s="408" t="s">
        <v>2553</v>
      </c>
      <c r="B7" s="409"/>
      <c r="C7" s="410">
        <f>'数据-取费表'!B2</f>
        <v>43280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5" t="s">
        <v>2554</v>
      </c>
      <c r="Q7" s="3207"/>
      <c r="R7" s="770" t="s">
        <v>17</v>
      </c>
      <c r="S7" s="771">
        <f t="shared" ref="S7:S15" si="0">F7</f>
        <v>0</v>
      </c>
      <c r="T7" s="770" t="s">
        <v>17</v>
      </c>
      <c r="U7" s="771">
        <f t="shared" ref="U7:U15" si="1">H7</f>
        <v>0</v>
      </c>
      <c r="V7" s="770" t="s">
        <v>17</v>
      </c>
      <c r="W7" s="771">
        <f t="shared" ref="W7:W15" si="2">J7</f>
        <v>0</v>
      </c>
      <c r="X7" s="772"/>
      <c r="Y7" s="3205" t="s">
        <v>2554</v>
      </c>
      <c r="Z7" s="3206"/>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5" t="s">
        <v>2557</v>
      </c>
      <c r="Q8" s="3206"/>
      <c r="R8" s="770" t="s">
        <v>17</v>
      </c>
      <c r="S8" s="771">
        <f t="shared" si="0"/>
        <v>0</v>
      </c>
      <c r="T8" s="770" t="s">
        <v>17</v>
      </c>
      <c r="U8" s="771">
        <f t="shared" si="1"/>
        <v>0</v>
      </c>
      <c r="V8" s="770" t="s">
        <v>17</v>
      </c>
      <c r="W8" s="771">
        <f t="shared" si="2"/>
        <v>0</v>
      </c>
      <c r="X8" s="772"/>
      <c r="Y8" s="3205" t="s">
        <v>2557</v>
      </c>
      <c r="Z8" s="3206"/>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9" t="s">
        <v>2560</v>
      </c>
      <c r="Q9" s="1798" t="str">
        <f t="shared" ref="Q9:Q15" si="6">B9</f>
        <v>用途</v>
      </c>
      <c r="R9" s="770" t="s">
        <v>17</v>
      </c>
      <c r="S9" s="771">
        <f t="shared" si="0"/>
        <v>100</v>
      </c>
      <c r="T9" s="770" t="s">
        <v>17</v>
      </c>
      <c r="U9" s="771">
        <f t="shared" si="1"/>
        <v>100</v>
      </c>
      <c r="V9" s="770" t="s">
        <v>17</v>
      </c>
      <c r="W9" s="771">
        <f t="shared" si="2"/>
        <v>100</v>
      </c>
      <c r="X9" s="772"/>
      <c r="Y9" s="3024"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9"/>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9"/>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6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6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69"/>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2564</v>
      </c>
      <c r="B15" s="69" t="s">
        <v>2708</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1" t="s">
        <v>2565</v>
      </c>
      <c r="Q15" s="1813" t="str">
        <f t="shared" si="6"/>
        <v>产业集聚程度</v>
      </c>
      <c r="R15" s="774" t="s">
        <v>17</v>
      </c>
      <c r="S15" s="775">
        <f t="shared" si="0"/>
        <v>100</v>
      </c>
      <c r="T15" s="774" t="s">
        <v>17</v>
      </c>
      <c r="U15" s="775">
        <f t="shared" si="1"/>
        <v>100</v>
      </c>
      <c r="V15" s="774" t="s">
        <v>17</v>
      </c>
      <c r="W15" s="775">
        <f t="shared" si="2"/>
        <v>100</v>
      </c>
      <c r="X15" s="1816"/>
      <c r="Y15" s="3171" t="s">
        <v>2565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2"/>
      <c r="Q16" s="1813"/>
      <c r="R16" s="774"/>
      <c r="S16" s="775"/>
      <c r="T16" s="774"/>
      <c r="U16" s="775"/>
      <c r="V16" s="774"/>
      <c r="W16" s="775"/>
      <c r="X16" s="1816"/>
      <c r="Y16" s="3172"/>
      <c r="Z16" s="1817"/>
      <c r="AA16" s="1814">
        <v>1</v>
      </c>
      <c r="AB16" s="1814">
        <v>1</v>
      </c>
      <c r="AC16" s="1814">
        <v>1</v>
      </c>
    </row>
    <row r="17" spans="1:29" ht="85.5">
      <c r="A17" s="428"/>
      <c r="B17" s="451" t="s">
        <v>2101</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2"/>
      <c r="Q17" s="1813" t="str">
        <f>B17</f>
        <v>交通便捷度</v>
      </c>
      <c r="R17" s="774" t="s">
        <v>17</v>
      </c>
      <c r="S17" s="775">
        <f>F17</f>
        <v>100</v>
      </c>
      <c r="T17" s="774" t="s">
        <v>17</v>
      </c>
      <c r="U17" s="775">
        <f>H17</f>
        <v>100</v>
      </c>
      <c r="V17" s="774" t="s">
        <v>17</v>
      </c>
      <c r="W17" s="775">
        <f>J17</f>
        <v>100</v>
      </c>
      <c r="X17" s="1816"/>
      <c r="Y17" s="3172"/>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72"/>
      <c r="Q18" s="1813"/>
      <c r="R18" s="774"/>
      <c r="S18" s="775"/>
      <c r="T18" s="774"/>
      <c r="U18" s="775"/>
      <c r="V18" s="774"/>
      <c r="W18" s="775"/>
      <c r="X18" s="1816"/>
      <c r="Y18" s="3172"/>
      <c r="Z18" s="1817"/>
      <c r="AA18" s="1814">
        <v>1</v>
      </c>
      <c r="AB18" s="1814">
        <v>1</v>
      </c>
      <c r="AC18" s="1814">
        <v>1</v>
      </c>
    </row>
    <row r="19" spans="1:29" ht="42.75">
      <c r="A19" s="428"/>
      <c r="B19" s="451" t="s">
        <v>2693</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2"/>
      <c r="Q19" s="1813" t="str">
        <f>B19</f>
        <v>公共配套设施</v>
      </c>
      <c r="R19" s="774" t="s">
        <v>17</v>
      </c>
      <c r="S19" s="775">
        <f>F19</f>
        <v>100</v>
      </c>
      <c r="T19" s="774" t="s">
        <v>17</v>
      </c>
      <c r="U19" s="775">
        <f>H19</f>
        <v>100</v>
      </c>
      <c r="V19" s="774" t="s">
        <v>17</v>
      </c>
      <c r="W19" s="775">
        <f>J19</f>
        <v>100</v>
      </c>
      <c r="X19" s="1816"/>
      <c r="Y19" s="3172"/>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72"/>
      <c r="Q20" s="1813"/>
      <c r="R20" s="774"/>
      <c r="S20" s="775"/>
      <c r="T20" s="774"/>
      <c r="U20" s="775"/>
      <c r="V20" s="774"/>
      <c r="W20" s="775"/>
      <c r="X20" s="1816"/>
      <c r="Y20" s="3172"/>
      <c r="Z20" s="1817"/>
      <c r="AA20" s="1814">
        <v>1</v>
      </c>
      <c r="AB20" s="1814">
        <v>1</v>
      </c>
      <c r="AC20" s="1814">
        <v>1</v>
      </c>
    </row>
    <row r="21" spans="1:29" ht="28.5">
      <c r="A21" s="428"/>
      <c r="B21" s="1387" t="s">
        <v>2694</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2"/>
      <c r="Q21" s="1813" t="str">
        <f>B21</f>
        <v>基础设施水平</v>
      </c>
      <c r="R21" s="774" t="s">
        <v>17</v>
      </c>
      <c r="S21" s="775">
        <f>F21</f>
        <v>100</v>
      </c>
      <c r="T21" s="774" t="s">
        <v>17</v>
      </c>
      <c r="U21" s="775">
        <f>H21</f>
        <v>100</v>
      </c>
      <c r="V21" s="774" t="s">
        <v>17</v>
      </c>
      <c r="W21" s="775">
        <f>J21</f>
        <v>100</v>
      </c>
      <c r="X21" s="1816"/>
      <c r="Y21" s="3172"/>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72"/>
      <c r="Q22" s="1813"/>
      <c r="R22" s="774"/>
      <c r="S22" s="775"/>
      <c r="T22" s="774"/>
      <c r="U22" s="775"/>
      <c r="V22" s="774"/>
      <c r="W22" s="775"/>
      <c r="X22" s="1816"/>
      <c r="Y22" s="3172"/>
      <c r="Z22" s="1817"/>
      <c r="AA22" s="1814">
        <v>1</v>
      </c>
      <c r="AB22" s="1814">
        <v>1</v>
      </c>
      <c r="AC22" s="1814">
        <v>1</v>
      </c>
    </row>
    <row r="23" spans="1:29" ht="71.25">
      <c r="A23" s="428"/>
      <c r="B23" s="451" t="s">
        <v>2695</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2"/>
      <c r="Q23" s="1813" t="str">
        <f>B23</f>
        <v>环境质量</v>
      </c>
      <c r="R23" s="774" t="s">
        <v>17</v>
      </c>
      <c r="S23" s="775">
        <f>F23</f>
        <v>100</v>
      </c>
      <c r="T23" s="774" t="s">
        <v>17</v>
      </c>
      <c r="U23" s="775">
        <f>H23</f>
        <v>100</v>
      </c>
      <c r="V23" s="774" t="s">
        <v>17</v>
      </c>
      <c r="W23" s="775">
        <f>J23</f>
        <v>100</v>
      </c>
      <c r="X23" s="1816"/>
      <c r="Y23" s="3172"/>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72"/>
      <c r="Q24" s="1813"/>
      <c r="R24" s="774"/>
      <c r="S24" s="775"/>
      <c r="T24" s="774"/>
      <c r="U24" s="775"/>
      <c r="V24" s="774"/>
      <c r="W24" s="775"/>
      <c r="X24" s="1816"/>
      <c r="Y24" s="317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2"/>
      <c r="Q25" s="1813">
        <f>B25</f>
        <v>111</v>
      </c>
      <c r="R25" s="774" t="s">
        <v>17</v>
      </c>
      <c r="S25" s="775">
        <f>F25</f>
        <v>100</v>
      </c>
      <c r="T25" s="774" t="s">
        <v>17</v>
      </c>
      <c r="U25" s="775">
        <f>H25</f>
        <v>100</v>
      </c>
      <c r="V25" s="774" t="s">
        <v>17</v>
      </c>
      <c r="W25" s="775">
        <f>J25</f>
        <v>100</v>
      </c>
      <c r="X25" s="1816"/>
      <c r="Y25" s="317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2"/>
      <c r="Q26" s="1813">
        <f t="shared" ref="Q26:Q40" si="11">B26</f>
        <v>111</v>
      </c>
      <c r="R26" s="774" t="s">
        <v>17</v>
      </c>
      <c r="S26" s="775">
        <f>F26</f>
        <v>100</v>
      </c>
      <c r="T26" s="774" t="s">
        <v>17</v>
      </c>
      <c r="U26" s="775">
        <f>H26</f>
        <v>100</v>
      </c>
      <c r="V26" s="774" t="s">
        <v>17</v>
      </c>
      <c r="W26" s="775">
        <f>J26</f>
        <v>100</v>
      </c>
      <c r="X26" s="1816"/>
      <c r="Y26" s="317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2"/>
      <c r="Q27" s="1798">
        <f t="shared" si="11"/>
        <v>111</v>
      </c>
      <c r="R27" s="770" t="s">
        <v>17</v>
      </c>
      <c r="S27" s="771">
        <f>F27</f>
        <v>100</v>
      </c>
      <c r="T27" s="770" t="s">
        <v>17</v>
      </c>
      <c r="U27" s="771">
        <f>H27</f>
        <v>100</v>
      </c>
      <c r="V27" s="770" t="s">
        <v>17</v>
      </c>
      <c r="W27" s="771">
        <f>J27</f>
        <v>100</v>
      </c>
      <c r="X27" s="772"/>
      <c r="Y27" s="317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2"/>
      <c r="Q28" s="1813">
        <f t="shared" si="11"/>
        <v>111</v>
      </c>
      <c r="R28" s="774" t="s">
        <v>17</v>
      </c>
      <c r="S28" s="775">
        <f t="shared" ref="S28:S40" si="12">F28</f>
        <v>100</v>
      </c>
      <c r="T28" s="774" t="s">
        <v>17</v>
      </c>
      <c r="U28" s="775">
        <f t="shared" ref="U28:U40" si="13">H28</f>
        <v>100</v>
      </c>
      <c r="V28" s="774" t="s">
        <v>17</v>
      </c>
      <c r="W28" s="775">
        <f t="shared" ref="W28:W40" si="14">J28</f>
        <v>100</v>
      </c>
      <c r="X28" s="1816"/>
      <c r="Y28" s="3172"/>
      <c r="Z28" s="1817">
        <f t="shared" ref="Z28:Z40" si="15">Q28</f>
        <v>111</v>
      </c>
      <c r="AA28" s="1814">
        <f t="shared" si="3"/>
        <v>1</v>
      </c>
      <c r="AB28" s="1814">
        <f t="shared" si="4"/>
        <v>1</v>
      </c>
      <c r="AC28" s="1814">
        <f t="shared" si="5"/>
        <v>1</v>
      </c>
    </row>
    <row r="29" spans="1:29" ht="15">
      <c r="A29" s="466" t="s">
        <v>2568</v>
      </c>
      <c r="B29" s="71" t="s">
        <v>2698</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307" t="s">
        <v>2570</v>
      </c>
      <c r="Q29" s="1813" t="str">
        <f t="shared" si="11"/>
        <v>建筑类型</v>
      </c>
      <c r="R29" s="774" t="s">
        <v>17</v>
      </c>
      <c r="S29" s="775">
        <f t="shared" si="12"/>
        <v>100</v>
      </c>
      <c r="T29" s="774" t="s">
        <v>17</v>
      </c>
      <c r="U29" s="775">
        <f t="shared" si="13"/>
        <v>100</v>
      </c>
      <c r="V29" s="774" t="s">
        <v>17</v>
      </c>
      <c r="W29" s="775">
        <f t="shared" si="14"/>
        <v>100</v>
      </c>
      <c r="X29" s="1816"/>
      <c r="Y29" s="3176" t="s">
        <v>2570</v>
      </c>
      <c r="Z29" s="1817" t="str">
        <f t="shared" si="15"/>
        <v>建筑类型</v>
      </c>
      <c r="AA29" s="1814">
        <f t="shared" si="3"/>
        <v>1</v>
      </c>
      <c r="AB29" s="1814">
        <f t="shared" si="4"/>
        <v>1</v>
      </c>
      <c r="AC29" s="1814">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6"/>
      <c r="Q30" s="776" t="str">
        <f t="shared" si="11"/>
        <v>项目建筑规模</v>
      </c>
      <c r="R30" s="777" t="s">
        <v>17</v>
      </c>
      <c r="S30" s="778" t="e">
        <f t="shared" si="12"/>
        <v>#N/A</v>
      </c>
      <c r="T30" s="777" t="s">
        <v>17</v>
      </c>
      <c r="U30" s="778" t="e">
        <f t="shared" si="13"/>
        <v>#N/A</v>
      </c>
      <c r="V30" s="777" t="s">
        <v>17</v>
      </c>
      <c r="W30" s="778" t="e">
        <f t="shared" si="14"/>
        <v>#N/A</v>
      </c>
      <c r="X30" s="779"/>
      <c r="Y30" s="3176"/>
      <c r="Z30" s="780" t="str">
        <f t="shared" si="15"/>
        <v>项目建筑规模</v>
      </c>
      <c r="AA30" s="1814" t="e">
        <f t="shared" si="3"/>
        <v>#N/A</v>
      </c>
      <c r="AB30" s="1814" t="e">
        <f t="shared" si="4"/>
        <v>#N/A</v>
      </c>
      <c r="AC30" s="1814"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6"/>
      <c r="Q31" s="1813" t="str">
        <f t="shared" si="11"/>
        <v>建筑结构</v>
      </c>
      <c r="R31" s="774" t="s">
        <v>17</v>
      </c>
      <c r="S31" s="775">
        <f t="shared" si="12"/>
        <v>100</v>
      </c>
      <c r="T31" s="774" t="s">
        <v>17</v>
      </c>
      <c r="U31" s="775">
        <f t="shared" si="13"/>
        <v>100</v>
      </c>
      <c r="V31" s="774" t="s">
        <v>17</v>
      </c>
      <c r="W31" s="775">
        <f t="shared" si="14"/>
        <v>100</v>
      </c>
      <c r="X31" s="1816"/>
      <c r="Y31" s="3176"/>
      <c r="Z31" s="1817" t="str">
        <f t="shared" si="15"/>
        <v>建筑结构</v>
      </c>
      <c r="AA31" s="1814">
        <f t="shared" si="3"/>
        <v>1</v>
      </c>
      <c r="AB31" s="1814">
        <f t="shared" si="4"/>
        <v>1</v>
      </c>
      <c r="AC31" s="1814">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6"/>
      <c r="Q32" s="1813" t="str">
        <f t="shared" si="11"/>
        <v>公共部分装修</v>
      </c>
      <c r="R32" s="774" t="s">
        <v>17</v>
      </c>
      <c r="S32" s="775">
        <f t="shared" si="12"/>
        <v>100</v>
      </c>
      <c r="T32" s="774" t="s">
        <v>17</v>
      </c>
      <c r="U32" s="775">
        <f t="shared" si="13"/>
        <v>100</v>
      </c>
      <c r="V32" s="774" t="s">
        <v>17</v>
      </c>
      <c r="W32" s="775">
        <f t="shared" si="14"/>
        <v>100</v>
      </c>
      <c r="X32" s="1816"/>
      <c r="Y32" s="3176"/>
      <c r="Z32" s="1817" t="str">
        <f t="shared" si="15"/>
        <v>公共部分装修</v>
      </c>
      <c r="AA32" s="1814">
        <f t="shared" si="3"/>
        <v>1</v>
      </c>
      <c r="AB32" s="1814">
        <f t="shared" si="4"/>
        <v>1</v>
      </c>
      <c r="AC32" s="1814">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6"/>
      <c r="Q33" s="1813" t="str">
        <f t="shared" si="11"/>
        <v>成新度</v>
      </c>
      <c r="R33" s="774" t="s">
        <v>17</v>
      </c>
      <c r="S33" s="775" t="e">
        <f t="shared" si="12"/>
        <v>#N/A</v>
      </c>
      <c r="T33" s="774" t="s">
        <v>17</v>
      </c>
      <c r="U33" s="775" t="e">
        <f t="shared" si="13"/>
        <v>#N/A</v>
      </c>
      <c r="V33" s="774" t="s">
        <v>17</v>
      </c>
      <c r="W33" s="775" t="e">
        <f t="shared" si="14"/>
        <v>#N/A</v>
      </c>
      <c r="X33" s="1816"/>
      <c r="Y33" s="3176"/>
      <c r="Z33" s="1817" t="str">
        <f t="shared" si="15"/>
        <v>成新度</v>
      </c>
      <c r="AA33" s="1814" t="e">
        <f t="shared" si="3"/>
        <v>#N/A</v>
      </c>
      <c r="AB33" s="1814" t="e">
        <f t="shared" si="4"/>
        <v>#N/A</v>
      </c>
      <c r="AC33" s="1814"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6"/>
      <c r="Q34" s="1798" t="str">
        <f t="shared" si="11"/>
        <v>物业管理</v>
      </c>
      <c r="R34" s="770" t="s">
        <v>17</v>
      </c>
      <c r="S34" s="771">
        <f t="shared" si="12"/>
        <v>100</v>
      </c>
      <c r="T34" s="770" t="s">
        <v>17</v>
      </c>
      <c r="U34" s="771">
        <f t="shared" si="13"/>
        <v>100</v>
      </c>
      <c r="V34" s="770" t="s">
        <v>17</v>
      </c>
      <c r="W34" s="771">
        <f t="shared" si="14"/>
        <v>100</v>
      </c>
      <c r="X34" s="772"/>
      <c r="Y34" s="3176"/>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6" t="s">
        <v>2570</v>
      </c>
      <c r="Q35" s="1813" t="str">
        <f t="shared" si="11"/>
        <v>市政基础设施</v>
      </c>
      <c r="R35" s="774" t="s">
        <v>17</v>
      </c>
      <c r="S35" s="775">
        <f t="shared" si="12"/>
        <v>100</v>
      </c>
      <c r="T35" s="774" t="s">
        <v>17</v>
      </c>
      <c r="U35" s="775">
        <f t="shared" si="13"/>
        <v>100</v>
      </c>
      <c r="V35" s="774" t="s">
        <v>17</v>
      </c>
      <c r="W35" s="775">
        <f t="shared" si="14"/>
        <v>100</v>
      </c>
      <c r="X35" s="1816"/>
      <c r="Y35" s="3176" t="s">
        <v>2570</v>
      </c>
      <c r="Z35" s="1817" t="str">
        <f t="shared" si="15"/>
        <v>市政基础设施</v>
      </c>
      <c r="AA35" s="1814">
        <f t="shared" si="3"/>
        <v>1</v>
      </c>
      <c r="AB35" s="1814">
        <f t="shared" si="4"/>
        <v>1</v>
      </c>
      <c r="AC35" s="1814">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6"/>
      <c r="Q36" s="1813" t="str">
        <f t="shared" si="11"/>
        <v>内部装修</v>
      </c>
      <c r="R36" s="774" t="s">
        <v>17</v>
      </c>
      <c r="S36" s="775">
        <f t="shared" si="12"/>
        <v>100</v>
      </c>
      <c r="T36" s="774" t="s">
        <v>17</v>
      </c>
      <c r="U36" s="775">
        <f t="shared" si="13"/>
        <v>100</v>
      </c>
      <c r="V36" s="774" t="s">
        <v>17</v>
      </c>
      <c r="W36" s="775">
        <f t="shared" si="14"/>
        <v>100</v>
      </c>
      <c r="X36" s="1816"/>
      <c r="Y36" s="3176"/>
      <c r="Z36" s="1817" t="str">
        <f t="shared" si="15"/>
        <v>内部装修</v>
      </c>
      <c r="AA36" s="1814">
        <f t="shared" si="3"/>
        <v>1</v>
      </c>
      <c r="AB36" s="1814">
        <f t="shared" si="4"/>
        <v>1</v>
      </c>
      <c r="AC36" s="1814">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6"/>
      <c r="Q37" s="1813" t="str">
        <f t="shared" si="11"/>
        <v>内部装修状况</v>
      </c>
      <c r="R37" s="774" t="s">
        <v>17</v>
      </c>
      <c r="S37" s="775">
        <f t="shared" si="12"/>
        <v>100</v>
      </c>
      <c r="T37" s="774" t="s">
        <v>17</v>
      </c>
      <c r="U37" s="775">
        <f t="shared" si="13"/>
        <v>100</v>
      </c>
      <c r="V37" s="774" t="s">
        <v>17</v>
      </c>
      <c r="W37" s="775">
        <f t="shared" si="14"/>
        <v>100</v>
      </c>
      <c r="X37" s="1816"/>
      <c r="Y37" s="317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6"/>
      <c r="Q38" s="776">
        <f t="shared" si="11"/>
        <v>111</v>
      </c>
      <c r="R38" s="777" t="s">
        <v>17</v>
      </c>
      <c r="S38" s="778">
        <f t="shared" si="12"/>
        <v>100</v>
      </c>
      <c r="T38" s="777" t="s">
        <v>17</v>
      </c>
      <c r="U38" s="778">
        <f t="shared" si="13"/>
        <v>100</v>
      </c>
      <c r="V38" s="777" t="s">
        <v>17</v>
      </c>
      <c r="W38" s="778">
        <f t="shared" si="14"/>
        <v>100</v>
      </c>
      <c r="X38" s="779"/>
      <c r="Y38" s="317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6"/>
      <c r="Q39" s="1813">
        <f t="shared" si="11"/>
        <v>111</v>
      </c>
      <c r="R39" s="774" t="s">
        <v>17</v>
      </c>
      <c r="S39" s="775">
        <f t="shared" si="12"/>
        <v>100</v>
      </c>
      <c r="T39" s="774" t="s">
        <v>17</v>
      </c>
      <c r="U39" s="775">
        <f t="shared" si="13"/>
        <v>100</v>
      </c>
      <c r="V39" s="774" t="s">
        <v>17</v>
      </c>
      <c r="W39" s="775">
        <f t="shared" si="14"/>
        <v>100</v>
      </c>
      <c r="X39" s="1816"/>
      <c r="Y39" s="3176"/>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77"/>
      <c r="Q40" s="1813">
        <f t="shared" si="11"/>
        <v>111</v>
      </c>
      <c r="R40" s="774" t="s">
        <v>17</v>
      </c>
      <c r="S40" s="775">
        <f t="shared" si="12"/>
        <v>100</v>
      </c>
      <c r="T40" s="774" t="s">
        <v>17</v>
      </c>
      <c r="U40" s="775">
        <f t="shared" si="13"/>
        <v>100</v>
      </c>
      <c r="V40" s="774" t="s">
        <v>17</v>
      </c>
      <c r="W40" s="775">
        <f t="shared" si="14"/>
        <v>100</v>
      </c>
      <c r="X40" s="1816"/>
      <c r="Y40" s="3177"/>
      <c r="Z40" s="1817">
        <f t="shared" si="15"/>
        <v>111</v>
      </c>
      <c r="AA40" s="1814">
        <f t="shared" si="3"/>
        <v>1</v>
      </c>
      <c r="AB40" s="1814">
        <f t="shared" si="4"/>
        <v>1</v>
      </c>
      <c r="AC40" s="1814">
        <f t="shared" si="5"/>
        <v>1</v>
      </c>
    </row>
    <row r="41" spans="1:29" ht="15">
      <c r="A41" s="479" t="s">
        <v>2582</v>
      </c>
      <c r="B41" s="480"/>
      <c r="C41" s="1410" t="s">
        <v>1</v>
      </c>
      <c r="D41" s="1411"/>
      <c r="E41" s="1412"/>
      <c r="F41" s="1413"/>
      <c r="G41" s="1414"/>
      <c r="H41" s="1415"/>
      <c r="I41" s="1412"/>
      <c r="J41" s="1415"/>
      <c r="K41" s="783"/>
      <c r="L41" s="1146"/>
      <c r="M41" s="1147"/>
      <c r="N41" s="1134"/>
      <c r="O41" s="1147"/>
      <c r="P41" s="3169" t="str">
        <f>A41</f>
        <v>成交单价（元/平方米）</v>
      </c>
      <c r="Q41" s="3169"/>
      <c r="R41" s="3170">
        <f>E41</f>
        <v>0</v>
      </c>
      <c r="S41" s="3170"/>
      <c r="T41" s="3170">
        <f>G41</f>
        <v>0</v>
      </c>
      <c r="U41" s="3170"/>
      <c r="V41" s="3170">
        <f>I41</f>
        <v>0</v>
      </c>
      <c r="W41" s="3170"/>
      <c r="X41" s="759"/>
      <c r="Y41" s="781"/>
      <c r="Z41" s="759"/>
      <c r="AA41" s="759"/>
      <c r="AB41" s="759"/>
      <c r="AC41" s="759"/>
    </row>
    <row r="42" spans="1:29" ht="15.75" thickBot="1">
      <c r="A42" s="486" t="s">
        <v>2674</v>
      </c>
      <c r="B42" s="487"/>
      <c r="C42" s="1416" t="e">
        <f>R43</f>
        <v>#DIV/0!</v>
      </c>
      <c r="D42" s="1417"/>
      <c r="E42" s="1418" t="e">
        <f>R42</f>
        <v>#DIV/0!</v>
      </c>
      <c r="F42" s="1418"/>
      <c r="G42" s="1416" t="e">
        <f>T42</f>
        <v>#DIV/0!</v>
      </c>
      <c r="H42" s="1417"/>
      <c r="I42" s="1418" t="e">
        <f>V42</f>
        <v>#DIV/0!</v>
      </c>
      <c r="J42" s="1417"/>
      <c r="K42" s="784"/>
      <c r="L42" s="1146"/>
      <c r="M42" s="1147"/>
      <c r="N42" s="1134"/>
      <c r="O42" s="1147"/>
      <c r="P42" s="3169" t="str">
        <f>A42</f>
        <v>比较价值（元/平方米）</v>
      </c>
      <c r="Q42" s="3169"/>
      <c r="R42" s="3170" t="e">
        <f>IF(F1="售价",ROUND(PRODUCT(R41,AA7:AA40),0),ROUND(PRODUCT(R41,AA7:AA40),1))</f>
        <v>#DIV/0!</v>
      </c>
      <c r="S42" s="3170"/>
      <c r="T42" s="3170" t="e">
        <f>IF(F1="售价",ROUND(PRODUCT(T41,AB7:AB40),0),ROUND(PRODUCT(T41,AB7:AB40),1))</f>
        <v>#DIV/0!</v>
      </c>
      <c r="U42" s="3170"/>
      <c r="V42" s="3170" t="e">
        <f>IF(F1="售价",ROUND(PRODUCT(V41,AC7:AC40),0),ROUND(PRODUCT(V41,AC7:AC40),1))</f>
        <v>#DIV/0!</v>
      </c>
      <c r="W42" s="3170"/>
      <c r="X42" s="759"/>
      <c r="Y42" s="759"/>
      <c r="Z42" s="759"/>
      <c r="AA42" s="759"/>
      <c r="AB42" s="759"/>
      <c r="AC42" s="759"/>
    </row>
    <row r="43" spans="1:29" ht="15.75" thickBot="1">
      <c r="A43" s="492" t="s">
        <v>2675</v>
      </c>
      <c r="B43" s="493"/>
      <c r="C43" s="1420" t="e">
        <f>R43</f>
        <v>#DIV/0!</v>
      </c>
      <c r="D43" s="1420"/>
      <c r="E43" s="1420"/>
      <c r="F43" s="1420"/>
      <c r="G43" s="1420"/>
      <c r="H43" s="1420"/>
      <c r="I43" s="1420"/>
      <c r="J43" s="1420"/>
      <c r="K43" s="785"/>
      <c r="L43" s="1146"/>
      <c r="M43" s="1147"/>
      <c r="N43" s="1147"/>
      <c r="O43" s="1147"/>
      <c r="P43" s="3166" t="str">
        <f>A43</f>
        <v>估价对象XX用房的比较价值（楼面单价，元/平方米）</v>
      </c>
      <c r="Q43" s="3167"/>
      <c r="R43" s="3168" t="e">
        <f>IF(F1="售价",ROUND(AVERAGE(R42:V42),0),ROUND(AVERAGE(R42:V42),1))</f>
        <v>#DIV/0!</v>
      </c>
      <c r="S43" s="3168"/>
      <c r="T43" s="3168"/>
      <c r="U43" s="3168"/>
      <c r="V43" s="3168"/>
      <c r="W43" s="316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7" t="str">
        <f>YEAR(C7)&amp;"-"&amp;MONTH(C7)</f>
        <v>2018-6</v>
      </c>
      <c r="D52" s="1578">
        <f>EDATE(C52,-1)</f>
        <v>43221</v>
      </c>
      <c r="E52" s="1578">
        <f t="shared" ref="E52:O52" si="16">EDATE(D52,-1)</f>
        <v>43191</v>
      </c>
      <c r="F52" s="1578">
        <f t="shared" si="16"/>
        <v>43160</v>
      </c>
      <c r="G52" s="1578">
        <f t="shared" si="16"/>
        <v>43132</v>
      </c>
      <c r="H52" s="1578">
        <f t="shared" si="16"/>
        <v>43101</v>
      </c>
      <c r="I52" s="1578">
        <f t="shared" si="16"/>
        <v>43070</v>
      </c>
      <c r="J52" s="1578">
        <f t="shared" si="16"/>
        <v>43040</v>
      </c>
      <c r="K52" s="1578">
        <f t="shared" si="16"/>
        <v>43009</v>
      </c>
      <c r="L52" s="1578">
        <f t="shared" si="16"/>
        <v>42979</v>
      </c>
      <c r="M52" s="1578">
        <f t="shared" si="16"/>
        <v>42948</v>
      </c>
      <c r="N52" s="1578">
        <f t="shared" si="16"/>
        <v>42917</v>
      </c>
      <c r="O52" s="1578">
        <f t="shared" si="16"/>
        <v>42887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2568</v>
      </c>
      <c r="B88" s="528" t="s">
        <v>2617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4" sqref="C14"/>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25"/>
      <c r="F1" s="2591"/>
      <c r="G1" s="1626" t="s">
        <v>2648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2332</v>
      </c>
      <c r="B2" s="1421" t="e">
        <f ca="1">IF(C2="——",IF(B37="元/平方米",ROUND(C39*D3/10000,0),ROUND(F3*C39/10000,0)),IF(B37="元/平方米",ROUND(C39*D3/10000,0),ROUND(F3*C39/10000,0))-D2)</f>
        <v>#DIV/0!</v>
      </c>
      <c r="C2" s="2593"/>
      <c r="D2" s="1127" t="e">
        <f ca="1">SUMIF(INDIRECT("'"&amp;F2&amp;"'"&amp;"!A:A"),"承租人权益价值",INDIRECT("'"&amp;F2&amp;"'"&amp;"!c:c"))</f>
        <v>#REF!</v>
      </c>
      <c r="E2" s="2594" t="s">
        <v>2333</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2650</v>
      </c>
      <c r="B4" s="402"/>
      <c r="C4" s="3184" t="s">
        <v>2651</v>
      </c>
      <c r="D4" s="3185"/>
      <c r="E4" s="3186" t="s">
        <v>2652</v>
      </c>
      <c r="F4" s="3187"/>
      <c r="G4" s="3184" t="s">
        <v>2653</v>
      </c>
      <c r="H4" s="3185"/>
      <c r="I4" s="3184" t="s">
        <v>2654</v>
      </c>
      <c r="J4" s="3185"/>
      <c r="K4" s="610" t="s">
        <v>2655</v>
      </c>
      <c r="L4" s="1133"/>
      <c r="M4" s="1134"/>
      <c r="N4" s="1134"/>
      <c r="O4" s="1134"/>
      <c r="P4" s="3188" t="s">
        <v>2656</v>
      </c>
      <c r="Q4" s="3189"/>
      <c r="R4" s="3194" t="s">
        <v>2652</v>
      </c>
      <c r="S4" s="3195"/>
      <c r="T4" s="3194" t="s">
        <v>2653</v>
      </c>
      <c r="U4" s="3195"/>
      <c r="V4" s="3200" t="s">
        <v>2654</v>
      </c>
      <c r="W4" s="3200"/>
      <c r="X4" s="1816"/>
      <c r="Y4" s="3194" t="s">
        <v>2656</v>
      </c>
      <c r="Z4" s="3195"/>
      <c r="AA4" s="3181" t="s">
        <v>2652</v>
      </c>
      <c r="AB4" s="3182" t="s">
        <v>2653</v>
      </c>
      <c r="AC4" s="3181" t="s">
        <v>2654</v>
      </c>
    </row>
    <row r="5" spans="1:29" ht="15">
      <c r="A5" s="404"/>
      <c r="B5" s="405"/>
      <c r="C5" s="3208" t="s">
        <v>2547</v>
      </c>
      <c r="D5" s="3204"/>
      <c r="E5" s="3291" t="s">
        <v>2548</v>
      </c>
      <c r="F5" s="3212"/>
      <c r="G5" s="3208" t="s">
        <v>2549</v>
      </c>
      <c r="H5" s="3204"/>
      <c r="I5" s="3208" t="s">
        <v>2550</v>
      </c>
      <c r="J5" s="3204"/>
      <c r="K5" s="610"/>
      <c r="L5" s="1133"/>
      <c r="M5" s="1134"/>
      <c r="N5" s="1134"/>
      <c r="O5" s="1134"/>
      <c r="P5" s="3190"/>
      <c r="Q5" s="3191"/>
      <c r="R5" s="3196"/>
      <c r="S5" s="3197"/>
      <c r="T5" s="3196"/>
      <c r="U5" s="3197"/>
      <c r="V5" s="3200"/>
      <c r="W5" s="3200"/>
      <c r="X5" s="1816"/>
      <c r="Y5" s="3196"/>
      <c r="Z5" s="3197"/>
      <c r="AA5" s="3182"/>
      <c r="AB5" s="3182"/>
      <c r="AC5" s="3182"/>
    </row>
    <row r="6" spans="1:29" ht="15.75" thickBot="1">
      <c r="A6" s="406"/>
      <c r="B6" s="407"/>
      <c r="C6" s="3201" t="s">
        <v>2551</v>
      </c>
      <c r="D6" s="3202"/>
      <c r="E6" s="3209" t="s">
        <v>2551</v>
      </c>
      <c r="F6" s="3210"/>
      <c r="G6" s="3201" t="s">
        <v>2551</v>
      </c>
      <c r="H6" s="3202"/>
      <c r="I6" s="3201" t="s">
        <v>2551</v>
      </c>
      <c r="J6" s="3202"/>
      <c r="K6" s="610" t="s">
        <v>2552</v>
      </c>
      <c r="L6" s="1133"/>
      <c r="M6" s="1134"/>
      <c r="N6" s="1134"/>
      <c r="O6" s="1134"/>
      <c r="P6" s="3192"/>
      <c r="Q6" s="3193"/>
      <c r="R6" s="3196"/>
      <c r="S6" s="3197"/>
      <c r="T6" s="3198"/>
      <c r="U6" s="3199"/>
      <c r="V6" s="3200"/>
      <c r="W6" s="3200"/>
      <c r="X6" s="1816"/>
      <c r="Y6" s="3198"/>
      <c r="Z6" s="3199"/>
      <c r="AA6" s="3183"/>
      <c r="AB6" s="3183"/>
      <c r="AC6" s="3183"/>
    </row>
    <row r="7" spans="1:29" s="117" customFormat="1" ht="15.75" thickBot="1">
      <c r="A7" s="408" t="s">
        <v>2553</v>
      </c>
      <c r="B7" s="409"/>
      <c r="C7" s="410">
        <f>'数据-取费表'!B2</f>
        <v>43280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5" t="s">
        <v>2554</v>
      </c>
      <c r="Q7" s="3207"/>
      <c r="R7" s="770" t="s">
        <v>17</v>
      </c>
      <c r="S7" s="771">
        <f t="shared" ref="S7:S14" si="0">F7</f>
        <v>0</v>
      </c>
      <c r="T7" s="770" t="s">
        <v>17</v>
      </c>
      <c r="U7" s="771">
        <f t="shared" ref="U7:U14" si="1">H7</f>
        <v>0</v>
      </c>
      <c r="V7" s="770" t="s">
        <v>17</v>
      </c>
      <c r="W7" s="771">
        <f t="shared" ref="W7:W14" si="2">J7</f>
        <v>0</v>
      </c>
      <c r="X7" s="772"/>
      <c r="Y7" s="3205" t="s">
        <v>2554</v>
      </c>
      <c r="Z7" s="3206"/>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5" t="s">
        <v>2557</v>
      </c>
      <c r="Q8" s="3206"/>
      <c r="R8" s="770" t="s">
        <v>17</v>
      </c>
      <c r="S8" s="771">
        <f t="shared" si="0"/>
        <v>0</v>
      </c>
      <c r="T8" s="770" t="s">
        <v>17</v>
      </c>
      <c r="U8" s="771">
        <f t="shared" si="1"/>
        <v>0</v>
      </c>
      <c r="V8" s="770" t="s">
        <v>17</v>
      </c>
      <c r="W8" s="771">
        <f t="shared" si="2"/>
        <v>0</v>
      </c>
      <c r="X8" s="772"/>
      <c r="Y8" s="3205" t="s">
        <v>2557</v>
      </c>
      <c r="Z8" s="3206"/>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9" t="s">
        <v>2560</v>
      </c>
      <c r="Q9" s="1798" t="str">
        <f t="shared" ref="Q9:Q14" si="6">B9</f>
        <v>用途</v>
      </c>
      <c r="R9" s="770" t="s">
        <v>17</v>
      </c>
      <c r="S9" s="771">
        <f t="shared" si="0"/>
        <v>100</v>
      </c>
      <c r="T9" s="770" t="s">
        <v>17</v>
      </c>
      <c r="U9" s="771">
        <f t="shared" si="1"/>
        <v>100</v>
      </c>
      <c r="V9" s="770" t="s">
        <v>17</v>
      </c>
      <c r="W9" s="771">
        <f t="shared" si="2"/>
        <v>100</v>
      </c>
      <c r="X9" s="772"/>
      <c r="Y9" s="3024"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9"/>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9"/>
      <c r="Q11" s="1798">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01" t="s">
        <v>2564</v>
      </c>
      <c r="B14" s="629" t="s">
        <v>2714</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1" t="s">
        <v>2565</v>
      </c>
      <c r="Q14" s="1813" t="str">
        <f t="shared" si="6"/>
        <v>交通便捷度</v>
      </c>
      <c r="R14" s="774" t="s">
        <v>17</v>
      </c>
      <c r="S14" s="775">
        <f t="shared" si="0"/>
        <v>100</v>
      </c>
      <c r="T14" s="774" t="s">
        <v>17</v>
      </c>
      <c r="U14" s="775">
        <f t="shared" si="1"/>
        <v>100</v>
      </c>
      <c r="V14" s="774" t="s">
        <v>17</v>
      </c>
      <c r="W14" s="775">
        <f t="shared" si="2"/>
        <v>100</v>
      </c>
      <c r="X14" s="1816"/>
      <c r="Y14" s="3171" t="s">
        <v>2565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2"/>
      <c r="Q15" s="1813"/>
      <c r="R15" s="774"/>
      <c r="S15" s="775"/>
      <c r="T15" s="774"/>
      <c r="U15" s="775"/>
      <c r="V15" s="774"/>
      <c r="W15" s="775"/>
      <c r="X15" s="1816"/>
      <c r="Y15" s="3172"/>
      <c r="Z15" s="1817"/>
      <c r="AA15" s="1814">
        <v>1</v>
      </c>
      <c r="AB15" s="1814">
        <v>1</v>
      </c>
      <c r="AC15" s="1814">
        <v>1</v>
      </c>
    </row>
    <row r="16" spans="1:29" ht="42.75">
      <c r="A16" s="404"/>
      <c r="B16" s="631" t="s">
        <v>2693</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2"/>
      <c r="Q16" s="1813" t="str">
        <f>B16</f>
        <v>公共配套设施</v>
      </c>
      <c r="R16" s="774" t="s">
        <v>17</v>
      </c>
      <c r="S16" s="775">
        <f>F16</f>
        <v>100</v>
      </c>
      <c r="T16" s="774" t="s">
        <v>17</v>
      </c>
      <c r="U16" s="775">
        <f>H16</f>
        <v>100</v>
      </c>
      <c r="V16" s="774" t="s">
        <v>17</v>
      </c>
      <c r="W16" s="775">
        <f>J16</f>
        <v>100</v>
      </c>
      <c r="X16" s="1816"/>
      <c r="Y16" s="3172"/>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72"/>
      <c r="Q17" s="1813"/>
      <c r="R17" s="774"/>
      <c r="S17" s="775"/>
      <c r="T17" s="774"/>
      <c r="U17" s="775"/>
      <c r="V17" s="774"/>
      <c r="W17" s="775"/>
      <c r="X17" s="1816"/>
      <c r="Y17" s="3172"/>
      <c r="Z17" s="1817"/>
      <c r="AA17" s="1814">
        <v>1</v>
      </c>
      <c r="AB17" s="1814">
        <v>1</v>
      </c>
      <c r="AC17" s="1814">
        <v>1</v>
      </c>
    </row>
    <row r="18" spans="1:29" ht="28.5">
      <c r="A18" s="404"/>
      <c r="B18" s="633" t="s">
        <v>2694</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2"/>
      <c r="Q18" s="1813" t="str">
        <f>B18</f>
        <v>基础设施水平</v>
      </c>
      <c r="R18" s="774" t="s">
        <v>17</v>
      </c>
      <c r="S18" s="775">
        <f>F18</f>
        <v>100</v>
      </c>
      <c r="T18" s="774" t="s">
        <v>17</v>
      </c>
      <c r="U18" s="775">
        <f>H18</f>
        <v>100</v>
      </c>
      <c r="V18" s="774" t="s">
        <v>17</v>
      </c>
      <c r="W18" s="775">
        <f>J18</f>
        <v>100</v>
      </c>
      <c r="X18" s="1816"/>
      <c r="Y18" s="3172"/>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72"/>
      <c r="Q19" s="1813"/>
      <c r="R19" s="774"/>
      <c r="S19" s="775"/>
      <c r="T19" s="774"/>
      <c r="U19" s="775"/>
      <c r="V19" s="774"/>
      <c r="W19" s="775"/>
      <c r="X19" s="1816"/>
      <c r="Y19" s="3172"/>
      <c r="Z19" s="1817"/>
      <c r="AA19" s="1814">
        <v>1</v>
      </c>
      <c r="AB19" s="1814">
        <v>1</v>
      </c>
      <c r="AC19" s="1814">
        <v>1</v>
      </c>
    </row>
    <row r="20" spans="1:29" ht="57">
      <c r="A20" s="404"/>
      <c r="B20" s="631" t="s">
        <v>2715</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2"/>
      <c r="Q20" s="1813" t="str">
        <f>B20</f>
        <v>自然及人文环境</v>
      </c>
      <c r="R20" s="774" t="s">
        <v>17</v>
      </c>
      <c r="S20" s="775">
        <f>F20</f>
        <v>100</v>
      </c>
      <c r="T20" s="774" t="s">
        <v>17</v>
      </c>
      <c r="U20" s="775">
        <f>H20</f>
        <v>100</v>
      </c>
      <c r="V20" s="774" t="s">
        <v>17</v>
      </c>
      <c r="W20" s="775">
        <f>J20</f>
        <v>100</v>
      </c>
      <c r="X20" s="1816"/>
      <c r="Y20" s="317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2"/>
      <c r="Q21" s="1813"/>
      <c r="R21" s="774"/>
      <c r="S21" s="775"/>
      <c r="T21" s="774"/>
      <c r="U21" s="775"/>
      <c r="V21" s="774"/>
      <c r="W21" s="775"/>
      <c r="X21" s="1816"/>
      <c r="Y21" s="3172"/>
      <c r="Z21" s="1817"/>
      <c r="AA21" s="1814">
        <v>1</v>
      </c>
      <c r="AB21" s="1814">
        <v>1</v>
      </c>
      <c r="AC21" s="1814">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2"/>
      <c r="Q22" s="1813" t="str">
        <f>B22</f>
        <v>楼层</v>
      </c>
      <c r="R22" s="774" t="s">
        <v>17</v>
      </c>
      <c r="S22" s="775">
        <f>F22</f>
        <v>100</v>
      </c>
      <c r="T22" s="774" t="s">
        <v>17</v>
      </c>
      <c r="U22" s="775">
        <f>H22</f>
        <v>100</v>
      </c>
      <c r="V22" s="774" t="s">
        <v>17</v>
      </c>
      <c r="W22" s="775">
        <f>J22</f>
        <v>100</v>
      </c>
      <c r="X22" s="1816"/>
      <c r="Y22" s="317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2"/>
      <c r="Q23" s="1813">
        <f>B23</f>
        <v>111</v>
      </c>
      <c r="R23" s="774" t="s">
        <v>17</v>
      </c>
      <c r="S23" s="775">
        <f>F23</f>
        <v>100</v>
      </c>
      <c r="T23" s="774" t="s">
        <v>17</v>
      </c>
      <c r="U23" s="775">
        <f>H23</f>
        <v>100</v>
      </c>
      <c r="V23" s="774" t="s">
        <v>17</v>
      </c>
      <c r="W23" s="775">
        <f>J23</f>
        <v>100</v>
      </c>
      <c r="X23" s="1816"/>
      <c r="Y23" s="317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2"/>
      <c r="Q24" s="1813">
        <f t="shared" ref="Q24:Q36" si="11">B24</f>
        <v>111</v>
      </c>
      <c r="R24" s="774" t="s">
        <v>17</v>
      </c>
      <c r="S24" s="775">
        <f>F24</f>
        <v>100</v>
      </c>
      <c r="T24" s="774" t="s">
        <v>17</v>
      </c>
      <c r="U24" s="775">
        <f>H24</f>
        <v>100</v>
      </c>
      <c r="V24" s="774" t="s">
        <v>17</v>
      </c>
      <c r="W24" s="775">
        <f>J24</f>
        <v>100</v>
      </c>
      <c r="X24" s="1816"/>
      <c r="Y24" s="317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2"/>
      <c r="Q25" s="1798">
        <f t="shared" si="11"/>
        <v>111</v>
      </c>
      <c r="R25" s="770" t="s">
        <v>17</v>
      </c>
      <c r="S25" s="771">
        <f>F25</f>
        <v>100</v>
      </c>
      <c r="T25" s="770" t="s">
        <v>17</v>
      </c>
      <c r="U25" s="771">
        <f>H25</f>
        <v>100</v>
      </c>
      <c r="V25" s="770" t="s">
        <v>17</v>
      </c>
      <c r="W25" s="771">
        <f>J25</f>
        <v>100</v>
      </c>
      <c r="X25" s="772"/>
      <c r="Y25" s="3172"/>
      <c r="Z25" s="55">
        <f>Q25</f>
        <v>111</v>
      </c>
      <c r="AA25" s="1814">
        <f>D25/F25</f>
        <v>1</v>
      </c>
      <c r="AB25" s="1814">
        <f>D25/H25</f>
        <v>1</v>
      </c>
      <c r="AC25" s="1814">
        <f>D25/J25</f>
        <v>1</v>
      </c>
    </row>
    <row r="26" spans="1:29" ht="15">
      <c r="A26" s="652" t="s">
        <v>2568</v>
      </c>
      <c r="B26" s="70" t="s">
        <v>2717</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07" t="s">
        <v>2570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6" t="s">
        <v>2570</v>
      </c>
      <c r="Z26" s="1817" t="str">
        <f t="shared" ref="Z26:Z36" si="15">Q26</f>
        <v>配套类型</v>
      </c>
      <c r="AA26" s="1814">
        <f t="shared" si="3"/>
        <v>1</v>
      </c>
      <c r="AB26" s="1814">
        <f t="shared" si="4"/>
        <v>1</v>
      </c>
      <c r="AC26" s="1814">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6"/>
      <c r="Q27" s="776" t="str">
        <f t="shared" si="11"/>
        <v>项目停车位配比</v>
      </c>
      <c r="R27" s="777" t="s">
        <v>17</v>
      </c>
      <c r="S27" s="778">
        <f t="shared" si="12"/>
        <v>100</v>
      </c>
      <c r="T27" s="777" t="s">
        <v>17</v>
      </c>
      <c r="U27" s="778">
        <f t="shared" si="13"/>
        <v>100</v>
      </c>
      <c r="V27" s="777" t="s">
        <v>17</v>
      </c>
      <c r="W27" s="778">
        <f t="shared" si="14"/>
        <v>100</v>
      </c>
      <c r="X27" s="779"/>
      <c r="Y27" s="3176"/>
      <c r="Z27" s="780" t="str">
        <f t="shared" si="15"/>
        <v>项目停车位配比</v>
      </c>
      <c r="AA27" s="1814">
        <f t="shared" si="3"/>
        <v>1</v>
      </c>
      <c r="AB27" s="1814">
        <f t="shared" si="4"/>
        <v>1</v>
      </c>
      <c r="AC27" s="1814">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6"/>
      <c r="Q28" s="1813" t="str">
        <f t="shared" si="11"/>
        <v>公共部分装修</v>
      </c>
      <c r="R28" s="774" t="s">
        <v>17</v>
      </c>
      <c r="S28" s="775">
        <f t="shared" si="12"/>
        <v>100</v>
      </c>
      <c r="T28" s="774" t="s">
        <v>17</v>
      </c>
      <c r="U28" s="775">
        <f t="shared" si="13"/>
        <v>100</v>
      </c>
      <c r="V28" s="774" t="s">
        <v>17</v>
      </c>
      <c r="W28" s="775">
        <f t="shared" si="14"/>
        <v>100</v>
      </c>
      <c r="X28" s="1816"/>
      <c r="Y28" s="3176"/>
      <c r="Z28" s="1817" t="str">
        <f t="shared" si="15"/>
        <v>公共部分装修</v>
      </c>
      <c r="AA28" s="1814">
        <f t="shared" si="3"/>
        <v>1</v>
      </c>
      <c r="AB28" s="1814">
        <f t="shared" si="4"/>
        <v>1</v>
      </c>
      <c r="AC28" s="1814">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6"/>
      <c r="Q29" s="1813" t="str">
        <f t="shared" si="11"/>
        <v>成新率</v>
      </c>
      <c r="R29" s="774" t="s">
        <v>17</v>
      </c>
      <c r="S29" s="775" t="e">
        <f t="shared" si="12"/>
        <v>#N/A</v>
      </c>
      <c r="T29" s="774" t="s">
        <v>17</v>
      </c>
      <c r="U29" s="775" t="e">
        <f t="shared" si="13"/>
        <v>#N/A</v>
      </c>
      <c r="V29" s="774" t="s">
        <v>17</v>
      </c>
      <c r="W29" s="775" t="e">
        <f t="shared" si="14"/>
        <v>#N/A</v>
      </c>
      <c r="X29" s="1816"/>
      <c r="Y29" s="3176"/>
      <c r="Z29" s="1817" t="str">
        <f t="shared" si="15"/>
        <v>成新率</v>
      </c>
      <c r="AA29" s="1814" t="e">
        <f t="shared" si="3"/>
        <v>#N/A</v>
      </c>
      <c r="AB29" s="1814" t="e">
        <f t="shared" si="4"/>
        <v>#N/A</v>
      </c>
      <c r="AC29" s="1814"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6"/>
      <c r="Q30" s="1813" t="str">
        <f t="shared" si="11"/>
        <v>物业等级</v>
      </c>
      <c r="R30" s="774" t="s">
        <v>17</v>
      </c>
      <c r="S30" s="775">
        <f t="shared" si="12"/>
        <v>100</v>
      </c>
      <c r="T30" s="774" t="s">
        <v>17</v>
      </c>
      <c r="U30" s="775">
        <f t="shared" si="13"/>
        <v>100</v>
      </c>
      <c r="V30" s="774" t="s">
        <v>17</v>
      </c>
      <c r="W30" s="775">
        <f t="shared" si="14"/>
        <v>100</v>
      </c>
      <c r="X30" s="1816"/>
      <c r="Y30" s="3176"/>
      <c r="Z30" s="1817" t="str">
        <f t="shared" si="15"/>
        <v>物业等级</v>
      </c>
      <c r="AA30" s="1814">
        <f t="shared" si="3"/>
        <v>1</v>
      </c>
      <c r="AB30" s="1814">
        <f t="shared" si="4"/>
        <v>1</v>
      </c>
      <c r="AC30" s="1814">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6"/>
      <c r="Q31" s="1798" t="str">
        <f t="shared" si="11"/>
        <v>停车位面积</v>
      </c>
      <c r="R31" s="770" t="s">
        <v>17</v>
      </c>
      <c r="S31" s="771" t="e">
        <f t="shared" si="12"/>
        <v>#N/A</v>
      </c>
      <c r="T31" s="770" t="s">
        <v>17</v>
      </c>
      <c r="U31" s="771" t="e">
        <f t="shared" si="13"/>
        <v>#N/A</v>
      </c>
      <c r="V31" s="770" t="s">
        <v>17</v>
      </c>
      <c r="W31" s="771" t="e">
        <f t="shared" si="14"/>
        <v>#N/A</v>
      </c>
      <c r="X31" s="772"/>
      <c r="Y31" s="3176"/>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6" t="s">
        <v>2570</v>
      </c>
      <c r="Q32" s="1813" t="str">
        <f t="shared" si="11"/>
        <v>车位类型</v>
      </c>
      <c r="R32" s="774" t="s">
        <v>17</v>
      </c>
      <c r="S32" s="775">
        <f t="shared" si="12"/>
        <v>100</v>
      </c>
      <c r="T32" s="774" t="s">
        <v>17</v>
      </c>
      <c r="U32" s="775">
        <f t="shared" si="13"/>
        <v>100</v>
      </c>
      <c r="V32" s="774" t="s">
        <v>17</v>
      </c>
      <c r="W32" s="775">
        <f t="shared" si="14"/>
        <v>100</v>
      </c>
      <c r="X32" s="1816"/>
      <c r="Y32" s="3176" t="s">
        <v>2570</v>
      </c>
      <c r="Z32" s="1817" t="str">
        <f t="shared" si="15"/>
        <v>车位类型</v>
      </c>
      <c r="AA32" s="1814">
        <f t="shared" si="3"/>
        <v>1</v>
      </c>
      <c r="AB32" s="1814">
        <f t="shared" si="4"/>
        <v>1</v>
      </c>
      <c r="AC32" s="1814">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6"/>
      <c r="Q33" s="1813" t="str">
        <f t="shared" si="11"/>
        <v>是否直接入户</v>
      </c>
      <c r="R33" s="774" t="s">
        <v>17</v>
      </c>
      <c r="S33" s="775">
        <f t="shared" si="12"/>
        <v>100</v>
      </c>
      <c r="T33" s="774" t="s">
        <v>17</v>
      </c>
      <c r="U33" s="775">
        <f t="shared" si="13"/>
        <v>100</v>
      </c>
      <c r="V33" s="774" t="s">
        <v>17</v>
      </c>
      <c r="W33" s="775">
        <f t="shared" si="14"/>
        <v>100</v>
      </c>
      <c r="X33" s="1816"/>
      <c r="Y33" s="317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6"/>
      <c r="Q34" s="1813">
        <f t="shared" si="11"/>
        <v>111</v>
      </c>
      <c r="R34" s="774" t="s">
        <v>17</v>
      </c>
      <c r="S34" s="775">
        <f t="shared" si="12"/>
        <v>100</v>
      </c>
      <c r="T34" s="774" t="s">
        <v>17</v>
      </c>
      <c r="U34" s="775">
        <f t="shared" si="13"/>
        <v>100</v>
      </c>
      <c r="V34" s="774" t="s">
        <v>17</v>
      </c>
      <c r="W34" s="775">
        <f t="shared" si="14"/>
        <v>100</v>
      </c>
      <c r="X34" s="1816"/>
      <c r="Y34" s="317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6"/>
      <c r="Q35" s="776">
        <f t="shared" si="11"/>
        <v>111</v>
      </c>
      <c r="R35" s="777" t="s">
        <v>17</v>
      </c>
      <c r="S35" s="778">
        <f t="shared" si="12"/>
        <v>100</v>
      </c>
      <c r="T35" s="777" t="s">
        <v>17</v>
      </c>
      <c r="U35" s="778">
        <f t="shared" si="13"/>
        <v>100</v>
      </c>
      <c r="V35" s="777" t="s">
        <v>17</v>
      </c>
      <c r="W35" s="778">
        <f t="shared" si="14"/>
        <v>100</v>
      </c>
      <c r="X35" s="779"/>
      <c r="Y35" s="317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6"/>
      <c r="Q36" s="1813">
        <f t="shared" si="11"/>
        <v>111</v>
      </c>
      <c r="R36" s="774" t="s">
        <v>17</v>
      </c>
      <c r="S36" s="775">
        <f t="shared" si="12"/>
        <v>100</v>
      </c>
      <c r="T36" s="774" t="s">
        <v>17</v>
      </c>
      <c r="U36" s="775">
        <f t="shared" si="13"/>
        <v>100</v>
      </c>
      <c r="V36" s="774" t="s">
        <v>17</v>
      </c>
      <c r="W36" s="775">
        <f t="shared" si="14"/>
        <v>100</v>
      </c>
      <c r="X36" s="1816"/>
      <c r="Y36" s="3176"/>
      <c r="Z36" s="1817">
        <f t="shared" si="15"/>
        <v>111</v>
      </c>
      <c r="AA36" s="1814">
        <f t="shared" si="3"/>
        <v>1</v>
      </c>
      <c r="AB36" s="1814">
        <f t="shared" si="4"/>
        <v>1</v>
      </c>
      <c r="AC36" s="1814">
        <f t="shared" si="5"/>
        <v>1</v>
      </c>
    </row>
    <row r="37" spans="1:29" ht="15">
      <c r="A37" s="479" t="s">
        <v>2725</v>
      </c>
      <c r="B37" s="2700" t="s">
        <v>2726</v>
      </c>
      <c r="C37" s="1410" t="s">
        <v>1</v>
      </c>
      <c r="D37" s="1411"/>
      <c r="E37" s="1412"/>
      <c r="F37" s="1413"/>
      <c r="G37" s="1414"/>
      <c r="H37" s="1415"/>
      <c r="I37" s="1412"/>
      <c r="J37" s="1415"/>
      <c r="K37" s="619"/>
      <c r="L37" s="1146"/>
      <c r="M37" s="1147"/>
      <c r="N37" s="1134"/>
      <c r="O37" s="1147"/>
      <c r="P37" s="3169" t="str">
        <f>A37</f>
        <v>成交单价</v>
      </c>
      <c r="Q37" s="3169"/>
      <c r="R37" s="3170">
        <f>E37</f>
        <v>0</v>
      </c>
      <c r="S37" s="3170"/>
      <c r="T37" s="3170">
        <f>G37</f>
        <v>0</v>
      </c>
      <c r="U37" s="3170"/>
      <c r="V37" s="3170">
        <f>I37</f>
        <v>0</v>
      </c>
      <c r="W37" s="3170"/>
      <c r="X37" s="759"/>
      <c r="Y37" s="781"/>
      <c r="Z37" s="759"/>
      <c r="AA37" s="759"/>
      <c r="AB37" s="759"/>
      <c r="AC37" s="759"/>
    </row>
    <row r="38" spans="1:29" ht="15.75" thickBot="1">
      <c r="A38" s="486" t="s">
        <v>2727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9" t="str">
        <f>A38</f>
        <v>比较价值（元/平方米）</v>
      </c>
      <c r="Q38" s="3169"/>
      <c r="R38" s="3170" t="e">
        <f>IF(F1="售价",ROUND(PRODUCT(R37,AA7:AA36),0),ROUND(PRODUCT(R37,AA7:AA36),1))</f>
        <v>#DIV/0!</v>
      </c>
      <c r="S38" s="3170"/>
      <c r="T38" s="3170" t="e">
        <f>IF(F1="售价",ROUND(PRODUCT(T37,AB7:AB36),0),ROUND(PRODUCT(T37,AB7:AB36),1))</f>
        <v>#DIV/0!</v>
      </c>
      <c r="U38" s="3170"/>
      <c r="V38" s="3170" t="e">
        <f>IF(F1="售价",ROUND(PRODUCT(V37,AC7:AC36),0),ROUND(PRODUCT(V37,AC7:AC36),1))</f>
        <v>#DIV/0!</v>
      </c>
      <c r="W38" s="3170"/>
      <c r="X38" s="759"/>
      <c r="Y38" s="759"/>
      <c r="Z38" s="759"/>
      <c r="AA38" s="759"/>
      <c r="AB38" s="759"/>
      <c r="AC38" s="759"/>
    </row>
    <row r="39" spans="1:29" ht="15.75" thickBot="1">
      <c r="A39" s="492" t="s">
        <v>2728</v>
      </c>
      <c r="B39" s="493"/>
      <c r="C39" s="1420" t="e">
        <f>R39</f>
        <v>#DIV/0!</v>
      </c>
      <c r="D39" s="1420"/>
      <c r="E39" s="1420"/>
      <c r="F39" s="1420"/>
      <c r="G39" s="1420"/>
      <c r="H39" s="1420"/>
      <c r="I39" s="1420"/>
      <c r="J39" s="1420"/>
      <c r="K39" s="621"/>
      <c r="L39" s="1146"/>
      <c r="M39" s="1147"/>
      <c r="N39" s="1147"/>
      <c r="O39" s="1147"/>
      <c r="P39" s="3166" t="str">
        <f>A39</f>
        <v>估价对象XX用房的比较价值（楼面单价，元/平方米）</v>
      </c>
      <c r="Q39" s="3167"/>
      <c r="R39" s="3168" t="e">
        <f>IF(F1="售价",ROUND(AVERAGE(R38:V38),0),ROUND(AVERAGE(R38:V38),1))</f>
        <v>#DIV/0!</v>
      </c>
      <c r="S39" s="3168"/>
      <c r="T39" s="3168"/>
      <c r="U39" s="3168"/>
      <c r="V39" s="3168"/>
      <c r="W39" s="316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2733</v>
      </c>
      <c r="B48" s="506"/>
      <c r="C48" s="1577" t="str">
        <f>YEAR(C7)&amp;"-"&amp;MONTH(C7)</f>
        <v>2018-6</v>
      </c>
      <c r="D48" s="1578">
        <f>EDATE(C48,-1)</f>
        <v>43221</v>
      </c>
      <c r="E48" s="1578">
        <f t="shared" ref="E48:O48" si="16">EDATE(D48,-1)</f>
        <v>43191</v>
      </c>
      <c r="F48" s="1578">
        <f t="shared" si="16"/>
        <v>43160</v>
      </c>
      <c r="G48" s="1578">
        <f t="shared" si="16"/>
        <v>43132</v>
      </c>
      <c r="H48" s="1578">
        <f t="shared" si="16"/>
        <v>43101</v>
      </c>
      <c r="I48" s="1578">
        <f t="shared" si="16"/>
        <v>43070</v>
      </c>
      <c r="J48" s="1578">
        <f t="shared" si="16"/>
        <v>43040</v>
      </c>
      <c r="K48" s="1578">
        <f t="shared" si="16"/>
        <v>43009</v>
      </c>
      <c r="L48" s="1578">
        <f t="shared" si="16"/>
        <v>42979</v>
      </c>
      <c r="M48" s="1578">
        <f t="shared" si="16"/>
        <v>42948</v>
      </c>
      <c r="N48" s="1578">
        <f t="shared" si="16"/>
        <v>42917</v>
      </c>
      <c r="O48" s="1578">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2555</v>
      </c>
      <c r="B51" s="510"/>
      <c r="C51" s="522" t="s">
        <v>2657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2593</v>
      </c>
      <c r="B53" s="528" t="s">
        <v>2559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2568</v>
      </c>
      <c r="B79" s="528" t="s">
        <v>2735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14" sqref="C14"/>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33"/>
      <c r="F1" s="2591"/>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IF(C2="——",ROUND(C37*D3/10000,0),ROUND(C37*D3/10000,0)-D2)</f>
        <v>#DIV/0!</v>
      </c>
      <c r="C2" s="2593"/>
      <c r="D2" s="1127" t="e">
        <f ca="1">SUMIF(INDIRECT("'"&amp;F2&amp;"'"&amp;"!A:A"),"承租人权益价值",INDIRECT("'"&amp;F2&amp;"'"&amp;"!c:c"))</f>
        <v>#REF!</v>
      </c>
      <c r="E2" s="2594" t="s">
        <v>2333</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84" t="s">
        <v>2651</v>
      </c>
      <c r="D4" s="3185"/>
      <c r="E4" s="3186" t="s">
        <v>2652</v>
      </c>
      <c r="F4" s="3187"/>
      <c r="G4" s="3184" t="s">
        <v>2653</v>
      </c>
      <c r="H4" s="3185"/>
      <c r="I4" s="3184" t="s">
        <v>2654</v>
      </c>
      <c r="J4" s="3185"/>
      <c r="K4" s="610" t="s">
        <v>2655</v>
      </c>
      <c r="L4" s="1133"/>
      <c r="M4" s="1134"/>
      <c r="N4" s="1134"/>
      <c r="O4" s="1134"/>
      <c r="P4" s="3188" t="s">
        <v>2656</v>
      </c>
      <c r="Q4" s="3189"/>
      <c r="R4" s="3194" t="s">
        <v>2652</v>
      </c>
      <c r="S4" s="3195"/>
      <c r="T4" s="3194" t="s">
        <v>2653</v>
      </c>
      <c r="U4" s="3195"/>
      <c r="V4" s="3200" t="s">
        <v>2654</v>
      </c>
      <c r="W4" s="3200"/>
      <c r="X4" s="1816"/>
      <c r="Y4" s="3194" t="s">
        <v>2656</v>
      </c>
      <c r="Z4" s="3195"/>
      <c r="AA4" s="3181" t="s">
        <v>2652</v>
      </c>
      <c r="AB4" s="3182" t="s">
        <v>2653</v>
      </c>
      <c r="AC4" s="3181" t="s">
        <v>2654</v>
      </c>
    </row>
    <row r="5" spans="1:29" ht="15">
      <c r="A5" s="404"/>
      <c r="B5" s="405"/>
      <c r="C5" s="3208" t="s">
        <v>2547</v>
      </c>
      <c r="D5" s="3204"/>
      <c r="E5" s="3291" t="s">
        <v>2548</v>
      </c>
      <c r="F5" s="3212"/>
      <c r="G5" s="3208" t="s">
        <v>2549</v>
      </c>
      <c r="H5" s="3204"/>
      <c r="I5" s="3208" t="s">
        <v>2550</v>
      </c>
      <c r="J5" s="3204"/>
      <c r="K5" s="610"/>
      <c r="L5" s="1133"/>
      <c r="M5" s="1134"/>
      <c r="N5" s="1134"/>
      <c r="O5" s="1134"/>
      <c r="P5" s="3190"/>
      <c r="Q5" s="3191"/>
      <c r="R5" s="3196"/>
      <c r="S5" s="3197"/>
      <c r="T5" s="3196"/>
      <c r="U5" s="3197"/>
      <c r="V5" s="3200"/>
      <c r="W5" s="3200"/>
      <c r="X5" s="1816"/>
      <c r="Y5" s="3196"/>
      <c r="Z5" s="3197"/>
      <c r="AA5" s="3182"/>
      <c r="AB5" s="3182"/>
      <c r="AC5" s="3182"/>
    </row>
    <row r="6" spans="1:29" ht="15.75" thickBot="1">
      <c r="A6" s="406"/>
      <c r="B6" s="407"/>
      <c r="C6" s="3201" t="s">
        <v>2551</v>
      </c>
      <c r="D6" s="3202"/>
      <c r="E6" s="3209" t="s">
        <v>2551</v>
      </c>
      <c r="F6" s="3210"/>
      <c r="G6" s="3201" t="s">
        <v>2551</v>
      </c>
      <c r="H6" s="3202"/>
      <c r="I6" s="3201" t="s">
        <v>2551</v>
      </c>
      <c r="J6" s="3202"/>
      <c r="K6" s="610" t="s">
        <v>2552</v>
      </c>
      <c r="L6" s="1133"/>
      <c r="M6" s="1134"/>
      <c r="N6" s="1134"/>
      <c r="O6" s="1134"/>
      <c r="P6" s="3192"/>
      <c r="Q6" s="3193"/>
      <c r="R6" s="3196"/>
      <c r="S6" s="3197"/>
      <c r="T6" s="3198"/>
      <c r="U6" s="3199"/>
      <c r="V6" s="3200"/>
      <c r="W6" s="3200"/>
      <c r="X6" s="1816"/>
      <c r="Y6" s="3198"/>
      <c r="Z6" s="3199"/>
      <c r="AA6" s="3183"/>
      <c r="AB6" s="3183"/>
      <c r="AC6" s="3183"/>
    </row>
    <row r="7" spans="1:29" s="117" customFormat="1" ht="15.75" thickBot="1">
      <c r="A7" s="408" t="s">
        <v>2553</v>
      </c>
      <c r="B7" s="409"/>
      <c r="C7" s="410">
        <f>'数据-取费表'!B2</f>
        <v>43280</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05" t="s">
        <v>2554</v>
      </c>
      <c r="Q7" s="3207"/>
      <c r="R7" s="770" t="s">
        <v>17</v>
      </c>
      <c r="S7" s="771">
        <f t="shared" ref="S7:S14" si="0">F7</f>
        <v>0</v>
      </c>
      <c r="T7" s="770" t="s">
        <v>17</v>
      </c>
      <c r="U7" s="771">
        <f t="shared" ref="U7:U14" si="1">H7</f>
        <v>0</v>
      </c>
      <c r="V7" s="770" t="s">
        <v>17</v>
      </c>
      <c r="W7" s="771">
        <f t="shared" ref="W7:W14" si="2">J7</f>
        <v>0</v>
      </c>
      <c r="X7" s="772"/>
      <c r="Y7" s="3205" t="s">
        <v>2554</v>
      </c>
      <c r="Z7" s="3206"/>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5" t="s">
        <v>2557</v>
      </c>
      <c r="Q8" s="3206"/>
      <c r="R8" s="770" t="s">
        <v>17</v>
      </c>
      <c r="S8" s="771">
        <f t="shared" si="0"/>
        <v>0</v>
      </c>
      <c r="T8" s="770" t="s">
        <v>17</v>
      </c>
      <c r="U8" s="771">
        <f t="shared" si="1"/>
        <v>0</v>
      </c>
      <c r="V8" s="770" t="s">
        <v>17</v>
      </c>
      <c r="W8" s="771">
        <f t="shared" si="2"/>
        <v>0</v>
      </c>
      <c r="X8" s="772"/>
      <c r="Y8" s="3205" t="s">
        <v>2557</v>
      </c>
      <c r="Z8" s="3206"/>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9" t="s">
        <v>2560</v>
      </c>
      <c r="Q9" s="1798" t="str">
        <f t="shared" ref="Q9:Q14" si="6">B9</f>
        <v>用途</v>
      </c>
      <c r="R9" s="770" t="s">
        <v>17</v>
      </c>
      <c r="S9" s="771">
        <f t="shared" si="0"/>
        <v>100</v>
      </c>
      <c r="T9" s="770" t="s">
        <v>17</v>
      </c>
      <c r="U9" s="771">
        <f t="shared" si="1"/>
        <v>100</v>
      </c>
      <c r="V9" s="770" t="s">
        <v>17</v>
      </c>
      <c r="W9" s="771">
        <f t="shared" si="2"/>
        <v>100</v>
      </c>
      <c r="X9" s="772"/>
      <c r="Y9" s="3024"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9"/>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9"/>
      <c r="Q11" s="1798">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6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40" t="s">
        <v>2564</v>
      </c>
      <c r="B14" s="69" t="s">
        <v>2714</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1" t="s">
        <v>2565</v>
      </c>
      <c r="Q14" s="1813" t="str">
        <f t="shared" si="6"/>
        <v>交通便捷度</v>
      </c>
      <c r="R14" s="774" t="s">
        <v>17</v>
      </c>
      <c r="S14" s="775">
        <f t="shared" si="0"/>
        <v>100</v>
      </c>
      <c r="T14" s="774" t="s">
        <v>17</v>
      </c>
      <c r="U14" s="775">
        <f t="shared" si="1"/>
        <v>100</v>
      </c>
      <c r="V14" s="774" t="s">
        <v>17</v>
      </c>
      <c r="W14" s="775">
        <f t="shared" si="2"/>
        <v>100</v>
      </c>
      <c r="X14" s="1816"/>
      <c r="Y14" s="3171" t="s">
        <v>2565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2"/>
      <c r="Q15" s="1813"/>
      <c r="R15" s="774"/>
      <c r="S15" s="775"/>
      <c r="T15" s="774"/>
      <c r="U15" s="775"/>
      <c r="V15" s="774"/>
      <c r="W15" s="775"/>
      <c r="X15" s="1816"/>
      <c r="Y15" s="3172"/>
      <c r="Z15" s="1817"/>
      <c r="AA15" s="1814">
        <v>1</v>
      </c>
      <c r="AB15" s="1814">
        <v>1</v>
      </c>
      <c r="AC15" s="1814">
        <v>1</v>
      </c>
    </row>
    <row r="16" spans="1:29" ht="42.75">
      <c r="A16" s="428"/>
      <c r="B16" s="451" t="s">
        <v>2693</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2"/>
      <c r="Q16" s="1813" t="str">
        <f>B16</f>
        <v>公共配套设施</v>
      </c>
      <c r="R16" s="774" t="s">
        <v>17</v>
      </c>
      <c r="S16" s="775">
        <f>F16</f>
        <v>100</v>
      </c>
      <c r="T16" s="774" t="s">
        <v>17</v>
      </c>
      <c r="U16" s="775">
        <f>H16</f>
        <v>100</v>
      </c>
      <c r="V16" s="774" t="s">
        <v>17</v>
      </c>
      <c r="W16" s="775">
        <f>J16</f>
        <v>100</v>
      </c>
      <c r="X16" s="1816"/>
      <c r="Y16" s="3172"/>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72"/>
      <c r="Q17" s="1813"/>
      <c r="R17" s="774"/>
      <c r="S17" s="775"/>
      <c r="T17" s="774"/>
      <c r="U17" s="775"/>
      <c r="V17" s="774"/>
      <c r="W17" s="775"/>
      <c r="X17" s="1816"/>
      <c r="Y17" s="3172"/>
      <c r="Z17" s="1817"/>
      <c r="AA17" s="1814">
        <v>1</v>
      </c>
      <c r="AB17" s="1814">
        <v>1</v>
      </c>
      <c r="AC17" s="1814">
        <v>1</v>
      </c>
    </row>
    <row r="18" spans="1:29" ht="28.5">
      <c r="A18" s="428"/>
      <c r="B18" s="1387" t="s">
        <v>2694</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2"/>
      <c r="Q18" s="1813" t="str">
        <f>B18</f>
        <v>基础设施水平</v>
      </c>
      <c r="R18" s="774" t="s">
        <v>17</v>
      </c>
      <c r="S18" s="775">
        <f>F18</f>
        <v>100</v>
      </c>
      <c r="T18" s="774" t="s">
        <v>17</v>
      </c>
      <c r="U18" s="775">
        <f>H18</f>
        <v>100</v>
      </c>
      <c r="V18" s="774" t="s">
        <v>17</v>
      </c>
      <c r="W18" s="775">
        <f>J18</f>
        <v>100</v>
      </c>
      <c r="X18" s="1816"/>
      <c r="Y18" s="3172"/>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72"/>
      <c r="Q19" s="1813"/>
      <c r="R19" s="774"/>
      <c r="S19" s="775"/>
      <c r="T19" s="774"/>
      <c r="U19" s="775"/>
      <c r="V19" s="774"/>
      <c r="W19" s="775"/>
      <c r="X19" s="1816"/>
      <c r="Y19" s="3172"/>
      <c r="Z19" s="1817"/>
      <c r="AA19" s="1814">
        <v>1</v>
      </c>
      <c r="AB19" s="1814">
        <v>1</v>
      </c>
      <c r="AC19" s="1814">
        <v>1</v>
      </c>
    </row>
    <row r="20" spans="1:29" ht="57">
      <c r="A20" s="428"/>
      <c r="B20" s="451" t="s">
        <v>2715</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2"/>
      <c r="Q20" s="1813" t="str">
        <f>B20</f>
        <v>自然及人文环境</v>
      </c>
      <c r="R20" s="774" t="s">
        <v>17</v>
      </c>
      <c r="S20" s="775">
        <f>F20</f>
        <v>100</v>
      </c>
      <c r="T20" s="774" t="s">
        <v>17</v>
      </c>
      <c r="U20" s="775">
        <f>H20</f>
        <v>100</v>
      </c>
      <c r="V20" s="774" t="s">
        <v>17</v>
      </c>
      <c r="W20" s="775">
        <f>J20</f>
        <v>100</v>
      </c>
      <c r="X20" s="1816"/>
      <c r="Y20" s="317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2"/>
      <c r="Q21" s="1813"/>
      <c r="R21" s="774"/>
      <c r="S21" s="775"/>
      <c r="T21" s="774"/>
      <c r="U21" s="775"/>
      <c r="V21" s="774"/>
      <c r="W21" s="775"/>
      <c r="X21" s="1816"/>
      <c r="Y21" s="3172"/>
      <c r="Z21" s="1817"/>
      <c r="AA21" s="1814">
        <v>1</v>
      </c>
      <c r="AB21" s="1814">
        <v>1</v>
      </c>
      <c r="AC21" s="1814">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2"/>
      <c r="Q22" s="1813" t="str">
        <f>B22</f>
        <v>楼层</v>
      </c>
      <c r="R22" s="774" t="s">
        <v>17</v>
      </c>
      <c r="S22" s="775">
        <f>F22</f>
        <v>100</v>
      </c>
      <c r="T22" s="774" t="s">
        <v>17</v>
      </c>
      <c r="U22" s="775">
        <f>H22</f>
        <v>100</v>
      </c>
      <c r="V22" s="774" t="s">
        <v>17</v>
      </c>
      <c r="W22" s="775">
        <f>J22</f>
        <v>100</v>
      </c>
      <c r="X22" s="1816"/>
      <c r="Y22" s="3172"/>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2"/>
      <c r="Q23" s="1813">
        <f>B23</f>
        <v>111</v>
      </c>
      <c r="R23" s="774" t="s">
        <v>17</v>
      </c>
      <c r="S23" s="775">
        <f>F23</f>
        <v>100</v>
      </c>
      <c r="T23" s="774" t="s">
        <v>17</v>
      </c>
      <c r="U23" s="775">
        <f>H23</f>
        <v>100</v>
      </c>
      <c r="V23" s="774" t="s">
        <v>17</v>
      </c>
      <c r="W23" s="775">
        <f>J23</f>
        <v>100</v>
      </c>
      <c r="X23" s="1816"/>
      <c r="Y23" s="3172"/>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2"/>
      <c r="Q24" s="1813">
        <f t="shared" ref="Q24:Q34" si="11">B24</f>
        <v>111</v>
      </c>
      <c r="R24" s="774" t="s">
        <v>17</v>
      </c>
      <c r="S24" s="775">
        <f>F24</f>
        <v>100</v>
      </c>
      <c r="T24" s="774" t="s">
        <v>17</v>
      </c>
      <c r="U24" s="775">
        <f>H24</f>
        <v>100</v>
      </c>
      <c r="V24" s="774" t="s">
        <v>17</v>
      </c>
      <c r="W24" s="775">
        <f>J24</f>
        <v>100</v>
      </c>
      <c r="X24" s="1816"/>
      <c r="Y24" s="3172"/>
      <c r="Z24" s="1817">
        <f>Q24</f>
        <v>111</v>
      </c>
      <c r="AA24" s="1814">
        <f t="shared" si="3"/>
        <v>1</v>
      </c>
      <c r="AB24" s="1814">
        <f t="shared" si="4"/>
        <v>1</v>
      </c>
      <c r="AC24" s="1814">
        <f t="shared" si="5"/>
        <v>1</v>
      </c>
    </row>
    <row r="25" spans="1:29" s="117" customFormat="1" ht="15.75" thickBot="1">
      <c r="A25" s="431"/>
      <c r="B25" s="2607">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72"/>
      <c r="Q25" s="1798">
        <f t="shared" si="11"/>
        <v>111</v>
      </c>
      <c r="R25" s="770" t="s">
        <v>17</v>
      </c>
      <c r="S25" s="771">
        <f>F25</f>
        <v>100</v>
      </c>
      <c r="T25" s="770" t="s">
        <v>17</v>
      </c>
      <c r="U25" s="771">
        <f>H25</f>
        <v>100</v>
      </c>
      <c r="V25" s="770" t="s">
        <v>17</v>
      </c>
      <c r="W25" s="771">
        <f>J25</f>
        <v>100</v>
      </c>
      <c r="X25" s="772"/>
      <c r="Y25" s="3172"/>
      <c r="Z25" s="55">
        <f>Q25</f>
        <v>111</v>
      </c>
      <c r="AA25" s="1814">
        <f>D25/F25</f>
        <v>1</v>
      </c>
      <c r="AB25" s="1814">
        <f>D25/H25</f>
        <v>1</v>
      </c>
      <c r="AC25" s="1814">
        <f>D25/J25</f>
        <v>1</v>
      </c>
    </row>
    <row r="26" spans="1:29" ht="15">
      <c r="A26" s="466" t="s">
        <v>2568</v>
      </c>
      <c r="B26" s="71" t="s">
        <v>2719</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307" t="s">
        <v>2570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6" t="s">
        <v>2570</v>
      </c>
      <c r="Z26" s="1817" t="str">
        <f t="shared" ref="Z26:Z34" si="15">Q26</f>
        <v>公共部分装修</v>
      </c>
      <c r="AA26" s="1814">
        <f t="shared" si="3"/>
        <v>1</v>
      </c>
      <c r="AB26" s="1814">
        <f t="shared" si="4"/>
        <v>1</v>
      </c>
      <c r="AC26" s="1814">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6"/>
      <c r="Q27" s="776" t="str">
        <f t="shared" si="11"/>
        <v>成新率</v>
      </c>
      <c r="R27" s="777" t="s">
        <v>17</v>
      </c>
      <c r="S27" s="778" t="e">
        <f t="shared" si="12"/>
        <v>#N/A</v>
      </c>
      <c r="T27" s="777" t="s">
        <v>17</v>
      </c>
      <c r="U27" s="778" t="e">
        <f t="shared" si="13"/>
        <v>#N/A</v>
      </c>
      <c r="V27" s="777" t="s">
        <v>17</v>
      </c>
      <c r="W27" s="778" t="e">
        <f t="shared" si="14"/>
        <v>#N/A</v>
      </c>
      <c r="X27" s="779"/>
      <c r="Y27" s="3176"/>
      <c r="Z27" s="780" t="str">
        <f t="shared" si="15"/>
        <v>成新率</v>
      </c>
      <c r="AA27" s="1814" t="e">
        <f t="shared" si="3"/>
        <v>#N/A</v>
      </c>
      <c r="AB27" s="1814" t="e">
        <f t="shared" si="4"/>
        <v>#N/A</v>
      </c>
      <c r="AC27" s="1814"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6"/>
      <c r="Q28" s="1813" t="str">
        <f t="shared" si="11"/>
        <v>物业等级</v>
      </c>
      <c r="R28" s="774" t="s">
        <v>17</v>
      </c>
      <c r="S28" s="775">
        <f t="shared" si="12"/>
        <v>100</v>
      </c>
      <c r="T28" s="774" t="s">
        <v>17</v>
      </c>
      <c r="U28" s="775">
        <f t="shared" si="13"/>
        <v>100</v>
      </c>
      <c r="V28" s="774" t="s">
        <v>17</v>
      </c>
      <c r="W28" s="775">
        <f t="shared" si="14"/>
        <v>100</v>
      </c>
      <c r="X28" s="1816"/>
      <c r="Y28" s="3176"/>
      <c r="Z28" s="1817" t="str">
        <f t="shared" si="15"/>
        <v>物业等级</v>
      </c>
      <c r="AA28" s="1814">
        <f t="shared" si="3"/>
        <v>1</v>
      </c>
      <c r="AB28" s="1814">
        <f t="shared" si="4"/>
        <v>1</v>
      </c>
      <c r="AC28" s="1814">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6"/>
      <c r="Q29" s="1813" t="str">
        <f t="shared" si="11"/>
        <v>有无电梯</v>
      </c>
      <c r="R29" s="774" t="s">
        <v>17</v>
      </c>
      <c r="S29" s="775">
        <f t="shared" si="12"/>
        <v>100</v>
      </c>
      <c r="T29" s="774" t="s">
        <v>17</v>
      </c>
      <c r="U29" s="775">
        <f t="shared" si="13"/>
        <v>100</v>
      </c>
      <c r="V29" s="774" t="s">
        <v>17</v>
      </c>
      <c r="W29" s="775">
        <f t="shared" si="14"/>
        <v>100</v>
      </c>
      <c r="X29" s="1816"/>
      <c r="Y29" s="3176"/>
      <c r="Z29" s="1817" t="str">
        <f t="shared" si="15"/>
        <v>有无电梯</v>
      </c>
      <c r="AA29" s="1814">
        <f t="shared" si="3"/>
        <v>1</v>
      </c>
      <c r="AB29" s="1814">
        <f t="shared" si="4"/>
        <v>1</v>
      </c>
      <c r="AC29" s="1814">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6"/>
      <c r="Q30" s="1813" t="str">
        <f t="shared" si="11"/>
        <v>建筑面积</v>
      </c>
      <c r="R30" s="774" t="s">
        <v>17</v>
      </c>
      <c r="S30" s="775" t="e">
        <f t="shared" si="12"/>
        <v>#N/A</v>
      </c>
      <c r="T30" s="774" t="s">
        <v>17</v>
      </c>
      <c r="U30" s="775" t="e">
        <f t="shared" si="13"/>
        <v>#N/A</v>
      </c>
      <c r="V30" s="774" t="s">
        <v>17</v>
      </c>
      <c r="W30" s="775" t="e">
        <f t="shared" si="14"/>
        <v>#N/A</v>
      </c>
      <c r="X30" s="1816"/>
      <c r="Y30" s="3176"/>
      <c r="Z30" s="1817" t="str">
        <f t="shared" si="15"/>
        <v>建筑面积</v>
      </c>
      <c r="AA30" s="1814" t="e">
        <f t="shared" si="3"/>
        <v>#N/A</v>
      </c>
      <c r="AB30" s="1814" t="e">
        <f t="shared" si="4"/>
        <v>#N/A</v>
      </c>
      <c r="AC30" s="1814"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6"/>
      <c r="Q31" s="1798" t="str">
        <f t="shared" si="11"/>
        <v>是否封闭</v>
      </c>
      <c r="R31" s="770" t="s">
        <v>17</v>
      </c>
      <c r="S31" s="771">
        <f t="shared" si="12"/>
        <v>100</v>
      </c>
      <c r="T31" s="770" t="s">
        <v>17</v>
      </c>
      <c r="U31" s="771">
        <f t="shared" si="13"/>
        <v>100</v>
      </c>
      <c r="V31" s="770" t="s">
        <v>17</v>
      </c>
      <c r="W31" s="771">
        <f t="shared" si="14"/>
        <v>100</v>
      </c>
      <c r="X31" s="772"/>
      <c r="Y31" s="3176"/>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6" t="s">
        <v>2570</v>
      </c>
      <c r="Q32" s="1813">
        <f t="shared" si="11"/>
        <v>111</v>
      </c>
      <c r="R32" s="774" t="s">
        <v>17</v>
      </c>
      <c r="S32" s="775">
        <f t="shared" si="12"/>
        <v>100</v>
      </c>
      <c r="T32" s="774" t="s">
        <v>17</v>
      </c>
      <c r="U32" s="775">
        <f t="shared" si="13"/>
        <v>100</v>
      </c>
      <c r="V32" s="774" t="s">
        <v>17</v>
      </c>
      <c r="W32" s="775">
        <f t="shared" si="14"/>
        <v>100</v>
      </c>
      <c r="X32" s="1816"/>
      <c r="Y32" s="3176" t="s">
        <v>2570</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6"/>
      <c r="Q33" s="1813">
        <f t="shared" si="11"/>
        <v>111</v>
      </c>
      <c r="R33" s="774" t="s">
        <v>17</v>
      </c>
      <c r="S33" s="775">
        <f t="shared" si="12"/>
        <v>100</v>
      </c>
      <c r="T33" s="774" t="s">
        <v>17</v>
      </c>
      <c r="U33" s="775">
        <f t="shared" si="13"/>
        <v>100</v>
      </c>
      <c r="V33" s="774" t="s">
        <v>17</v>
      </c>
      <c r="W33" s="775">
        <f t="shared" si="14"/>
        <v>100</v>
      </c>
      <c r="X33" s="1816"/>
      <c r="Y33" s="3176"/>
      <c r="Z33" s="1817">
        <f t="shared" si="15"/>
        <v>111</v>
      </c>
      <c r="AA33" s="1814">
        <f t="shared" si="3"/>
        <v>1</v>
      </c>
      <c r="AB33" s="1814">
        <f t="shared" si="4"/>
        <v>1</v>
      </c>
      <c r="AC33" s="1814">
        <f t="shared" si="5"/>
        <v>1</v>
      </c>
    </row>
    <row r="34" spans="1:29" ht="15.75" thickBot="1">
      <c r="A34" s="478"/>
      <c r="B34" s="2609">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76"/>
      <c r="Q34" s="1813">
        <f t="shared" si="11"/>
        <v>111</v>
      </c>
      <c r="R34" s="774" t="s">
        <v>17</v>
      </c>
      <c r="S34" s="775">
        <f t="shared" si="12"/>
        <v>100</v>
      </c>
      <c r="T34" s="774" t="s">
        <v>17</v>
      </c>
      <c r="U34" s="775">
        <f t="shared" si="13"/>
        <v>100</v>
      </c>
      <c r="V34" s="774" t="s">
        <v>17</v>
      </c>
      <c r="W34" s="775">
        <f t="shared" si="14"/>
        <v>100</v>
      </c>
      <c r="X34" s="1816"/>
      <c r="Y34" s="3176"/>
      <c r="Z34" s="1817">
        <f t="shared" si="15"/>
        <v>111</v>
      </c>
      <c r="AA34" s="1814">
        <f t="shared" si="3"/>
        <v>1</v>
      </c>
      <c r="AB34" s="1814">
        <f t="shared" si="4"/>
        <v>1</v>
      </c>
      <c r="AC34" s="1814">
        <f t="shared" si="5"/>
        <v>1</v>
      </c>
    </row>
    <row r="35" spans="1:29" ht="15">
      <c r="A35" s="479" t="s">
        <v>2582</v>
      </c>
      <c r="B35" s="480"/>
      <c r="C35" s="1410" t="s">
        <v>1</v>
      </c>
      <c r="D35" s="1411"/>
      <c r="E35" s="1412"/>
      <c r="F35" s="1413"/>
      <c r="G35" s="1414"/>
      <c r="H35" s="1415"/>
      <c r="I35" s="1412"/>
      <c r="J35" s="1415"/>
      <c r="K35" s="783"/>
      <c r="L35" s="1146"/>
      <c r="M35" s="1147"/>
      <c r="N35" s="1134"/>
      <c r="O35" s="1147"/>
      <c r="P35" s="3169" t="str">
        <f>A35</f>
        <v>成交单价（元/平方米）</v>
      </c>
      <c r="Q35" s="3169"/>
      <c r="R35" s="3170">
        <f>E35</f>
        <v>0</v>
      </c>
      <c r="S35" s="3170"/>
      <c r="T35" s="3170">
        <f>G35</f>
        <v>0</v>
      </c>
      <c r="U35" s="3170"/>
      <c r="V35" s="3170">
        <f>I35</f>
        <v>0</v>
      </c>
      <c r="W35" s="3170"/>
      <c r="X35" s="759"/>
      <c r="Y35" s="781"/>
      <c r="Z35" s="759"/>
      <c r="AA35" s="759"/>
      <c r="AB35" s="759"/>
      <c r="AC35" s="759"/>
    </row>
    <row r="36" spans="1:29" ht="15.75" thickBot="1">
      <c r="A36" s="486" t="s">
        <v>2674</v>
      </c>
      <c r="B36" s="487"/>
      <c r="C36" s="1416" t="e">
        <f>R37</f>
        <v>#DIV/0!</v>
      </c>
      <c r="D36" s="1417"/>
      <c r="E36" s="1418" t="e">
        <f>R36</f>
        <v>#DIV/0!</v>
      </c>
      <c r="F36" s="1418"/>
      <c r="G36" s="1416" t="e">
        <f>T36</f>
        <v>#DIV/0!</v>
      </c>
      <c r="H36" s="1417"/>
      <c r="I36" s="1418" t="e">
        <f>V36</f>
        <v>#DIV/0!</v>
      </c>
      <c r="J36" s="1417"/>
      <c r="K36" s="784"/>
      <c r="L36" s="1146"/>
      <c r="M36" s="1147"/>
      <c r="N36" s="1134"/>
      <c r="O36" s="1147"/>
      <c r="P36" s="3169" t="str">
        <f>A36</f>
        <v>比较价值（元/平方米）</v>
      </c>
      <c r="Q36" s="3169"/>
      <c r="R36" s="3170" t="e">
        <f>IF(F1="售价",ROUND(PRODUCT(R35,AA7:AA34),0),ROUND(PRODUCT(R35,AA7:AA34),1))</f>
        <v>#DIV/0!</v>
      </c>
      <c r="S36" s="3170"/>
      <c r="T36" s="3170" t="e">
        <f>IF(F1="售价",ROUND(PRODUCT(T35,AB7:AB34),0),ROUND(PRODUCT(T35,AB7:AB34),1))</f>
        <v>#DIV/0!</v>
      </c>
      <c r="U36" s="3170"/>
      <c r="V36" s="3170" t="e">
        <f>IF(F1="售价",ROUND(PRODUCT(V35,AC7:AC34),0),ROUND(PRODUCT(V35,AC7:AC34),1))</f>
        <v>#DIV/0!</v>
      </c>
      <c r="W36" s="3170"/>
      <c r="X36" s="759"/>
      <c r="Y36" s="759"/>
      <c r="Z36" s="759"/>
      <c r="AA36" s="759"/>
      <c r="AB36" s="759"/>
      <c r="AC36" s="759"/>
    </row>
    <row r="37" spans="1:29" ht="15.75" thickBot="1">
      <c r="A37" s="492" t="s">
        <v>2675</v>
      </c>
      <c r="B37" s="493"/>
      <c r="C37" s="1420" t="e">
        <f>R37</f>
        <v>#DIV/0!</v>
      </c>
      <c r="D37" s="1420"/>
      <c r="E37" s="1420"/>
      <c r="F37" s="1420"/>
      <c r="G37" s="1420"/>
      <c r="H37" s="1420"/>
      <c r="I37" s="1420"/>
      <c r="J37" s="1420"/>
      <c r="K37" s="785"/>
      <c r="L37" s="1146"/>
      <c r="M37" s="1147"/>
      <c r="N37" s="1147"/>
      <c r="O37" s="1147"/>
      <c r="P37" s="3166" t="str">
        <f>A37</f>
        <v>估价对象XX用房的比较价值（楼面单价，元/平方米）</v>
      </c>
      <c r="Q37" s="3167"/>
      <c r="R37" s="3168" t="e">
        <f>IF(F1="售价",ROUND(AVERAGE(R36:V36),0),ROUND(AVERAGE(R36:V36),1))</f>
        <v>#DIV/0!</v>
      </c>
      <c r="S37" s="3168"/>
      <c r="T37" s="3168"/>
      <c r="U37" s="3168"/>
      <c r="V37" s="3168"/>
      <c r="W37" s="316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7" t="str">
        <f>YEAR(C7)&amp;"-"&amp;MONTH(C7)</f>
        <v>2018-6</v>
      </c>
      <c r="D46" s="1578">
        <f>EDATE(C46,-1)</f>
        <v>43221</v>
      </c>
      <c r="E46" s="1578">
        <f t="shared" ref="E46:O46" si="16">EDATE(D46,-1)</f>
        <v>43191</v>
      </c>
      <c r="F46" s="1578">
        <f t="shared" si="16"/>
        <v>43160</v>
      </c>
      <c r="G46" s="1578">
        <f t="shared" si="16"/>
        <v>43132</v>
      </c>
      <c r="H46" s="1578">
        <f t="shared" si="16"/>
        <v>43101</v>
      </c>
      <c r="I46" s="1578">
        <f t="shared" si="16"/>
        <v>43070</v>
      </c>
      <c r="J46" s="1578">
        <f t="shared" si="16"/>
        <v>43040</v>
      </c>
      <c r="K46" s="1578">
        <f t="shared" si="16"/>
        <v>43009</v>
      </c>
      <c r="L46" s="1578">
        <f t="shared" si="16"/>
        <v>42979</v>
      </c>
      <c r="M46" s="1578">
        <f t="shared" si="16"/>
        <v>42948</v>
      </c>
      <c r="N46" s="1578">
        <f t="shared" si="16"/>
        <v>42917</v>
      </c>
      <c r="O46" s="1578">
        <f t="shared" si="16"/>
        <v>42887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14" sqref="C14"/>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184" t="s">
        <v>2651</v>
      </c>
      <c r="D4" s="3185"/>
      <c r="E4" s="3186" t="s">
        <v>2652</v>
      </c>
      <c r="F4" s="3187"/>
      <c r="G4" s="3184" t="s">
        <v>2653</v>
      </c>
      <c r="H4" s="3185"/>
      <c r="I4" s="3184" t="s">
        <v>2654</v>
      </c>
      <c r="J4" s="3185"/>
      <c r="K4" s="610" t="s">
        <v>2655</v>
      </c>
      <c r="L4" s="1133"/>
      <c r="M4" s="1134"/>
      <c r="N4" s="1134"/>
      <c r="O4" s="1134"/>
      <c r="P4" s="3188" t="s">
        <v>2656</v>
      </c>
      <c r="Q4" s="3189"/>
      <c r="R4" s="3194" t="s">
        <v>2652</v>
      </c>
      <c r="S4" s="3195"/>
      <c r="T4" s="3194" t="s">
        <v>2653</v>
      </c>
      <c r="U4" s="3195"/>
      <c r="V4" s="3200" t="s">
        <v>2654</v>
      </c>
      <c r="W4" s="3200"/>
      <c r="X4" s="1816"/>
      <c r="Y4" s="3194" t="s">
        <v>2656</v>
      </c>
      <c r="Z4" s="3195"/>
      <c r="AA4" s="3181" t="s">
        <v>2652</v>
      </c>
      <c r="AB4" s="3182" t="s">
        <v>2653</v>
      </c>
      <c r="AC4" s="3181" t="s">
        <v>2654</v>
      </c>
    </row>
    <row r="5" spans="1:30" ht="15">
      <c r="A5" s="404"/>
      <c r="B5" s="405"/>
      <c r="C5" s="3208" t="s">
        <v>2547</v>
      </c>
      <c r="D5" s="3204"/>
      <c r="E5" s="3291" t="s">
        <v>2548</v>
      </c>
      <c r="F5" s="3212"/>
      <c r="G5" s="3208" t="s">
        <v>2549</v>
      </c>
      <c r="H5" s="3204"/>
      <c r="I5" s="3208" t="s">
        <v>2550</v>
      </c>
      <c r="J5" s="3204"/>
      <c r="K5" s="610"/>
      <c r="L5" s="1133"/>
      <c r="M5" s="1134"/>
      <c r="N5" s="1134"/>
      <c r="O5" s="1134"/>
      <c r="P5" s="3190"/>
      <c r="Q5" s="3191"/>
      <c r="R5" s="3196"/>
      <c r="S5" s="3197"/>
      <c r="T5" s="3196"/>
      <c r="U5" s="3197"/>
      <c r="V5" s="3200"/>
      <c r="W5" s="3200"/>
      <c r="X5" s="1816"/>
      <c r="Y5" s="3196"/>
      <c r="Z5" s="3197"/>
      <c r="AA5" s="3182"/>
      <c r="AB5" s="3182"/>
      <c r="AC5" s="3182"/>
    </row>
    <row r="6" spans="1:30" ht="15.75" thickBot="1">
      <c r="A6" s="406"/>
      <c r="B6" s="407"/>
      <c r="C6" s="3201" t="s">
        <v>2551</v>
      </c>
      <c r="D6" s="3202"/>
      <c r="E6" s="3209" t="s">
        <v>2551</v>
      </c>
      <c r="F6" s="3210"/>
      <c r="G6" s="3201" t="s">
        <v>2551</v>
      </c>
      <c r="H6" s="3202"/>
      <c r="I6" s="3201" t="s">
        <v>2551</v>
      </c>
      <c r="J6" s="3202"/>
      <c r="K6" s="610" t="s">
        <v>2552</v>
      </c>
      <c r="L6" s="1133"/>
      <c r="M6" s="1134"/>
      <c r="N6" s="1134"/>
      <c r="O6" s="1134"/>
      <c r="P6" s="3192"/>
      <c r="Q6" s="3193"/>
      <c r="R6" s="3196"/>
      <c r="S6" s="3197"/>
      <c r="T6" s="3198"/>
      <c r="U6" s="3199"/>
      <c r="V6" s="3200"/>
      <c r="W6" s="3200"/>
      <c r="X6" s="1816"/>
      <c r="Y6" s="3198"/>
      <c r="Z6" s="3199"/>
      <c r="AA6" s="3183"/>
      <c r="AB6" s="3183"/>
      <c r="AC6" s="3183"/>
    </row>
    <row r="7" spans="1:30" s="117" customFormat="1" ht="15.75" thickBot="1">
      <c r="A7" s="408" t="s">
        <v>2553</v>
      </c>
      <c r="B7" s="409"/>
      <c r="C7" s="410">
        <f>'数据-取费表'!B2</f>
        <v>43280</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205" t="s">
        <v>2554</v>
      </c>
      <c r="Q7" s="3207"/>
      <c r="R7" s="770" t="s">
        <v>17</v>
      </c>
      <c r="S7" s="771">
        <f t="shared" ref="S7:S15" si="0">F7</f>
        <v>0</v>
      </c>
      <c r="T7" s="770" t="s">
        <v>17</v>
      </c>
      <c r="U7" s="771">
        <f t="shared" ref="U7:U15" si="1">H7</f>
        <v>0</v>
      </c>
      <c r="V7" s="770" t="s">
        <v>17</v>
      </c>
      <c r="W7" s="771">
        <f t="shared" ref="W7:W15" si="2">J7</f>
        <v>0</v>
      </c>
      <c r="X7" s="772"/>
      <c r="Y7" s="3205" t="s">
        <v>2554</v>
      </c>
      <c r="Z7" s="3206"/>
      <c r="AA7" s="773" t="e">
        <f>D7/F7</f>
        <v>#DIV/0!</v>
      </c>
      <c r="AB7" s="773" t="e">
        <f>D7/H7</f>
        <v>#DIV/0!</v>
      </c>
      <c r="AC7" s="773" t="e">
        <f>D7/J7</f>
        <v>#DIV/0!</v>
      </c>
    </row>
    <row r="8" spans="1:30" s="117" customFormat="1" ht="15.75" thickBot="1">
      <c r="A8" s="408" t="s">
        <v>2555</v>
      </c>
      <c r="B8" s="409"/>
      <c r="C8" s="414" t="s">
        <v>2556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5" t="s">
        <v>2557</v>
      </c>
      <c r="Q8" s="3206"/>
      <c r="R8" s="770" t="s">
        <v>17</v>
      </c>
      <c r="S8" s="771">
        <f t="shared" si="0"/>
        <v>0</v>
      </c>
      <c r="T8" s="770" t="s">
        <v>17</v>
      </c>
      <c r="U8" s="771">
        <f t="shared" si="1"/>
        <v>0</v>
      </c>
      <c r="V8" s="770" t="s">
        <v>17</v>
      </c>
      <c r="W8" s="771">
        <f t="shared" si="2"/>
        <v>0</v>
      </c>
      <c r="X8" s="772"/>
      <c r="Y8" s="3205" t="s">
        <v>2557</v>
      </c>
      <c r="Z8" s="3206"/>
      <c r="AA8" s="773" t="e">
        <f t="shared" ref="AA8:AA45" si="3">D8/F8</f>
        <v>#DIV/0!</v>
      </c>
      <c r="AB8" s="773" t="e">
        <f t="shared" ref="AB8:AB45" si="4">D8/H8</f>
        <v>#DIV/0!</v>
      </c>
      <c r="AC8" s="773" t="e">
        <f t="shared" ref="AC8:AC45" si="5">D8/J8</f>
        <v>#DIV/0!</v>
      </c>
    </row>
    <row r="9" spans="1:30" s="117" customFormat="1">
      <c r="A9" s="415" t="s">
        <v>2558</v>
      </c>
      <c r="B9" s="71" t="s">
        <v>2559</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69" t="s">
        <v>2560</v>
      </c>
      <c r="Q9" s="1798" t="str">
        <f t="shared" ref="Q9:Q15" si="6">B9</f>
        <v>用途</v>
      </c>
      <c r="R9" s="770" t="s">
        <v>17</v>
      </c>
      <c r="S9" s="771">
        <f t="shared" si="0"/>
        <v>100</v>
      </c>
      <c r="T9" s="770" t="s">
        <v>17</v>
      </c>
      <c r="U9" s="771">
        <f t="shared" si="1"/>
        <v>100</v>
      </c>
      <c r="V9" s="770" t="s">
        <v>17</v>
      </c>
      <c r="W9" s="771">
        <f t="shared" si="2"/>
        <v>100</v>
      </c>
      <c r="X9" s="772"/>
      <c r="Y9" s="3024"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169"/>
      <c r="Q10" s="1798" t="str">
        <f t="shared" si="6"/>
        <v>土地使用年限（年）</v>
      </c>
      <c r="R10" s="770" t="s">
        <v>17</v>
      </c>
      <c r="S10" s="771">
        <f t="shared" si="0"/>
        <v>105</v>
      </c>
      <c r="T10" s="770" t="s">
        <v>17</v>
      </c>
      <c r="U10" s="771">
        <f t="shared" si="1"/>
        <v>105</v>
      </c>
      <c r="V10" s="770" t="s">
        <v>17</v>
      </c>
      <c r="W10" s="771">
        <f t="shared" si="2"/>
        <v>105</v>
      </c>
      <c r="X10" s="772"/>
      <c r="Y10" s="3024"/>
      <c r="Z10" s="55" t="str">
        <f t="shared" si="7"/>
        <v>土地使用年限（年）</v>
      </c>
      <c r="AA10" s="773">
        <f t="shared" si="3"/>
        <v>0.95238095238095233</v>
      </c>
      <c r="AB10" s="773">
        <f t="shared" si="4"/>
        <v>0.95238095238095233</v>
      </c>
      <c r="AC10" s="773">
        <f t="shared" si="5"/>
        <v>0.95238095238095233</v>
      </c>
    </row>
    <row r="11" spans="1:30" ht="15">
      <c r="A11" s="428"/>
      <c r="B11" s="422" t="s">
        <v>2563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69"/>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30" s="117" customFormat="1" ht="15">
      <c r="A12" s="431"/>
      <c r="B12" s="2607"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9"/>
      <c r="Q12" s="1798" t="str">
        <f t="shared" si="6"/>
        <v>配建</v>
      </c>
      <c r="R12" s="770" t="s">
        <v>17</v>
      </c>
      <c r="S12" s="771">
        <f t="shared" si="0"/>
        <v>100</v>
      </c>
      <c r="T12" s="770" t="s">
        <v>17</v>
      </c>
      <c r="U12" s="771">
        <f t="shared" si="1"/>
        <v>100</v>
      </c>
      <c r="V12" s="770" t="s">
        <v>17</v>
      </c>
      <c r="W12" s="771">
        <f t="shared" si="2"/>
        <v>100</v>
      </c>
      <c r="X12" s="772"/>
      <c r="Y12" s="3024"/>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9"/>
      <c r="Q13" s="1798">
        <f t="shared" si="6"/>
        <v>111</v>
      </c>
      <c r="R13" s="770" t="s">
        <v>17</v>
      </c>
      <c r="S13" s="771">
        <f t="shared" si="0"/>
        <v>100</v>
      </c>
      <c r="T13" s="770" t="s">
        <v>17</v>
      </c>
      <c r="U13" s="771">
        <f t="shared" si="1"/>
        <v>100</v>
      </c>
      <c r="V13" s="770" t="s">
        <v>17</v>
      </c>
      <c r="W13" s="771">
        <f t="shared" si="2"/>
        <v>100</v>
      </c>
      <c r="X13" s="772"/>
      <c r="Y13" s="3024"/>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9"/>
      <c r="Q14" s="1798">
        <f t="shared" si="6"/>
        <v>111</v>
      </c>
      <c r="R14" s="770" t="s">
        <v>17</v>
      </c>
      <c r="S14" s="771">
        <f t="shared" si="0"/>
        <v>100</v>
      </c>
      <c r="T14" s="770" t="s">
        <v>17</v>
      </c>
      <c r="U14" s="771">
        <f t="shared" si="1"/>
        <v>100</v>
      </c>
      <c r="V14" s="770" t="s">
        <v>17</v>
      </c>
      <c r="W14" s="771">
        <f t="shared" si="2"/>
        <v>100</v>
      </c>
      <c r="X14" s="772"/>
      <c r="Y14" s="3024"/>
      <c r="Z14" s="55">
        <f t="shared" si="7"/>
        <v>111</v>
      </c>
      <c r="AA14" s="773">
        <f>D14/F14</f>
        <v>1</v>
      </c>
      <c r="AB14" s="773">
        <f>D14/H14</f>
        <v>1</v>
      </c>
      <c r="AC14" s="773">
        <f>D14/J14</f>
        <v>1</v>
      </c>
    </row>
    <row r="15" spans="1:30" ht="99.75">
      <c r="A15" s="440" t="s">
        <v>2564</v>
      </c>
      <c r="B15" s="69" t="s">
        <v>2089</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1" t="s">
        <v>2565</v>
      </c>
      <c r="Q15" s="1813" t="str">
        <f t="shared" si="6"/>
        <v>居住社区成熟度</v>
      </c>
      <c r="R15" s="774" t="s">
        <v>17</v>
      </c>
      <c r="S15" s="775">
        <f t="shared" si="0"/>
        <v>100</v>
      </c>
      <c r="T15" s="774" t="s">
        <v>17</v>
      </c>
      <c r="U15" s="775">
        <f t="shared" si="1"/>
        <v>100</v>
      </c>
      <c r="V15" s="774" t="s">
        <v>17</v>
      </c>
      <c r="W15" s="775">
        <f t="shared" si="2"/>
        <v>100</v>
      </c>
      <c r="X15" s="1816"/>
      <c r="Y15" s="3171" t="s">
        <v>2565</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72"/>
      <c r="Q16" s="1813"/>
      <c r="R16" s="774"/>
      <c r="S16" s="775"/>
      <c r="T16" s="774"/>
      <c r="U16" s="775"/>
      <c r="V16" s="774"/>
      <c r="W16" s="775"/>
      <c r="X16" s="1816"/>
      <c r="Y16" s="3172"/>
      <c r="Z16" s="1817"/>
      <c r="AA16" s="1814">
        <v>1</v>
      </c>
      <c r="AB16" s="1814">
        <v>1</v>
      </c>
      <c r="AC16" s="1814">
        <v>1</v>
      </c>
    </row>
    <row r="17" spans="1:29" ht="71.25">
      <c r="A17" s="428"/>
      <c r="B17" s="451" t="s">
        <v>2658</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2"/>
      <c r="Q17" s="1813" t="str">
        <f>B17</f>
        <v>商业繁华度</v>
      </c>
      <c r="R17" s="774" t="s">
        <v>17</v>
      </c>
      <c r="S17" s="775">
        <f>F17</f>
        <v>100</v>
      </c>
      <c r="T17" s="774" t="s">
        <v>17</v>
      </c>
      <c r="U17" s="775">
        <f>H17</f>
        <v>100</v>
      </c>
      <c r="V17" s="774" t="s">
        <v>17</v>
      </c>
      <c r="W17" s="775">
        <f>J17</f>
        <v>100</v>
      </c>
      <c r="X17" s="1816"/>
      <c r="Y17" s="3172"/>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72"/>
      <c r="Q18" s="1813"/>
      <c r="R18" s="774"/>
      <c r="S18" s="775"/>
      <c r="T18" s="774"/>
      <c r="U18" s="775"/>
      <c r="V18" s="774"/>
      <c r="W18" s="775"/>
      <c r="X18" s="1816"/>
      <c r="Y18" s="3172"/>
      <c r="Z18" s="1817"/>
      <c r="AA18" s="1814">
        <v>1</v>
      </c>
      <c r="AB18" s="1814">
        <v>1</v>
      </c>
      <c r="AC18" s="1814">
        <v>1</v>
      </c>
    </row>
    <row r="19" spans="1:29" ht="71.25">
      <c r="A19" s="428"/>
      <c r="B19" s="451" t="s">
        <v>2692</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2"/>
      <c r="Q19" s="1813" t="str">
        <f>B19</f>
        <v>办公集聚程度</v>
      </c>
      <c r="R19" s="774" t="s">
        <v>17</v>
      </c>
      <c r="S19" s="775">
        <f>F19</f>
        <v>100</v>
      </c>
      <c r="T19" s="774" t="s">
        <v>17</v>
      </c>
      <c r="U19" s="775">
        <f>H19</f>
        <v>100</v>
      </c>
      <c r="V19" s="774" t="s">
        <v>17</v>
      </c>
      <c r="W19" s="775">
        <f>J19</f>
        <v>100</v>
      </c>
      <c r="X19" s="1816"/>
      <c r="Y19" s="3172"/>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72"/>
      <c r="Q20" s="1813"/>
      <c r="R20" s="774"/>
      <c r="S20" s="775"/>
      <c r="T20" s="774"/>
      <c r="U20" s="775"/>
      <c r="V20" s="774"/>
      <c r="W20" s="775"/>
      <c r="X20" s="1816"/>
      <c r="Y20" s="3172"/>
      <c r="Z20" s="1817"/>
      <c r="AA20" s="1814">
        <v>1</v>
      </c>
      <c r="AB20" s="1814">
        <v>1</v>
      </c>
      <c r="AC20" s="1814">
        <v>1</v>
      </c>
    </row>
    <row r="21" spans="1:29" ht="85.5">
      <c r="A21" s="428"/>
      <c r="B21" s="451" t="s">
        <v>2714</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2"/>
      <c r="Q21" s="1813" t="str">
        <f>B21</f>
        <v>交通便捷度</v>
      </c>
      <c r="R21" s="774" t="s">
        <v>17</v>
      </c>
      <c r="S21" s="775">
        <f>F21</f>
        <v>100</v>
      </c>
      <c r="T21" s="774" t="s">
        <v>17</v>
      </c>
      <c r="U21" s="775">
        <f>H21</f>
        <v>100</v>
      </c>
      <c r="V21" s="774" t="s">
        <v>17</v>
      </c>
      <c r="W21" s="775">
        <f>J21</f>
        <v>100</v>
      </c>
      <c r="X21" s="1816"/>
      <c r="Y21" s="3172"/>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72"/>
      <c r="Q22" s="1813"/>
      <c r="R22" s="774"/>
      <c r="S22" s="775"/>
      <c r="T22" s="774"/>
      <c r="U22" s="775"/>
      <c r="V22" s="774"/>
      <c r="W22" s="775"/>
      <c r="X22" s="1816"/>
      <c r="Y22" s="3172"/>
      <c r="Z22" s="1817"/>
      <c r="AA22" s="1814">
        <v>1</v>
      </c>
      <c r="AB22" s="1814">
        <v>1</v>
      </c>
      <c r="AC22" s="1814">
        <v>1</v>
      </c>
    </row>
    <row r="23" spans="1:29" ht="15">
      <c r="A23" s="404"/>
      <c r="B23" s="451" t="s">
        <v>2753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2"/>
      <c r="Q23" s="1813" t="str">
        <f t="shared" ref="Q23:Q37" si="8">B23</f>
        <v>区域土地利用方向</v>
      </c>
      <c r="R23" s="774" t="s">
        <v>17</v>
      </c>
      <c r="S23" s="775">
        <f>F23</f>
        <v>100</v>
      </c>
      <c r="T23" s="774" t="s">
        <v>17</v>
      </c>
      <c r="U23" s="775">
        <f>H23</f>
        <v>100</v>
      </c>
      <c r="V23" s="774" t="s">
        <v>17</v>
      </c>
      <c r="W23" s="775">
        <f>J23</f>
        <v>100</v>
      </c>
      <c r="X23" s="1816"/>
      <c r="Y23" s="3172"/>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72"/>
      <c r="Q24" s="1813"/>
      <c r="R24" s="774"/>
      <c r="S24" s="775"/>
      <c r="T24" s="774"/>
      <c r="U24" s="775"/>
      <c r="V24" s="774"/>
      <c r="W24" s="775"/>
      <c r="X24" s="1816"/>
      <c r="Y24" s="3172"/>
      <c r="Z24" s="1817"/>
      <c r="AA24" s="1814"/>
      <c r="AB24" s="1814"/>
      <c r="AC24" s="1814"/>
    </row>
    <row r="25" spans="1:29" ht="57">
      <c r="A25" s="404"/>
      <c r="B25" s="1387" t="s">
        <v>2754</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2"/>
      <c r="Q25" s="1813" t="str">
        <f t="shared" si="8"/>
        <v>自然及人文环境状况</v>
      </c>
      <c r="R25" s="774" t="s">
        <v>17</v>
      </c>
      <c r="S25" s="775">
        <f>F25</f>
        <v>100</v>
      </c>
      <c r="T25" s="774" t="s">
        <v>17</v>
      </c>
      <c r="U25" s="775">
        <f>H25</f>
        <v>100</v>
      </c>
      <c r="V25" s="774" t="s">
        <v>17</v>
      </c>
      <c r="W25" s="775">
        <f>J25</f>
        <v>100</v>
      </c>
      <c r="X25" s="1816"/>
      <c r="Y25" s="3172"/>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72"/>
      <c r="Q26" s="1813"/>
      <c r="R26" s="774"/>
      <c r="S26" s="775"/>
      <c r="T26" s="774"/>
      <c r="U26" s="775"/>
      <c r="V26" s="774"/>
      <c r="W26" s="775"/>
      <c r="X26" s="1816"/>
      <c r="Y26" s="3172"/>
      <c r="Z26" s="1817"/>
      <c r="AA26" s="1814">
        <v>1</v>
      </c>
      <c r="AB26" s="1814">
        <v>1</v>
      </c>
      <c r="AC26" s="1814">
        <v>1</v>
      </c>
    </row>
    <row r="27" spans="1:29" s="117" customFormat="1" ht="42.75">
      <c r="A27" s="649"/>
      <c r="B27" s="1387" t="s">
        <v>2659</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2"/>
      <c r="Q27" s="1798" t="str">
        <f t="shared" si="8"/>
        <v>公共配套设施</v>
      </c>
      <c r="R27" s="770" t="s">
        <v>17</v>
      </c>
      <c r="S27" s="771">
        <f>F27</f>
        <v>100</v>
      </c>
      <c r="T27" s="770" t="s">
        <v>17</v>
      </c>
      <c r="U27" s="771">
        <f>H27</f>
        <v>100</v>
      </c>
      <c r="V27" s="770" t="s">
        <v>17</v>
      </c>
      <c r="W27" s="771">
        <f>J27</f>
        <v>100</v>
      </c>
      <c r="X27" s="772"/>
      <c r="Y27" s="3172"/>
      <c r="Z27" s="55" t="str">
        <f>Q27</f>
        <v>公共配套设施</v>
      </c>
      <c r="AA27" s="1814">
        <f>D27/F27</f>
        <v>1</v>
      </c>
      <c r="AB27" s="1814">
        <f>D27/H27</f>
        <v>1</v>
      </c>
      <c r="AC27" s="1814">
        <f>D27/J27</f>
        <v>1</v>
      </c>
    </row>
    <row r="28" spans="1:29" s="117" customFormat="1" ht="15">
      <c r="A28" s="649"/>
      <c r="B28" s="456"/>
      <c r="C28" s="2705"/>
      <c r="D28" s="448"/>
      <c r="E28" s="2618"/>
      <c r="F28" s="448"/>
      <c r="G28" s="2618"/>
      <c r="H28" s="448"/>
      <c r="I28" s="447"/>
      <c r="J28" s="448"/>
      <c r="K28" s="672"/>
      <c r="L28" s="1135"/>
      <c r="M28" s="1136"/>
      <c r="N28" s="1136"/>
      <c r="O28" s="1137"/>
      <c r="P28" s="3172"/>
      <c r="Q28" s="1798"/>
      <c r="R28" s="770"/>
      <c r="S28" s="771"/>
      <c r="T28" s="770"/>
      <c r="U28" s="771"/>
      <c r="V28" s="770"/>
      <c r="W28" s="771"/>
      <c r="X28" s="772"/>
      <c r="Y28" s="3172"/>
      <c r="Z28" s="55"/>
      <c r="AA28" s="1814">
        <v>1</v>
      </c>
      <c r="AB28" s="1814">
        <v>1</v>
      </c>
      <c r="AC28" s="1814">
        <v>1</v>
      </c>
    </row>
    <row r="29" spans="1:29" s="117" customFormat="1" ht="28.5">
      <c r="A29" s="649"/>
      <c r="B29" s="1387" t="s">
        <v>2660</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2"/>
      <c r="Q29" s="1798" t="str">
        <f t="shared" ref="Q29" si="9">B29</f>
        <v>基础设施水平</v>
      </c>
      <c r="R29" s="770" t="s">
        <v>17</v>
      </c>
      <c r="S29" s="771">
        <f>F29</f>
        <v>100</v>
      </c>
      <c r="T29" s="770" t="s">
        <v>17</v>
      </c>
      <c r="U29" s="771">
        <f>H29</f>
        <v>100</v>
      </c>
      <c r="V29" s="770" t="s">
        <v>17</v>
      </c>
      <c r="W29" s="771">
        <f>J29</f>
        <v>100</v>
      </c>
      <c r="X29" s="772"/>
      <c r="Y29" s="3172"/>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172"/>
      <c r="Q30" s="1798"/>
      <c r="R30" s="770"/>
      <c r="S30" s="771"/>
      <c r="T30" s="770"/>
      <c r="U30" s="771"/>
      <c r="V30" s="770"/>
      <c r="W30" s="771"/>
      <c r="X30" s="772"/>
      <c r="Y30" s="3172"/>
      <c r="Z30" s="55"/>
      <c r="AA30" s="1814">
        <v>1</v>
      </c>
      <c r="AB30" s="1814">
        <v>1</v>
      </c>
      <c r="AC30" s="1814">
        <v>1</v>
      </c>
    </row>
    <row r="31" spans="1:29" ht="15">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2"/>
      <c r="Z31" s="1817" t="str">
        <f t="shared" ref="Z31:Z45" si="13">Q31</f>
        <v>临街状况</v>
      </c>
      <c r="AA31" s="1814">
        <f t="shared" si="3"/>
        <v>1</v>
      </c>
      <c r="AB31" s="1814">
        <f t="shared" si="4"/>
        <v>1</v>
      </c>
      <c r="AC31" s="1814">
        <f t="shared" si="5"/>
        <v>1</v>
      </c>
    </row>
    <row r="32" spans="1:29" ht="27">
      <c r="A32" s="428"/>
      <c r="B32" s="1387"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2"/>
      <c r="Q32" s="1813" t="str">
        <f t="shared" si="8"/>
        <v>毗邻道路的类型与等级</v>
      </c>
      <c r="R32" s="774" t="s">
        <v>17</v>
      </c>
      <c r="S32" s="775">
        <f t="shared" si="10"/>
        <v>100</v>
      </c>
      <c r="T32" s="774" t="s">
        <v>17</v>
      </c>
      <c r="U32" s="775">
        <f t="shared" si="11"/>
        <v>100</v>
      </c>
      <c r="V32" s="774" t="s">
        <v>17</v>
      </c>
      <c r="W32" s="775">
        <f t="shared" si="12"/>
        <v>100</v>
      </c>
      <c r="X32" s="1816"/>
      <c r="Y32" s="3172"/>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72"/>
      <c r="Q33" s="1813"/>
      <c r="R33" s="774"/>
      <c r="S33" s="775"/>
      <c r="T33" s="774"/>
      <c r="U33" s="775"/>
      <c r="V33" s="774"/>
      <c r="W33" s="775"/>
      <c r="X33" s="1816"/>
      <c r="Y33" s="3172"/>
      <c r="Z33" s="1817"/>
      <c r="AA33" s="1814">
        <v>1</v>
      </c>
      <c r="AB33" s="1814">
        <v>1</v>
      </c>
      <c r="AC33" s="1814">
        <v>1</v>
      </c>
    </row>
    <row r="34" spans="1:29" ht="15">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2"/>
      <c r="Q34" s="1813" t="str">
        <f t="shared" si="8"/>
        <v>土地级别</v>
      </c>
      <c r="R34" s="774" t="s">
        <v>17</v>
      </c>
      <c r="S34" s="775">
        <f t="shared" si="10"/>
        <v>100</v>
      </c>
      <c r="T34" s="774" t="s">
        <v>17</v>
      </c>
      <c r="U34" s="775">
        <f t="shared" si="11"/>
        <v>100</v>
      </c>
      <c r="V34" s="774" t="s">
        <v>17</v>
      </c>
      <c r="W34" s="775">
        <f t="shared" si="12"/>
        <v>100</v>
      </c>
      <c r="X34" s="1816"/>
      <c r="Y34" s="317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2"/>
      <c r="Q35" s="1813">
        <f t="shared" si="8"/>
        <v>111</v>
      </c>
      <c r="R35" s="774" t="s">
        <v>17</v>
      </c>
      <c r="S35" s="775">
        <f t="shared" si="10"/>
        <v>100</v>
      </c>
      <c r="T35" s="774" t="s">
        <v>17</v>
      </c>
      <c r="U35" s="775">
        <f t="shared" si="11"/>
        <v>100</v>
      </c>
      <c r="V35" s="774" t="s">
        <v>17</v>
      </c>
      <c r="W35" s="775">
        <f t="shared" si="12"/>
        <v>100</v>
      </c>
      <c r="X35" s="1816"/>
      <c r="Y35" s="317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07" t="s">
        <v>2570</v>
      </c>
      <c r="Q36" s="1813">
        <f t="shared" si="8"/>
        <v>111</v>
      </c>
      <c r="R36" s="774" t="s">
        <v>17</v>
      </c>
      <c r="S36" s="775">
        <f t="shared" si="10"/>
        <v>100</v>
      </c>
      <c r="T36" s="774" t="s">
        <v>17</v>
      </c>
      <c r="U36" s="775">
        <f t="shared" si="11"/>
        <v>100</v>
      </c>
      <c r="V36" s="774" t="s">
        <v>17</v>
      </c>
      <c r="W36" s="775">
        <f t="shared" si="12"/>
        <v>100</v>
      </c>
      <c r="X36" s="1816"/>
      <c r="Y36" s="3176" t="s">
        <v>2570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6"/>
      <c r="Q37" s="1813">
        <f t="shared" si="8"/>
        <v>111</v>
      </c>
      <c r="R37" s="777" t="s">
        <v>17</v>
      </c>
      <c r="S37" s="778">
        <f t="shared" si="10"/>
        <v>100</v>
      </c>
      <c r="T37" s="777" t="s">
        <v>17</v>
      </c>
      <c r="U37" s="778">
        <f t="shared" si="11"/>
        <v>100</v>
      </c>
      <c r="V37" s="777" t="s">
        <v>17</v>
      </c>
      <c r="W37" s="778">
        <f t="shared" si="12"/>
        <v>100</v>
      </c>
      <c r="X37" s="779"/>
      <c r="Y37" s="3176"/>
      <c r="Z37" s="780">
        <f t="shared" si="13"/>
        <v>111</v>
      </c>
      <c r="AA37" s="1814">
        <f t="shared" si="3"/>
        <v>1</v>
      </c>
      <c r="AB37" s="1814">
        <f t="shared" si="4"/>
        <v>1</v>
      </c>
      <c r="AC37" s="1814">
        <f t="shared" si="5"/>
        <v>1</v>
      </c>
    </row>
    <row r="38" spans="1:29" ht="15">
      <c r="A38" s="472" t="s">
        <v>2568</v>
      </c>
      <c r="B38" s="456" t="s">
        <v>2756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6"/>
      <c r="Q38" s="1813" t="str">
        <f>B38</f>
        <v>宗地面积</v>
      </c>
      <c r="R38" s="774" t="s">
        <v>17</v>
      </c>
      <c r="S38" s="775" t="e">
        <f t="shared" si="10"/>
        <v>#N/A</v>
      </c>
      <c r="T38" s="774" t="s">
        <v>17</v>
      </c>
      <c r="U38" s="775" t="e">
        <f t="shared" si="11"/>
        <v>#N/A</v>
      </c>
      <c r="V38" s="774" t="s">
        <v>17</v>
      </c>
      <c r="W38" s="775" t="e">
        <f t="shared" si="12"/>
        <v>#N/A</v>
      </c>
      <c r="X38" s="1816"/>
      <c r="Y38" s="3176"/>
      <c r="Z38" s="1817" t="str">
        <f t="shared" si="13"/>
        <v>宗地面积</v>
      </c>
      <c r="AA38" s="1814" t="e">
        <f t="shared" si="3"/>
        <v>#N/A</v>
      </c>
      <c r="AB38" s="1814" t="e">
        <f t="shared" si="4"/>
        <v>#N/A</v>
      </c>
      <c r="AC38" s="1814" t="e">
        <f t="shared" si="5"/>
        <v>#N/A</v>
      </c>
    </row>
    <row r="39" spans="1:29" ht="15">
      <c r="A39" s="472"/>
      <c r="B39" s="422" t="s">
        <v>2757</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76"/>
      <c r="Q39" s="1813" t="str">
        <f t="shared" ref="Q39:Q45" si="14">B39</f>
        <v>宗地形状</v>
      </c>
      <c r="R39" s="774" t="s">
        <v>17</v>
      </c>
      <c r="S39" s="775">
        <f t="shared" si="10"/>
        <v>100</v>
      </c>
      <c r="T39" s="774" t="s">
        <v>17</v>
      </c>
      <c r="U39" s="775">
        <f t="shared" si="11"/>
        <v>100</v>
      </c>
      <c r="V39" s="774" t="s">
        <v>17</v>
      </c>
      <c r="W39" s="775">
        <f t="shared" si="12"/>
        <v>100</v>
      </c>
      <c r="X39" s="1816"/>
      <c r="Y39" s="3176"/>
      <c r="Z39" s="1817" t="str">
        <f t="shared" si="13"/>
        <v>宗地形状</v>
      </c>
      <c r="AA39" s="1814">
        <f t="shared" si="3"/>
        <v>1</v>
      </c>
      <c r="AB39" s="1814">
        <f t="shared" si="4"/>
        <v>1</v>
      </c>
      <c r="AC39" s="1814">
        <f t="shared" si="5"/>
        <v>1</v>
      </c>
    </row>
    <row r="40" spans="1:29" ht="15">
      <c r="A40" s="472"/>
      <c r="B40" s="422" t="s">
        <v>2758</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76"/>
      <c r="Q40" s="1813" t="str">
        <f t="shared" si="14"/>
        <v>临街宽度及深度</v>
      </c>
      <c r="R40" s="774" t="s">
        <v>17</v>
      </c>
      <c r="S40" s="775">
        <f t="shared" si="10"/>
        <v>100</v>
      </c>
      <c r="T40" s="774" t="s">
        <v>17</v>
      </c>
      <c r="U40" s="775">
        <f t="shared" si="11"/>
        <v>100</v>
      </c>
      <c r="V40" s="774" t="s">
        <v>17</v>
      </c>
      <c r="W40" s="775">
        <f t="shared" si="12"/>
        <v>100</v>
      </c>
      <c r="X40" s="1816"/>
      <c r="Y40" s="3176"/>
      <c r="Z40" s="1817" t="str">
        <f t="shared" si="13"/>
        <v>临街宽度及深度</v>
      </c>
      <c r="AA40" s="1814">
        <f t="shared" si="3"/>
        <v>1</v>
      </c>
      <c r="AB40" s="1814">
        <f t="shared" si="4"/>
        <v>1</v>
      </c>
      <c r="AC40" s="1814">
        <f t="shared" si="5"/>
        <v>1</v>
      </c>
    </row>
    <row r="41" spans="1:29" s="117" customFormat="1" ht="15">
      <c r="A41" s="473"/>
      <c r="B41" s="422" t="s">
        <v>2759</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76"/>
      <c r="Q41" s="1813" t="str">
        <f t="shared" si="14"/>
        <v>宗地开发程度</v>
      </c>
      <c r="R41" s="770" t="s">
        <v>17</v>
      </c>
      <c r="S41" s="771">
        <f t="shared" si="10"/>
        <v>100</v>
      </c>
      <c r="T41" s="770" t="s">
        <v>17</v>
      </c>
      <c r="U41" s="771">
        <f t="shared" si="11"/>
        <v>100</v>
      </c>
      <c r="V41" s="770" t="s">
        <v>17</v>
      </c>
      <c r="W41" s="771">
        <f t="shared" si="12"/>
        <v>100</v>
      </c>
      <c r="X41" s="772"/>
      <c r="Y41" s="3176"/>
      <c r="Z41" s="55" t="str">
        <f t="shared" si="13"/>
        <v>宗地开发程度</v>
      </c>
      <c r="AA41" s="773">
        <f t="shared" si="3"/>
        <v>1</v>
      </c>
      <c r="AB41" s="773">
        <f t="shared" si="4"/>
        <v>1</v>
      </c>
      <c r="AC41" s="773">
        <f t="shared" si="5"/>
        <v>1</v>
      </c>
    </row>
    <row r="42" spans="1:29" ht="15">
      <c r="A42" s="472"/>
      <c r="B42" s="422" t="s">
        <v>2760</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76" t="s">
        <v>2570</v>
      </c>
      <c r="Q42" s="1813" t="str">
        <f t="shared" si="14"/>
        <v>工程地质条件</v>
      </c>
      <c r="R42" s="774" t="s">
        <v>17</v>
      </c>
      <c r="S42" s="775">
        <f t="shared" si="10"/>
        <v>100</v>
      </c>
      <c r="T42" s="774" t="s">
        <v>17</v>
      </c>
      <c r="U42" s="775">
        <f t="shared" si="11"/>
        <v>100</v>
      </c>
      <c r="V42" s="774" t="s">
        <v>17</v>
      </c>
      <c r="W42" s="775">
        <f t="shared" si="12"/>
        <v>100</v>
      </c>
      <c r="X42" s="1816"/>
      <c r="Y42" s="3176" t="s">
        <v>2570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6"/>
      <c r="Q43" s="1813">
        <f t="shared" si="14"/>
        <v>111</v>
      </c>
      <c r="R43" s="774" t="s">
        <v>17</v>
      </c>
      <c r="S43" s="775">
        <f t="shared" si="10"/>
        <v>100</v>
      </c>
      <c r="T43" s="774" t="s">
        <v>17</v>
      </c>
      <c r="U43" s="775">
        <f t="shared" si="11"/>
        <v>100</v>
      </c>
      <c r="V43" s="774" t="s">
        <v>17</v>
      </c>
      <c r="W43" s="775">
        <f t="shared" si="12"/>
        <v>100</v>
      </c>
      <c r="X43" s="1816"/>
      <c r="Y43" s="317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6"/>
      <c r="Q44" s="1813">
        <f t="shared" si="14"/>
        <v>111</v>
      </c>
      <c r="R44" s="774" t="s">
        <v>17</v>
      </c>
      <c r="S44" s="775">
        <f t="shared" si="10"/>
        <v>100</v>
      </c>
      <c r="T44" s="774" t="s">
        <v>17</v>
      </c>
      <c r="U44" s="775">
        <f t="shared" si="11"/>
        <v>100</v>
      </c>
      <c r="V44" s="774" t="s">
        <v>17</v>
      </c>
      <c r="W44" s="775">
        <f t="shared" si="12"/>
        <v>100</v>
      </c>
      <c r="X44" s="1816"/>
      <c r="Y44" s="3176"/>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6"/>
      <c r="Q45" s="1813">
        <f t="shared" si="14"/>
        <v>111</v>
      </c>
      <c r="R45" s="777" t="s">
        <v>17</v>
      </c>
      <c r="S45" s="778">
        <f t="shared" si="10"/>
        <v>100</v>
      </c>
      <c r="T45" s="777" t="s">
        <v>17</v>
      </c>
      <c r="U45" s="778">
        <f t="shared" si="11"/>
        <v>100</v>
      </c>
      <c r="V45" s="777" t="s">
        <v>17</v>
      </c>
      <c r="W45" s="778">
        <f t="shared" si="12"/>
        <v>100</v>
      </c>
      <c r="X45" s="779"/>
      <c r="Y45" s="3176"/>
      <c r="Z45" s="780">
        <f t="shared" si="13"/>
        <v>111</v>
      </c>
      <c r="AA45" s="1814">
        <f t="shared" si="3"/>
        <v>1</v>
      </c>
      <c r="AB45" s="1814">
        <f t="shared" si="4"/>
        <v>1</v>
      </c>
      <c r="AC45" s="1814">
        <f t="shared" si="5"/>
        <v>1</v>
      </c>
    </row>
    <row r="46" spans="1:29" ht="15">
      <c r="A46" s="479" t="s">
        <v>2725</v>
      </c>
      <c r="B46" s="2709" t="s">
        <v>2761</v>
      </c>
      <c r="C46" s="682" t="s">
        <v>1</v>
      </c>
      <c r="D46" s="481"/>
      <c r="E46" s="482"/>
      <c r="F46" s="483"/>
      <c r="G46" s="484"/>
      <c r="H46" s="485"/>
      <c r="I46" s="482"/>
      <c r="J46" s="485"/>
      <c r="K46" s="783"/>
      <c r="L46" s="1146"/>
      <c r="M46" s="1147"/>
      <c r="N46" s="1134"/>
      <c r="O46" s="1147"/>
      <c r="P46" s="3169" t="str">
        <f>A46</f>
        <v>成交单价</v>
      </c>
      <c r="Q46" s="3169"/>
      <c r="R46" s="3200">
        <f>E46</f>
        <v>0</v>
      </c>
      <c r="S46" s="3200"/>
      <c r="T46" s="3200">
        <f>G46</f>
        <v>0</v>
      </c>
      <c r="U46" s="3200"/>
      <c r="V46" s="3200">
        <f>I46</f>
        <v>0</v>
      </c>
      <c r="W46" s="3200"/>
      <c r="X46" s="759"/>
      <c r="Y46" s="781"/>
      <c r="Z46" s="759"/>
      <c r="AA46" s="759"/>
      <c r="AB46" s="759"/>
      <c r="AC46" s="759"/>
    </row>
    <row r="47" spans="1:29" ht="15.75" thickBot="1">
      <c r="A47" s="486" t="s">
        <v>2674</v>
      </c>
      <c r="B47" s="683"/>
      <c r="C47" s="490" t="e">
        <f>R48</f>
        <v>#DIV/0!</v>
      </c>
      <c r="D47" s="489"/>
      <c r="E47" s="490" t="e">
        <f>R47</f>
        <v>#DIV/0!</v>
      </c>
      <c r="F47" s="491"/>
      <c r="G47" s="488" t="e">
        <f>T47</f>
        <v>#DIV/0!</v>
      </c>
      <c r="H47" s="489"/>
      <c r="I47" s="490" t="e">
        <f>V47</f>
        <v>#DIV/0!</v>
      </c>
      <c r="J47" s="489"/>
      <c r="K47" s="784"/>
      <c r="L47" s="1146"/>
      <c r="M47" s="1147"/>
      <c r="N47" s="1147"/>
      <c r="O47" s="1147"/>
      <c r="P47" s="3169" t="str">
        <f>A47</f>
        <v>比较价值（元/平方米）</v>
      </c>
      <c r="Q47" s="3169"/>
      <c r="R47" s="3308" t="e">
        <f>ROUND(PRODUCT(R46,AA7:AA45),0)</f>
        <v>#DIV/0!</v>
      </c>
      <c r="S47" s="3308"/>
      <c r="T47" s="3308" t="e">
        <f>ROUND(PRODUCT(T46,AB7:AB45),0)</f>
        <v>#DIV/0!</v>
      </c>
      <c r="U47" s="3308"/>
      <c r="V47" s="3308" t="e">
        <f>ROUND(PRODUCT(V46,AC7:AC45),0)</f>
        <v>#DIV/0!</v>
      </c>
      <c r="W47" s="3308"/>
      <c r="X47" s="759"/>
      <c r="Y47" s="759"/>
      <c r="Z47" s="759"/>
      <c r="AA47" s="759"/>
      <c r="AB47" s="759"/>
      <c r="AC47" s="759"/>
    </row>
    <row r="48" spans="1:29" ht="15.75" thickBot="1">
      <c r="A48" s="492" t="s">
        <v>2762</v>
      </c>
      <c r="B48" s="493"/>
      <c r="C48" s="494" t="e">
        <f>R48</f>
        <v>#DIV/0!</v>
      </c>
      <c r="D48" s="494"/>
      <c r="E48" s="494"/>
      <c r="F48" s="494"/>
      <c r="G48" s="494"/>
      <c r="H48" s="494"/>
      <c r="I48" s="494"/>
      <c r="J48" s="494"/>
      <c r="K48" s="785"/>
      <c r="L48" s="1146"/>
      <c r="M48" s="1147"/>
      <c r="N48" s="1147"/>
      <c r="O48" s="1147"/>
      <c r="P48" s="3166" t="str">
        <f>A48</f>
        <v>估价对象XX用房的比较价值（楼面单价，元/平方米）</v>
      </c>
      <c r="Q48" s="3167"/>
      <c r="R48" s="3309" t="e">
        <f>ROUND(AVERAGE(R47:V47),0)</f>
        <v>#DIV/0!</v>
      </c>
      <c r="S48" s="3309"/>
      <c r="T48" s="3309"/>
      <c r="U48" s="3309"/>
      <c r="V48" s="3309"/>
      <c r="W48" s="330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2763</v>
      </c>
      <c r="B55" s="685" t="s">
        <v>2764</v>
      </c>
      <c r="C55" s="2710" t="s">
        <v>2765</v>
      </c>
      <c r="D55" s="2711" t="s">
        <v>2766</v>
      </c>
      <c r="E55" s="686" t="s">
        <v>2767</v>
      </c>
      <c r="F55" s="1110" t="s">
        <v>2768</v>
      </c>
      <c r="G55" s="3184" t="s">
        <v>2769</v>
      </c>
      <c r="H55" s="3310"/>
      <c r="I55" s="144" t="s">
        <v>2770</v>
      </c>
      <c r="J55" s="2712">
        <f>项目基本情况!F35</f>
        <v>0</v>
      </c>
      <c r="K55" s="2713" t="s">
        <v>2771</v>
      </c>
      <c r="L55" s="1109"/>
      <c r="M55" s="1147"/>
      <c r="N55" s="1147"/>
      <c r="O55" s="1147"/>
    </row>
    <row r="56" spans="1:15" s="692" customFormat="1">
      <c r="A56" s="688" t="s">
        <v>2772</v>
      </c>
      <c r="B56" s="689" t="e">
        <f>C48</f>
        <v>#DIV/0!</v>
      </c>
      <c r="C56" s="690">
        <v>1</v>
      </c>
      <c r="D56" s="1166">
        <v>1</v>
      </c>
      <c r="E56" s="690">
        <f>'数据-汇总表'!E8+'数据-汇总表'!E9</f>
        <v>166.41</v>
      </c>
      <c r="F56" s="1106" t="e">
        <f t="shared" ref="F56:F65" si="15">ROUND(B56*E56/10000,0)</f>
        <v>#DIV/0!</v>
      </c>
      <c r="G56" s="3180"/>
      <c r="H56" s="3169"/>
      <c r="I56" s="1111">
        <v>1</v>
      </c>
      <c r="J56" s="1114">
        <v>1</v>
      </c>
      <c r="K56" s="1148"/>
      <c r="L56" s="944"/>
      <c r="M56" s="944"/>
      <c r="N56" s="944"/>
      <c r="O56" s="944"/>
    </row>
    <row r="57" spans="1:15" s="692" customFormat="1">
      <c r="A57" s="693" t="s">
        <v>2773</v>
      </c>
      <c r="B57" s="262" t="e">
        <f>ROUND($C$48*C57*D57,0)</f>
        <v>#DIV/0!</v>
      </c>
      <c r="C57" s="200">
        <f t="shared" ref="C57:C65" si="16">IF($C$55="北京市系数",I57,J57)</f>
        <v>0</v>
      </c>
      <c r="D57" s="1167">
        <v>0.25</v>
      </c>
      <c r="E57" s="694"/>
      <c r="F57" s="1106" t="e">
        <f t="shared" si="15"/>
        <v>#DIV/0!</v>
      </c>
      <c r="G57" s="3311" t="s">
        <v>2774</v>
      </c>
      <c r="H57" s="1107">
        <f>项目基本情况!B37</f>
        <v>0</v>
      </c>
      <c r="I57" s="1111">
        <f>SUMIF(修正!A45:A56,H57,修正!B45:B56)</f>
        <v>0</v>
      </c>
      <c r="J57" s="1115"/>
      <c r="K57" s="1147"/>
      <c r="L57" s="944"/>
      <c r="M57" s="944"/>
      <c r="N57" s="944"/>
      <c r="O57" s="944"/>
    </row>
    <row r="58" spans="1:15" s="692" customFormat="1">
      <c r="A58" s="693" t="s">
        <v>2775</v>
      </c>
      <c r="B58" s="262" t="e">
        <f t="shared" ref="B58:B65" si="17">ROUND($C$48*C58*D58,0)</f>
        <v>#DIV/0!</v>
      </c>
      <c r="C58" s="200">
        <f t="shared" si="16"/>
        <v>0</v>
      </c>
      <c r="D58" s="1167">
        <v>0.25</v>
      </c>
      <c r="E58" s="694"/>
      <c r="F58" s="1106" t="e">
        <f t="shared" si="15"/>
        <v>#DIV/0!</v>
      </c>
      <c r="G58" s="3311"/>
      <c r="H58" s="1107">
        <f>项目基本情况!B37</f>
        <v>0</v>
      </c>
      <c r="I58" s="1111">
        <f>SUMIF(修正!A45:A56,H58,修正!C45:C56)</f>
        <v>0</v>
      </c>
      <c r="J58" s="1115"/>
      <c r="K58" s="1148"/>
      <c r="L58" s="944"/>
      <c r="M58" s="944"/>
      <c r="N58" s="944"/>
      <c r="O58" s="944"/>
    </row>
    <row r="59" spans="1:15" s="692" customFormat="1">
      <c r="A59" s="693" t="s">
        <v>2776</v>
      </c>
      <c r="B59" s="262" t="e">
        <f t="shared" si="17"/>
        <v>#DIV/0!</v>
      </c>
      <c r="C59" s="200">
        <f t="shared" si="16"/>
        <v>0</v>
      </c>
      <c r="D59" s="1167">
        <v>0.25</v>
      </c>
      <c r="E59" s="694"/>
      <c r="F59" s="1106" t="e">
        <f t="shared" si="15"/>
        <v>#DIV/0!</v>
      </c>
      <c r="G59" s="3311"/>
      <c r="H59" s="1107">
        <f>项目基本情况!B37</f>
        <v>0</v>
      </c>
      <c r="I59" s="1111">
        <f>SUMIF(修正!A45:A56,H59,修正!D45:D56)</f>
        <v>0</v>
      </c>
      <c r="J59" s="1115"/>
      <c r="K59" s="1147"/>
      <c r="L59" s="944"/>
      <c r="M59" s="944"/>
      <c r="N59" s="944"/>
      <c r="O59" s="944"/>
    </row>
    <row r="60" spans="1:15" s="692" customFormat="1">
      <c r="A60" s="693" t="s">
        <v>2777</v>
      </c>
      <c r="B60" s="262" t="e">
        <f t="shared" si="17"/>
        <v>#DIV/0!</v>
      </c>
      <c r="C60" s="200">
        <f t="shared" si="16"/>
        <v>0</v>
      </c>
      <c r="D60" s="1167">
        <v>0.25</v>
      </c>
      <c r="E60" s="694"/>
      <c r="F60" s="1106" t="e">
        <f t="shared" si="15"/>
        <v>#DIV/0!</v>
      </c>
      <c r="G60" s="3311"/>
      <c r="H60" s="1107">
        <f>项目基本情况!B37</f>
        <v>0</v>
      </c>
      <c r="I60" s="1111">
        <f>SUMIF(修正!A45:A56,H60,修正!E45:E56)</f>
        <v>0</v>
      </c>
      <c r="J60" s="1115"/>
      <c r="K60" s="1148"/>
      <c r="L60" s="944"/>
      <c r="M60" s="944"/>
      <c r="N60" s="944"/>
      <c r="O60" s="944"/>
    </row>
    <row r="61" spans="1:15" s="692" customFormat="1">
      <c r="A61" s="693" t="s">
        <v>2778</v>
      </c>
      <c r="B61" s="262" t="e">
        <f t="shared" si="17"/>
        <v>#DIV/0!</v>
      </c>
      <c r="C61" s="200">
        <f t="shared" si="16"/>
        <v>0</v>
      </c>
      <c r="D61" s="1167">
        <v>0.25</v>
      </c>
      <c r="E61" s="261">
        <f>'数据-汇总表'!E11</f>
        <v>0</v>
      </c>
      <c r="F61" s="1106" t="e">
        <f t="shared" si="15"/>
        <v>#DIV/0!</v>
      </c>
      <c r="G61" s="2714" t="s">
        <v>2779</v>
      </c>
      <c r="H61" s="1107">
        <f>项目基本情况!C37</f>
        <v>0</v>
      </c>
      <c r="I61" s="1111">
        <f>SUMIF(修正!A45:A56,H61,修正!F45:F56)</f>
        <v>0</v>
      </c>
      <c r="J61" s="1115"/>
      <c r="K61" s="1147"/>
      <c r="L61" s="944"/>
      <c r="M61" s="944"/>
      <c r="N61" s="944"/>
      <c r="O61" s="944"/>
    </row>
    <row r="62" spans="1:15" s="692" customFormat="1">
      <c r="A62" s="693" t="s">
        <v>2780</v>
      </c>
      <c r="B62" s="262" t="e">
        <f t="shared" si="17"/>
        <v>#DIV/0!</v>
      </c>
      <c r="C62" s="200">
        <f t="shared" si="16"/>
        <v>0</v>
      </c>
      <c r="D62" s="1167">
        <v>0.25</v>
      </c>
      <c r="E62" s="261">
        <f>'数据-汇总表'!E12</f>
        <v>0</v>
      </c>
      <c r="F62" s="1106" t="e">
        <f t="shared" si="15"/>
        <v>#DIV/0!</v>
      </c>
      <c r="G62" s="1112" t="s">
        <v>2781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2782</v>
      </c>
      <c r="B63" s="262" t="e">
        <f t="shared" si="17"/>
        <v>#DIV/0!</v>
      </c>
      <c r="C63" s="200">
        <f t="shared" si="16"/>
        <v>0.25</v>
      </c>
      <c r="D63" s="1167">
        <v>0.25</v>
      </c>
      <c r="E63" s="261">
        <f>'数据-汇总表'!E13</f>
        <v>0</v>
      </c>
      <c r="F63" s="1106" t="e">
        <f t="shared" si="15"/>
        <v>#DIV/0!</v>
      </c>
      <c r="G63" s="1112" t="s">
        <v>2783</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2784</v>
      </c>
      <c r="B64" s="262" t="e">
        <f t="shared" si="17"/>
        <v>#DIV/0!</v>
      </c>
      <c r="C64" s="200">
        <f t="shared" si="16"/>
        <v>0</v>
      </c>
      <c r="D64" s="1167">
        <v>0.25</v>
      </c>
      <c r="E64" s="261">
        <f>'数据-汇总表'!E14</f>
        <v>0</v>
      </c>
      <c r="F64" s="1106" t="e">
        <f t="shared" si="15"/>
        <v>#DIV/0!</v>
      </c>
      <c r="G64" s="2714" t="s">
        <v>2774</v>
      </c>
      <c r="H64" s="1107">
        <f>项目基本情况!B37</f>
        <v>0</v>
      </c>
      <c r="I64" s="1111">
        <f>SUMIF(修正!A45:A56,H64,修正!H45:H56)</f>
        <v>0</v>
      </c>
      <c r="J64" s="1115"/>
      <c r="K64" s="1148"/>
      <c r="L64" s="944"/>
      <c r="M64" s="944"/>
      <c r="N64" s="944"/>
      <c r="O64" s="944"/>
    </row>
    <row r="65" spans="1:17" s="692" customFormat="1" ht="15" thickBot="1">
      <c r="A65" s="693" t="s">
        <v>2785</v>
      </c>
      <c r="B65" s="262" t="e">
        <f t="shared" si="17"/>
        <v>#DIV/0!</v>
      </c>
      <c r="C65" s="200">
        <f t="shared" si="16"/>
        <v>0</v>
      </c>
      <c r="D65" s="1167">
        <v>0.25</v>
      </c>
      <c r="E65" s="261">
        <f>'数据-汇总表'!E15</f>
        <v>0</v>
      </c>
      <c r="F65" s="1106" t="e">
        <f t="shared" si="15"/>
        <v>#DIV/0!</v>
      </c>
      <c r="G65" s="2715" t="s">
        <v>2779</v>
      </c>
      <c r="H65" s="1117">
        <f>项目基本情况!C37</f>
        <v>0</v>
      </c>
      <c r="I65" s="1113">
        <f>SUMIF(修正!A45:A56,H65,修正!H45:H56)</f>
        <v>0</v>
      </c>
      <c r="J65" s="1116"/>
      <c r="K65" s="1147"/>
      <c r="L65" s="944"/>
      <c r="M65" s="944"/>
      <c r="N65" s="944"/>
      <c r="O65" s="944"/>
    </row>
    <row r="66" spans="1:17" s="692" customFormat="1" ht="13.5" thickBot="1">
      <c r="A66" s="695" t="s">
        <v>2786</v>
      </c>
      <c r="B66" s="696" t="s">
        <v>28</v>
      </c>
      <c r="C66" s="696" t="s">
        <v>29</v>
      </c>
      <c r="D66" s="696" t="s">
        <v>1029</v>
      </c>
      <c r="E66" s="696">
        <f>IF(B46="楼面地价",SUM(E56:E65),'数据-汇总表'!D3)</f>
        <v>166.41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6" t="s">
        <v>2787</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7" t="s">
        <v>2788</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2593</v>
      </c>
      <c r="B75" s="528" t="s">
        <v>2559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2789</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2790</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2791</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2792</v>
      </c>
      <c r="D104" s="539" t="s">
        <v>2793</v>
      </c>
      <c r="E104" s="539" t="s">
        <v>2794</v>
      </c>
      <c r="F104" s="539" t="s">
        <v>2795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2568</v>
      </c>
      <c r="B116" s="528" t="s">
        <v>2796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14" sqref="C14"/>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2801</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84" t="s">
        <v>2651</v>
      </c>
      <c r="D4" s="3185"/>
      <c r="E4" s="3186" t="s">
        <v>2652</v>
      </c>
      <c r="F4" s="3187"/>
      <c r="G4" s="3184" t="s">
        <v>2653</v>
      </c>
      <c r="H4" s="3185"/>
      <c r="I4" s="3184" t="s">
        <v>2654</v>
      </c>
      <c r="J4" s="3185"/>
      <c r="K4" s="610" t="s">
        <v>2655</v>
      </c>
      <c r="L4" s="1133"/>
      <c r="M4" s="1134"/>
      <c r="N4" s="1134"/>
      <c r="O4" s="1134"/>
      <c r="P4" s="3188" t="s">
        <v>2656</v>
      </c>
      <c r="Q4" s="3189"/>
      <c r="R4" s="3194" t="s">
        <v>2652</v>
      </c>
      <c r="S4" s="3195"/>
      <c r="T4" s="3194" t="s">
        <v>2653</v>
      </c>
      <c r="U4" s="3195"/>
      <c r="V4" s="3200" t="s">
        <v>2654</v>
      </c>
      <c r="W4" s="3200"/>
      <c r="X4" s="1816"/>
      <c r="Y4" s="3194" t="s">
        <v>2656</v>
      </c>
      <c r="Z4" s="3195"/>
      <c r="AA4" s="3181" t="s">
        <v>2652</v>
      </c>
      <c r="AB4" s="3182" t="s">
        <v>2653</v>
      </c>
      <c r="AC4" s="3181" t="s">
        <v>2654</v>
      </c>
    </row>
    <row r="5" spans="1:29" ht="15">
      <c r="A5" s="404"/>
      <c r="B5" s="405"/>
      <c r="C5" s="3208" t="s">
        <v>2547</v>
      </c>
      <c r="D5" s="3204"/>
      <c r="E5" s="3291" t="s">
        <v>2548</v>
      </c>
      <c r="F5" s="3212"/>
      <c r="G5" s="3208" t="s">
        <v>2549</v>
      </c>
      <c r="H5" s="3204"/>
      <c r="I5" s="3208" t="s">
        <v>2550</v>
      </c>
      <c r="J5" s="3204"/>
      <c r="K5" s="610"/>
      <c r="L5" s="1133"/>
      <c r="M5" s="1134"/>
      <c r="N5" s="1134"/>
      <c r="O5" s="1134"/>
      <c r="P5" s="3190"/>
      <c r="Q5" s="3191"/>
      <c r="R5" s="3196"/>
      <c r="S5" s="3197"/>
      <c r="T5" s="3196"/>
      <c r="U5" s="3197"/>
      <c r="V5" s="3200"/>
      <c r="W5" s="3200"/>
      <c r="X5" s="1816"/>
      <c r="Y5" s="3196"/>
      <c r="Z5" s="3197"/>
      <c r="AA5" s="3182"/>
      <c r="AB5" s="3182"/>
      <c r="AC5" s="3182"/>
    </row>
    <row r="6" spans="1:29" ht="15.75" thickBot="1">
      <c r="A6" s="406"/>
      <c r="B6" s="407"/>
      <c r="C6" s="3312" t="s">
        <v>2802</v>
      </c>
      <c r="D6" s="3313"/>
      <c r="E6" s="3314" t="s">
        <v>2802</v>
      </c>
      <c r="F6" s="3315"/>
      <c r="G6" s="3312" t="s">
        <v>2802</v>
      </c>
      <c r="H6" s="3313"/>
      <c r="I6" s="3312" t="s">
        <v>2802</v>
      </c>
      <c r="J6" s="3313"/>
      <c r="K6" s="610" t="s">
        <v>2552</v>
      </c>
      <c r="L6" s="1133"/>
      <c r="M6" s="1134"/>
      <c r="N6" s="1134"/>
      <c r="O6" s="1134"/>
      <c r="P6" s="3192"/>
      <c r="Q6" s="3193"/>
      <c r="R6" s="3196"/>
      <c r="S6" s="3197"/>
      <c r="T6" s="3198"/>
      <c r="U6" s="3199"/>
      <c r="V6" s="3200"/>
      <c r="W6" s="3200"/>
      <c r="X6" s="1816"/>
      <c r="Y6" s="3198"/>
      <c r="Z6" s="3199"/>
      <c r="AA6" s="3183"/>
      <c r="AB6" s="3183"/>
      <c r="AC6" s="3183"/>
    </row>
    <row r="7" spans="1:29" s="117" customFormat="1" ht="15.75" thickBot="1">
      <c r="A7" s="408" t="s">
        <v>2553</v>
      </c>
      <c r="B7" s="409"/>
      <c r="C7" s="410">
        <f>'数据-取费表'!B2</f>
        <v>43280</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05" t="s">
        <v>2554</v>
      </c>
      <c r="Q7" s="3207"/>
      <c r="R7" s="770" t="s">
        <v>17</v>
      </c>
      <c r="S7" s="771">
        <f t="shared" ref="S7:S15" si="0">F7</f>
        <v>0</v>
      </c>
      <c r="T7" s="770" t="s">
        <v>17</v>
      </c>
      <c r="U7" s="771">
        <f t="shared" ref="U7:U15" si="1">H7</f>
        <v>0</v>
      </c>
      <c r="V7" s="770" t="s">
        <v>17</v>
      </c>
      <c r="W7" s="771">
        <f t="shared" ref="W7:W15" si="2">J7</f>
        <v>0</v>
      </c>
      <c r="X7" s="772"/>
      <c r="Y7" s="3205" t="s">
        <v>2554</v>
      </c>
      <c r="Z7" s="3206"/>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5" t="s">
        <v>2557</v>
      </c>
      <c r="Q8" s="3206"/>
      <c r="R8" s="770" t="s">
        <v>17</v>
      </c>
      <c r="S8" s="771">
        <f t="shared" si="0"/>
        <v>0</v>
      </c>
      <c r="T8" s="770" t="s">
        <v>17</v>
      </c>
      <c r="U8" s="771">
        <f t="shared" si="1"/>
        <v>0</v>
      </c>
      <c r="V8" s="770" t="s">
        <v>17</v>
      </c>
      <c r="W8" s="771">
        <f t="shared" si="2"/>
        <v>0</v>
      </c>
      <c r="X8" s="772"/>
      <c r="Y8" s="3205" t="s">
        <v>2557</v>
      </c>
      <c r="Z8" s="3206"/>
      <c r="AA8" s="773" t="e">
        <f t="shared" ref="AA8:AA40" si="3">D8/F8</f>
        <v>#DIV/0!</v>
      </c>
      <c r="AB8" s="773" t="e">
        <f t="shared" ref="AB8:AB40" si="4">D8/H8</f>
        <v>#DIV/0!</v>
      </c>
      <c r="AC8" s="773" t="e">
        <f t="shared" ref="AC8:AC40" si="5">D8/J8</f>
        <v>#DIV/0!</v>
      </c>
    </row>
    <row r="9" spans="1:29" s="117" customFormat="1">
      <c r="A9" s="415" t="s">
        <v>2558</v>
      </c>
      <c r="B9" s="71" t="s">
        <v>2559</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69" t="s">
        <v>2560</v>
      </c>
      <c r="Q9" s="1798" t="str">
        <f t="shared" ref="Q9:Q15" si="6">B9</f>
        <v>用途</v>
      </c>
      <c r="R9" s="770" t="s">
        <v>17</v>
      </c>
      <c r="S9" s="771">
        <f t="shared" si="0"/>
        <v>100</v>
      </c>
      <c r="T9" s="770" t="s">
        <v>17</v>
      </c>
      <c r="U9" s="771">
        <f t="shared" si="1"/>
        <v>100</v>
      </c>
      <c r="V9" s="770" t="s">
        <v>17</v>
      </c>
      <c r="W9" s="771">
        <f t="shared" si="2"/>
        <v>100</v>
      </c>
      <c r="X9" s="772"/>
      <c r="Y9" s="3024"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169"/>
      <c r="Q10" s="1798" t="str">
        <f t="shared" si="6"/>
        <v>土地使用年限（年）</v>
      </c>
      <c r="R10" s="770" t="s">
        <v>17</v>
      </c>
      <c r="S10" s="771">
        <f t="shared" si="0"/>
        <v>105</v>
      </c>
      <c r="T10" s="770" t="s">
        <v>17</v>
      </c>
      <c r="U10" s="771">
        <f t="shared" si="1"/>
        <v>105</v>
      </c>
      <c r="V10" s="770" t="s">
        <v>17</v>
      </c>
      <c r="W10" s="771">
        <f t="shared" si="2"/>
        <v>105</v>
      </c>
      <c r="X10" s="772"/>
      <c r="Y10" s="3024"/>
      <c r="Z10" s="55" t="str">
        <f t="shared" si="7"/>
        <v>土地使用年限（年）</v>
      </c>
      <c r="AA10" s="773">
        <f t="shared" si="3"/>
        <v>0.95238095238095233</v>
      </c>
      <c r="AB10" s="773">
        <f t="shared" si="4"/>
        <v>0.95238095238095233</v>
      </c>
      <c r="AC10" s="773">
        <f t="shared" si="5"/>
        <v>0.95238095238095233</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9"/>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9"/>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2564</v>
      </c>
      <c r="B15" s="629" t="s">
        <v>2803</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1" t="s">
        <v>2565</v>
      </c>
      <c r="Q15" s="1813" t="str">
        <f t="shared" si="6"/>
        <v>产业集聚程度</v>
      </c>
      <c r="R15" s="774" t="s">
        <v>17</v>
      </c>
      <c r="S15" s="775">
        <f t="shared" si="0"/>
        <v>100</v>
      </c>
      <c r="T15" s="774" t="s">
        <v>17</v>
      </c>
      <c r="U15" s="775">
        <f t="shared" si="1"/>
        <v>100</v>
      </c>
      <c r="V15" s="774" t="s">
        <v>17</v>
      </c>
      <c r="W15" s="775">
        <f t="shared" si="2"/>
        <v>100</v>
      </c>
      <c r="X15" s="1816"/>
      <c r="Y15" s="3171" t="s">
        <v>2565</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72"/>
      <c r="Q16" s="1813"/>
      <c r="R16" s="774"/>
      <c r="S16" s="775"/>
      <c r="T16" s="774"/>
      <c r="U16" s="775"/>
      <c r="V16" s="774"/>
      <c r="W16" s="775"/>
      <c r="X16" s="1816"/>
      <c r="Y16" s="3172"/>
      <c r="Z16" s="1817"/>
      <c r="AA16" s="1814">
        <v>1</v>
      </c>
      <c r="AB16" s="1814">
        <v>1</v>
      </c>
      <c r="AC16" s="1814">
        <v>1</v>
      </c>
    </row>
    <row r="17" spans="1:29" ht="85.5">
      <c r="A17" s="428"/>
      <c r="B17" s="631" t="s">
        <v>2714</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2"/>
      <c r="Q17" s="1813" t="str">
        <f>B17</f>
        <v>交通便捷度</v>
      </c>
      <c r="R17" s="774" t="s">
        <v>17</v>
      </c>
      <c r="S17" s="775">
        <f>F17</f>
        <v>100</v>
      </c>
      <c r="T17" s="774" t="s">
        <v>17</v>
      </c>
      <c r="U17" s="775">
        <f>H17</f>
        <v>100</v>
      </c>
      <c r="V17" s="774" t="s">
        <v>17</v>
      </c>
      <c r="W17" s="775">
        <f>J17</f>
        <v>100</v>
      </c>
      <c r="X17" s="1816"/>
      <c r="Y17" s="3172"/>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72"/>
      <c r="Q18" s="1813"/>
      <c r="R18" s="774"/>
      <c r="S18" s="775"/>
      <c r="T18" s="774"/>
      <c r="U18" s="775"/>
      <c r="V18" s="774"/>
      <c r="W18" s="775"/>
      <c r="X18" s="1816"/>
      <c r="Y18" s="3172"/>
      <c r="Z18" s="1817"/>
      <c r="AA18" s="1814">
        <v>1</v>
      </c>
      <c r="AB18" s="1814">
        <v>1</v>
      </c>
      <c r="AC18" s="1814">
        <v>1</v>
      </c>
    </row>
    <row r="19" spans="1:29" ht="15">
      <c r="A19" s="428"/>
      <c r="B19" s="631" t="s">
        <v>2753</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2"/>
      <c r="Q19" s="1813" t="str">
        <f t="shared" ref="Q19:Q33" si="8">B19</f>
        <v>区域土地利用方向</v>
      </c>
      <c r="R19" s="774" t="s">
        <v>17</v>
      </c>
      <c r="S19" s="775">
        <f>F19</f>
        <v>100</v>
      </c>
      <c r="T19" s="774" t="s">
        <v>17</v>
      </c>
      <c r="U19" s="775">
        <f>H19</f>
        <v>100</v>
      </c>
      <c r="V19" s="774" t="s">
        <v>17</v>
      </c>
      <c r="W19" s="775">
        <f>J19</f>
        <v>100</v>
      </c>
      <c r="X19" s="1816"/>
      <c r="Y19" s="3172"/>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72"/>
      <c r="Q20" s="1813"/>
      <c r="R20" s="774"/>
      <c r="S20" s="775"/>
      <c r="T20" s="774"/>
      <c r="U20" s="775"/>
      <c r="V20" s="774"/>
      <c r="W20" s="775"/>
      <c r="X20" s="1816"/>
      <c r="Y20" s="3172"/>
      <c r="Z20" s="1817"/>
      <c r="AA20" s="1814"/>
      <c r="AB20" s="1814"/>
      <c r="AC20" s="1814"/>
    </row>
    <row r="21" spans="1:29" ht="71.25">
      <c r="A21" s="404"/>
      <c r="B21" s="631" t="s">
        <v>2804</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2"/>
      <c r="Q21" s="1813" t="str">
        <f t="shared" si="8"/>
        <v>环境状况</v>
      </c>
      <c r="R21" s="774" t="s">
        <v>17</v>
      </c>
      <c r="S21" s="775">
        <f>F21</f>
        <v>100</v>
      </c>
      <c r="T21" s="774" t="s">
        <v>17</v>
      </c>
      <c r="U21" s="775">
        <f>H21</f>
        <v>100</v>
      </c>
      <c r="V21" s="774" t="s">
        <v>17</v>
      </c>
      <c r="W21" s="775">
        <f>J21</f>
        <v>100</v>
      </c>
      <c r="X21" s="1816"/>
      <c r="Y21" s="3172"/>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72"/>
      <c r="Q22" s="1813"/>
      <c r="R22" s="774"/>
      <c r="S22" s="775"/>
      <c r="T22" s="774"/>
      <c r="U22" s="775"/>
      <c r="V22" s="774"/>
      <c r="W22" s="775"/>
      <c r="X22" s="1816"/>
      <c r="Y22" s="3172"/>
      <c r="Z22" s="1817"/>
      <c r="AA22" s="1814">
        <v>1</v>
      </c>
      <c r="AB22" s="1814">
        <v>1</v>
      </c>
      <c r="AC22" s="1814">
        <v>1</v>
      </c>
    </row>
    <row r="23" spans="1:29" s="117" customFormat="1" ht="42.75">
      <c r="A23" s="649"/>
      <c r="B23" s="633" t="s">
        <v>2659</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2"/>
      <c r="Q23" s="1798" t="str">
        <f t="shared" si="8"/>
        <v>公共配套设施</v>
      </c>
      <c r="R23" s="770" t="s">
        <v>17</v>
      </c>
      <c r="S23" s="771">
        <f>F23</f>
        <v>100</v>
      </c>
      <c r="T23" s="770" t="s">
        <v>17</v>
      </c>
      <c r="U23" s="771">
        <f>H23</f>
        <v>100</v>
      </c>
      <c r="V23" s="770" t="s">
        <v>17</v>
      </c>
      <c r="W23" s="771">
        <f>J23</f>
        <v>100</v>
      </c>
      <c r="X23" s="772"/>
      <c r="Y23" s="3172"/>
      <c r="Z23" s="55" t="str">
        <f>Q23</f>
        <v>公共配套设施</v>
      </c>
      <c r="AA23" s="1814">
        <f>D23/F23</f>
        <v>1</v>
      </c>
      <c r="AB23" s="1814">
        <f>D23/H23</f>
        <v>1</v>
      </c>
      <c r="AC23" s="1814">
        <f>D23/J23</f>
        <v>1</v>
      </c>
    </row>
    <row r="24" spans="1:29" s="117" customFormat="1" ht="15">
      <c r="A24" s="649"/>
      <c r="B24" s="632"/>
      <c r="C24" s="2705"/>
      <c r="D24" s="448"/>
      <c r="E24" s="2618"/>
      <c r="F24" s="448"/>
      <c r="G24" s="2618"/>
      <c r="H24" s="448"/>
      <c r="I24" s="447"/>
      <c r="J24" s="448"/>
      <c r="K24" s="672"/>
      <c r="L24" s="1135"/>
      <c r="M24" s="1136"/>
      <c r="N24" s="1136"/>
      <c r="O24" s="1137"/>
      <c r="P24" s="3172"/>
      <c r="Q24" s="1798"/>
      <c r="R24" s="770"/>
      <c r="S24" s="771"/>
      <c r="T24" s="770"/>
      <c r="U24" s="771"/>
      <c r="V24" s="770"/>
      <c r="W24" s="771"/>
      <c r="X24" s="772"/>
      <c r="Y24" s="3172"/>
      <c r="Z24" s="55"/>
      <c r="AA24" s="773">
        <v>1</v>
      </c>
      <c r="AB24" s="773">
        <v>1</v>
      </c>
      <c r="AC24" s="773">
        <v>1</v>
      </c>
    </row>
    <row r="25" spans="1:29" s="117" customFormat="1" ht="28.5">
      <c r="A25" s="649"/>
      <c r="B25" s="633" t="s">
        <v>2660</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2"/>
      <c r="Q25" s="1798" t="str">
        <f t="shared" ref="Q25" si="9">B25</f>
        <v>基础设施水平</v>
      </c>
      <c r="R25" s="770" t="s">
        <v>17</v>
      </c>
      <c r="S25" s="771">
        <f>F25</f>
        <v>100</v>
      </c>
      <c r="T25" s="770" t="s">
        <v>17</v>
      </c>
      <c r="U25" s="771">
        <f>H25</f>
        <v>100</v>
      </c>
      <c r="V25" s="770" t="s">
        <v>17</v>
      </c>
      <c r="W25" s="771">
        <f>J25</f>
        <v>100</v>
      </c>
      <c r="X25" s="772"/>
      <c r="Y25" s="3172"/>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172"/>
      <c r="Q26" s="1798"/>
      <c r="R26" s="770"/>
      <c r="S26" s="771"/>
      <c r="T26" s="770"/>
      <c r="U26" s="771"/>
      <c r="V26" s="770"/>
      <c r="W26" s="771"/>
      <c r="X26" s="772"/>
      <c r="Y26" s="3172"/>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2"/>
      <c r="Z27" s="1817" t="str">
        <f t="shared" ref="Z27:Z40" si="13">Q27</f>
        <v>临街状况</v>
      </c>
      <c r="AA27" s="1814">
        <f t="shared" si="3"/>
        <v>1</v>
      </c>
      <c r="AB27" s="1814">
        <f t="shared" si="4"/>
        <v>1</v>
      </c>
      <c r="AC27" s="1814">
        <f t="shared" si="5"/>
        <v>1</v>
      </c>
    </row>
    <row r="28" spans="1:29" ht="27">
      <c r="A28" s="428"/>
      <c r="B28" s="633" t="s">
        <v>2696</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2"/>
      <c r="Q28" s="1813" t="str">
        <f t="shared" si="8"/>
        <v>毗邻道路的类型与等级</v>
      </c>
      <c r="R28" s="774" t="s">
        <v>17</v>
      </c>
      <c r="S28" s="775">
        <f t="shared" si="10"/>
        <v>100</v>
      </c>
      <c r="T28" s="774" t="s">
        <v>17</v>
      </c>
      <c r="U28" s="775">
        <f t="shared" si="11"/>
        <v>100</v>
      </c>
      <c r="V28" s="774" t="s">
        <v>17</v>
      </c>
      <c r="W28" s="775">
        <f t="shared" si="12"/>
        <v>100</v>
      </c>
      <c r="X28" s="1816"/>
      <c r="Y28" s="3172"/>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72"/>
      <c r="Q29" s="1813"/>
      <c r="R29" s="774"/>
      <c r="S29" s="775"/>
      <c r="T29" s="774"/>
      <c r="U29" s="775"/>
      <c r="V29" s="774"/>
      <c r="W29" s="775"/>
      <c r="X29" s="1816"/>
      <c r="Y29" s="3172"/>
      <c r="Z29" s="1817"/>
      <c r="AA29" s="1814">
        <v>1</v>
      </c>
      <c r="AB29" s="1814">
        <v>1</v>
      </c>
      <c r="AC29" s="1814">
        <v>1</v>
      </c>
    </row>
    <row r="30" spans="1:29" ht="15">
      <c r="A30" s="428"/>
      <c r="B30" s="654" t="s">
        <v>2755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2"/>
      <c r="Q30" s="1813" t="str">
        <f t="shared" si="8"/>
        <v>土地级别</v>
      </c>
      <c r="R30" s="774" t="s">
        <v>17</v>
      </c>
      <c r="S30" s="775">
        <f t="shared" si="10"/>
        <v>100</v>
      </c>
      <c r="T30" s="774" t="s">
        <v>17</v>
      </c>
      <c r="U30" s="775">
        <f t="shared" si="11"/>
        <v>100</v>
      </c>
      <c r="V30" s="774" t="s">
        <v>17</v>
      </c>
      <c r="W30" s="775">
        <f t="shared" si="12"/>
        <v>100</v>
      </c>
      <c r="X30" s="1816"/>
      <c r="Y30" s="3172"/>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2"/>
      <c r="Q31" s="1813">
        <f t="shared" si="8"/>
        <v>111</v>
      </c>
      <c r="R31" s="774" t="s">
        <v>17</v>
      </c>
      <c r="S31" s="775">
        <f t="shared" si="10"/>
        <v>100</v>
      </c>
      <c r="T31" s="774" t="s">
        <v>17</v>
      </c>
      <c r="U31" s="775">
        <f t="shared" si="11"/>
        <v>100</v>
      </c>
      <c r="V31" s="774" t="s">
        <v>17</v>
      </c>
      <c r="W31" s="775">
        <f t="shared" si="12"/>
        <v>100</v>
      </c>
      <c r="X31" s="1816"/>
      <c r="Y31" s="3172"/>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07" t="s">
        <v>2570</v>
      </c>
      <c r="Q32" s="1813">
        <f t="shared" si="8"/>
        <v>111</v>
      </c>
      <c r="R32" s="774" t="s">
        <v>17</v>
      </c>
      <c r="S32" s="775">
        <f t="shared" si="10"/>
        <v>100</v>
      </c>
      <c r="T32" s="774" t="s">
        <v>17</v>
      </c>
      <c r="U32" s="775">
        <f t="shared" si="11"/>
        <v>100</v>
      </c>
      <c r="V32" s="774" t="s">
        <v>17</v>
      </c>
      <c r="W32" s="775">
        <f t="shared" si="12"/>
        <v>100</v>
      </c>
      <c r="X32" s="1816"/>
      <c r="Y32" s="3176" t="s">
        <v>2570</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6"/>
      <c r="Q33" s="1813">
        <f t="shared" si="8"/>
        <v>111</v>
      </c>
      <c r="R33" s="777" t="s">
        <v>17</v>
      </c>
      <c r="S33" s="778">
        <f t="shared" si="10"/>
        <v>100</v>
      </c>
      <c r="T33" s="777" t="s">
        <v>17</v>
      </c>
      <c r="U33" s="778">
        <f t="shared" si="11"/>
        <v>100</v>
      </c>
      <c r="V33" s="777" t="s">
        <v>17</v>
      </c>
      <c r="W33" s="778">
        <f t="shared" si="12"/>
        <v>100</v>
      </c>
      <c r="X33" s="779"/>
      <c r="Y33" s="3176"/>
      <c r="Z33" s="780">
        <f t="shared" si="13"/>
        <v>111</v>
      </c>
      <c r="AA33" s="1814">
        <f t="shared" si="3"/>
        <v>1</v>
      </c>
      <c r="AB33" s="1814">
        <f t="shared" si="4"/>
        <v>1</v>
      </c>
      <c r="AC33" s="1814">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6"/>
      <c r="Q34" s="1813" t="str">
        <f>B34</f>
        <v>宗地面积</v>
      </c>
      <c r="R34" s="774" t="s">
        <v>17</v>
      </c>
      <c r="S34" s="775" t="e">
        <f t="shared" si="10"/>
        <v>#N/A</v>
      </c>
      <c r="T34" s="774" t="s">
        <v>17</v>
      </c>
      <c r="U34" s="775" t="e">
        <f t="shared" si="11"/>
        <v>#N/A</v>
      </c>
      <c r="V34" s="774" t="s">
        <v>17</v>
      </c>
      <c r="W34" s="775" t="e">
        <f t="shared" si="12"/>
        <v>#N/A</v>
      </c>
      <c r="X34" s="1816"/>
      <c r="Y34" s="3176"/>
      <c r="Z34" s="1817" t="str">
        <f t="shared" si="13"/>
        <v>宗地面积</v>
      </c>
      <c r="AA34" s="1814" t="e">
        <f t="shared" si="3"/>
        <v>#N/A</v>
      </c>
      <c r="AB34" s="1814" t="e">
        <f t="shared" si="4"/>
        <v>#N/A</v>
      </c>
      <c r="AC34" s="1814" t="e">
        <f t="shared" si="5"/>
        <v>#N/A</v>
      </c>
    </row>
    <row r="35" spans="1:29" ht="15">
      <c r="A35" s="472"/>
      <c r="B35" s="422" t="s">
        <v>2757</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76"/>
      <c r="Q35" s="1813" t="str">
        <f t="shared" ref="Q35:Q40" si="14">B35</f>
        <v>宗地形状</v>
      </c>
      <c r="R35" s="774" t="s">
        <v>17</v>
      </c>
      <c r="S35" s="775">
        <f t="shared" si="10"/>
        <v>100</v>
      </c>
      <c r="T35" s="774" t="s">
        <v>17</v>
      </c>
      <c r="U35" s="775">
        <f t="shared" si="11"/>
        <v>100</v>
      </c>
      <c r="V35" s="774" t="s">
        <v>17</v>
      </c>
      <c r="W35" s="775">
        <f t="shared" si="12"/>
        <v>100</v>
      </c>
      <c r="X35" s="1816"/>
      <c r="Y35" s="3176"/>
      <c r="Z35" s="1817" t="str">
        <f t="shared" si="13"/>
        <v>宗地形状</v>
      </c>
      <c r="AA35" s="1814">
        <f t="shared" si="3"/>
        <v>1</v>
      </c>
      <c r="AB35" s="1814">
        <f t="shared" si="4"/>
        <v>1</v>
      </c>
      <c r="AC35" s="1814">
        <f t="shared" si="5"/>
        <v>1</v>
      </c>
    </row>
    <row r="36" spans="1:29" s="117" customFormat="1" ht="15">
      <c r="A36" s="473"/>
      <c r="B36" s="422" t="s">
        <v>2759</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76"/>
      <c r="Q36" s="1813" t="str">
        <f t="shared" si="14"/>
        <v>宗地开发程度</v>
      </c>
      <c r="R36" s="770" t="s">
        <v>17</v>
      </c>
      <c r="S36" s="771">
        <f t="shared" si="10"/>
        <v>100</v>
      </c>
      <c r="T36" s="770" t="s">
        <v>17</v>
      </c>
      <c r="U36" s="771">
        <f t="shared" si="11"/>
        <v>100</v>
      </c>
      <c r="V36" s="770" t="s">
        <v>17</v>
      </c>
      <c r="W36" s="771">
        <f t="shared" si="12"/>
        <v>100</v>
      </c>
      <c r="X36" s="772"/>
      <c r="Y36" s="3176"/>
      <c r="Z36" s="55" t="str">
        <f t="shared" si="13"/>
        <v>宗地开发程度</v>
      </c>
      <c r="AA36" s="773">
        <f t="shared" si="3"/>
        <v>1</v>
      </c>
      <c r="AB36" s="773">
        <f t="shared" si="4"/>
        <v>1</v>
      </c>
      <c r="AC36" s="773">
        <f t="shared" si="5"/>
        <v>1</v>
      </c>
    </row>
    <row r="37" spans="1:29" ht="15">
      <c r="A37" s="472"/>
      <c r="B37" s="422" t="s">
        <v>2760</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76" t="s">
        <v>2570</v>
      </c>
      <c r="Q37" s="1813" t="str">
        <f t="shared" si="14"/>
        <v>工程地质条件</v>
      </c>
      <c r="R37" s="774" t="s">
        <v>17</v>
      </c>
      <c r="S37" s="775">
        <f t="shared" si="10"/>
        <v>100</v>
      </c>
      <c r="T37" s="774" t="s">
        <v>17</v>
      </c>
      <c r="U37" s="775">
        <f t="shared" si="11"/>
        <v>100</v>
      </c>
      <c r="V37" s="774" t="s">
        <v>17</v>
      </c>
      <c r="W37" s="775">
        <f t="shared" si="12"/>
        <v>100</v>
      </c>
      <c r="X37" s="1816"/>
      <c r="Y37" s="3176" t="s">
        <v>2570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6"/>
      <c r="Q38" s="1813">
        <f t="shared" si="14"/>
        <v>111</v>
      </c>
      <c r="R38" s="774" t="s">
        <v>17</v>
      </c>
      <c r="S38" s="775">
        <f t="shared" si="10"/>
        <v>100</v>
      </c>
      <c r="T38" s="774" t="s">
        <v>17</v>
      </c>
      <c r="U38" s="775">
        <f t="shared" si="11"/>
        <v>100</v>
      </c>
      <c r="V38" s="774" t="s">
        <v>17</v>
      </c>
      <c r="W38" s="775">
        <f t="shared" si="12"/>
        <v>100</v>
      </c>
      <c r="X38" s="1816"/>
      <c r="Y38" s="317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6"/>
      <c r="Q39" s="1813">
        <f t="shared" si="14"/>
        <v>111</v>
      </c>
      <c r="R39" s="774" t="s">
        <v>17</v>
      </c>
      <c r="S39" s="775">
        <f t="shared" si="10"/>
        <v>100</v>
      </c>
      <c r="T39" s="774" t="s">
        <v>17</v>
      </c>
      <c r="U39" s="775">
        <f t="shared" si="11"/>
        <v>100</v>
      </c>
      <c r="V39" s="774" t="s">
        <v>17</v>
      </c>
      <c r="W39" s="775">
        <f t="shared" si="12"/>
        <v>100</v>
      </c>
      <c r="X39" s="1816"/>
      <c r="Y39" s="3176"/>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6"/>
      <c r="Q40" s="1813">
        <f t="shared" si="14"/>
        <v>111</v>
      </c>
      <c r="R40" s="777" t="s">
        <v>17</v>
      </c>
      <c r="S40" s="778">
        <f t="shared" si="10"/>
        <v>100</v>
      </c>
      <c r="T40" s="777" t="s">
        <v>17</v>
      </c>
      <c r="U40" s="778">
        <f t="shared" si="11"/>
        <v>100</v>
      </c>
      <c r="V40" s="777" t="s">
        <v>17</v>
      </c>
      <c r="W40" s="778">
        <f t="shared" si="12"/>
        <v>100</v>
      </c>
      <c r="X40" s="779"/>
      <c r="Y40" s="3176"/>
      <c r="Z40" s="780">
        <f t="shared" si="13"/>
        <v>111</v>
      </c>
      <c r="AA40" s="1814">
        <f t="shared" si="3"/>
        <v>1</v>
      </c>
      <c r="AB40" s="1814">
        <f t="shared" si="4"/>
        <v>1</v>
      </c>
      <c r="AC40" s="1814">
        <f t="shared" si="5"/>
        <v>1</v>
      </c>
    </row>
    <row r="41" spans="1:29" ht="15">
      <c r="A41" s="479" t="s">
        <v>2725</v>
      </c>
      <c r="B41" s="2709" t="s">
        <v>2805</v>
      </c>
      <c r="C41" s="682" t="s">
        <v>1</v>
      </c>
      <c r="D41" s="481"/>
      <c r="E41" s="482"/>
      <c r="F41" s="483"/>
      <c r="G41" s="484"/>
      <c r="H41" s="485"/>
      <c r="I41" s="482"/>
      <c r="J41" s="485"/>
      <c r="K41" s="783"/>
      <c r="L41" s="1146"/>
      <c r="M41" s="1134"/>
      <c r="N41" s="1134"/>
      <c r="O41" s="1147"/>
      <c r="P41" s="3169" t="str">
        <f>A41</f>
        <v>成交单价</v>
      </c>
      <c r="Q41" s="3169"/>
      <c r="R41" s="3200">
        <f>E41</f>
        <v>0</v>
      </c>
      <c r="S41" s="3200"/>
      <c r="T41" s="3200">
        <f>G41</f>
        <v>0</v>
      </c>
      <c r="U41" s="3200"/>
      <c r="V41" s="3200">
        <f>I41</f>
        <v>0</v>
      </c>
      <c r="W41" s="3200"/>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6"/>
      <c r="M42" s="1134"/>
      <c r="N42" s="1134"/>
      <c r="O42" s="1147"/>
      <c r="P42" s="3169" t="str">
        <f>A42</f>
        <v>比较价值（元/平方米）</v>
      </c>
      <c r="Q42" s="3169"/>
      <c r="R42" s="3308" t="e">
        <f>ROUND(PRODUCT(R41,AA7:AA40),0)</f>
        <v>#DIV/0!</v>
      </c>
      <c r="S42" s="3308"/>
      <c r="T42" s="3308" t="e">
        <f>ROUND(PRODUCT(T41,AB7:AB40),0)</f>
        <v>#DIV/0!</v>
      </c>
      <c r="U42" s="3308"/>
      <c r="V42" s="3308" t="e">
        <f>ROUND(PRODUCT(V41,AC7:AC40),0)</f>
        <v>#DIV/0!</v>
      </c>
      <c r="W42" s="3308"/>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6"/>
      <c r="M43" s="1134"/>
      <c r="N43" s="1134"/>
      <c r="O43" s="1147"/>
      <c r="P43" s="3166" t="str">
        <f>A43</f>
        <v>估价对象XX用房的比较价值（楼面单价，元/平方米）</v>
      </c>
      <c r="Q43" s="3167"/>
      <c r="R43" s="3309" t="e">
        <f>ROUND(AVERAGE(R42:V42),0)</f>
        <v>#DIV/0!</v>
      </c>
      <c r="S43" s="3309"/>
      <c r="T43" s="3309"/>
      <c r="U43" s="3309"/>
      <c r="V43" s="3309"/>
      <c r="W43" s="330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2763</v>
      </c>
      <c r="B50" s="685" t="s">
        <v>2764</v>
      </c>
      <c r="C50" s="2710" t="s">
        <v>2765</v>
      </c>
      <c r="D50" s="2711" t="s">
        <v>2766</v>
      </c>
      <c r="E50" s="686" t="s">
        <v>2767</v>
      </c>
      <c r="F50" s="687" t="s">
        <v>2768</v>
      </c>
      <c r="G50" s="3184" t="s">
        <v>2769</v>
      </c>
      <c r="H50" s="3310"/>
      <c r="I50" s="1817" t="s">
        <v>2806</v>
      </c>
      <c r="J50" s="1817">
        <f>项目基本情况!F35</f>
        <v>0</v>
      </c>
      <c r="K50" s="2713" t="s">
        <v>2771</v>
      </c>
      <c r="L50" s="1109"/>
      <c r="M50" s="1147"/>
      <c r="N50" s="1147"/>
      <c r="O50" s="1147"/>
    </row>
    <row r="51" spans="1:17" s="692" customFormat="1">
      <c r="A51" s="688" t="s">
        <v>2772</v>
      </c>
      <c r="B51" s="689" t="e">
        <f>C43</f>
        <v>#DIV/0!</v>
      </c>
      <c r="C51" s="690">
        <v>1</v>
      </c>
      <c r="D51" s="1166">
        <v>1</v>
      </c>
      <c r="E51" s="690">
        <f>'数据-汇总表'!E8+'数据-汇总表'!E9</f>
        <v>166.41</v>
      </c>
      <c r="F51" s="691" t="e">
        <f t="shared" ref="F51:F60" si="15">ROUND(B51*E51/10000,0)</f>
        <v>#DIV/0!</v>
      </c>
      <c r="G51" s="3180"/>
      <c r="H51" s="3169"/>
      <c r="I51" s="945">
        <v>1</v>
      </c>
      <c r="J51" s="945">
        <v>1</v>
      </c>
      <c r="K51" s="1148"/>
      <c r="L51" s="944"/>
      <c r="M51" s="944"/>
      <c r="N51" s="944"/>
      <c r="O51" s="944"/>
    </row>
    <row r="52" spans="1:17" s="692" customFormat="1">
      <c r="A52" s="693" t="s">
        <v>2773</v>
      </c>
      <c r="B52" s="262" t="e">
        <f>ROUND($C$43*C52*D52,0)</f>
        <v>#DIV/0!</v>
      </c>
      <c r="C52" s="200">
        <f t="shared" ref="C52:C60" si="16">IF($C$50="北京市系数",I52,J52)</f>
        <v>0</v>
      </c>
      <c r="D52" s="1167">
        <v>0.25</v>
      </c>
      <c r="E52" s="694"/>
      <c r="F52" s="691" t="e">
        <f t="shared" si="15"/>
        <v>#DIV/0!</v>
      </c>
      <c r="G52" s="3311" t="s">
        <v>2774</v>
      </c>
      <c r="H52" s="1107">
        <f>项目基本情况!B37</f>
        <v>0</v>
      </c>
      <c r="I52" s="945">
        <f>SUMIF(修正!A45:A56,H52,修正!B45:B56)</f>
        <v>0</v>
      </c>
      <c r="J52" s="946"/>
      <c r="K52" s="1147"/>
      <c r="L52" s="944"/>
      <c r="M52" s="944"/>
      <c r="N52" s="944"/>
      <c r="O52" s="944"/>
    </row>
    <row r="53" spans="1:17" s="692" customFormat="1">
      <c r="A53" s="693" t="s">
        <v>2775</v>
      </c>
      <c r="B53" s="262" t="e">
        <f t="shared" ref="B53:B60" si="17">ROUND($C$43*C53*D53,0)</f>
        <v>#DIV/0!</v>
      </c>
      <c r="C53" s="200">
        <f t="shared" si="16"/>
        <v>0</v>
      </c>
      <c r="D53" s="1167">
        <v>0.25</v>
      </c>
      <c r="E53" s="694"/>
      <c r="F53" s="691" t="e">
        <f t="shared" si="15"/>
        <v>#DIV/0!</v>
      </c>
      <c r="G53" s="3311"/>
      <c r="H53" s="1107">
        <f>项目基本情况!B37</f>
        <v>0</v>
      </c>
      <c r="I53" s="945">
        <f>SUMIF(修正!A45:A56,H53,修正!C45:C56)</f>
        <v>0</v>
      </c>
      <c r="J53" s="946"/>
      <c r="K53" s="1148"/>
      <c r="L53" s="944"/>
      <c r="M53" s="944"/>
      <c r="N53" s="944"/>
      <c r="O53" s="944"/>
    </row>
    <row r="54" spans="1:17" s="692" customFormat="1">
      <c r="A54" s="693" t="s">
        <v>2776</v>
      </c>
      <c r="B54" s="262" t="e">
        <f t="shared" si="17"/>
        <v>#DIV/0!</v>
      </c>
      <c r="C54" s="200">
        <f t="shared" si="16"/>
        <v>0</v>
      </c>
      <c r="D54" s="1167">
        <v>0.25</v>
      </c>
      <c r="E54" s="694"/>
      <c r="F54" s="691" t="e">
        <f t="shared" si="15"/>
        <v>#DIV/0!</v>
      </c>
      <c r="G54" s="3311"/>
      <c r="H54" s="1107">
        <f>项目基本情况!B37</f>
        <v>0</v>
      </c>
      <c r="I54" s="945">
        <f>SUMIF(修正!A45:A56,H54,修正!D45:D56)</f>
        <v>0</v>
      </c>
      <c r="J54" s="946"/>
      <c r="K54" s="1147"/>
      <c r="L54" s="944"/>
      <c r="M54" s="944"/>
      <c r="N54" s="944"/>
      <c r="O54" s="944"/>
    </row>
    <row r="55" spans="1:17" s="692" customFormat="1">
      <c r="A55" s="693" t="s">
        <v>2777</v>
      </c>
      <c r="B55" s="262" t="e">
        <f t="shared" si="17"/>
        <v>#DIV/0!</v>
      </c>
      <c r="C55" s="200">
        <f t="shared" si="16"/>
        <v>0</v>
      </c>
      <c r="D55" s="1167">
        <v>0.25</v>
      </c>
      <c r="E55" s="694"/>
      <c r="F55" s="691" t="e">
        <f t="shared" si="15"/>
        <v>#DIV/0!</v>
      </c>
      <c r="G55" s="3311"/>
      <c r="H55" s="1107">
        <f>项目基本情况!B37</f>
        <v>0</v>
      </c>
      <c r="I55" s="945">
        <f>SUMIF(修正!A45:A56,H55,修正!E45:E56)</f>
        <v>0</v>
      </c>
      <c r="J55" s="946"/>
      <c r="K55" s="1148"/>
      <c r="L55" s="944"/>
      <c r="M55" s="944"/>
      <c r="N55" s="944"/>
      <c r="O55" s="944"/>
    </row>
    <row r="56" spans="1:17" s="692" customFormat="1">
      <c r="A56" s="693" t="s">
        <v>2778</v>
      </c>
      <c r="B56" s="262" t="e">
        <f t="shared" si="17"/>
        <v>#DIV/0!</v>
      </c>
      <c r="C56" s="200">
        <f t="shared" si="16"/>
        <v>0</v>
      </c>
      <c r="D56" s="1167">
        <v>0.25</v>
      </c>
      <c r="E56" s="261">
        <f>'数据-汇总表'!E11</f>
        <v>0</v>
      </c>
      <c r="F56" s="691" t="e">
        <f t="shared" si="15"/>
        <v>#DIV/0!</v>
      </c>
      <c r="G56" s="2714" t="s">
        <v>2779</v>
      </c>
      <c r="H56" s="1107">
        <f>项目基本情况!C37</f>
        <v>0</v>
      </c>
      <c r="I56" s="945">
        <f>SUMIF(修正!A45:A56,H56,修正!F45:F56)</f>
        <v>0</v>
      </c>
      <c r="J56" s="946"/>
      <c r="K56" s="1147"/>
      <c r="L56" s="944"/>
      <c r="M56" s="944"/>
      <c r="N56" s="944"/>
      <c r="O56" s="944"/>
    </row>
    <row r="57" spans="1:17" s="692" customFormat="1">
      <c r="A57" s="693" t="s">
        <v>2780</v>
      </c>
      <c r="B57" s="262" t="e">
        <f t="shared" si="17"/>
        <v>#DIV/0!</v>
      </c>
      <c r="C57" s="200">
        <f t="shared" si="16"/>
        <v>0</v>
      </c>
      <c r="D57" s="1167">
        <v>0.25</v>
      </c>
      <c r="E57" s="261">
        <f>'数据-汇总表'!E12</f>
        <v>0</v>
      </c>
      <c r="F57" s="691" t="e">
        <f t="shared" si="15"/>
        <v>#DIV/0!</v>
      </c>
      <c r="G57" s="1112" t="s">
        <v>2781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2782</v>
      </c>
      <c r="B58" s="262" t="e">
        <f t="shared" si="17"/>
        <v>#DIV/0!</v>
      </c>
      <c r="C58" s="200">
        <f t="shared" si="16"/>
        <v>0.25</v>
      </c>
      <c r="D58" s="1167">
        <v>0.25</v>
      </c>
      <c r="E58" s="261">
        <f>'数据-汇总表'!E13</f>
        <v>0</v>
      </c>
      <c r="F58" s="691" t="e">
        <f t="shared" si="15"/>
        <v>#DIV/0!</v>
      </c>
      <c r="G58" s="1112" t="s">
        <v>2783</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2784</v>
      </c>
      <c r="B59" s="262" t="e">
        <f t="shared" si="17"/>
        <v>#DIV/0!</v>
      </c>
      <c r="C59" s="200">
        <f t="shared" si="16"/>
        <v>0</v>
      </c>
      <c r="D59" s="1167">
        <v>0.25</v>
      </c>
      <c r="E59" s="261">
        <f>'数据-汇总表'!E14</f>
        <v>0</v>
      </c>
      <c r="F59" s="691" t="e">
        <f t="shared" si="15"/>
        <v>#DIV/0!</v>
      </c>
      <c r="G59" s="2714" t="s">
        <v>2774</v>
      </c>
      <c r="H59" s="1107">
        <f>项目基本情况!B37</f>
        <v>0</v>
      </c>
      <c r="I59" s="945">
        <f>SUMIF(修正!A45:A56,H59,修正!H45:H56)</f>
        <v>0</v>
      </c>
      <c r="J59" s="946"/>
      <c r="K59" s="1148"/>
      <c r="L59" s="944"/>
      <c r="M59" s="944"/>
      <c r="N59" s="944"/>
      <c r="O59" s="944"/>
    </row>
    <row r="60" spans="1:17" s="692" customFormat="1" ht="15" thickBot="1">
      <c r="A60" s="693" t="s">
        <v>2785</v>
      </c>
      <c r="B60" s="262" t="e">
        <f t="shared" si="17"/>
        <v>#DIV/0!</v>
      </c>
      <c r="C60" s="200">
        <f t="shared" si="16"/>
        <v>0</v>
      </c>
      <c r="D60" s="1167">
        <v>0.25</v>
      </c>
      <c r="E60" s="261">
        <f>'数据-汇总表'!E15</f>
        <v>0</v>
      </c>
      <c r="F60" s="691" t="e">
        <f t="shared" si="15"/>
        <v>#DIV/0!</v>
      </c>
      <c r="G60" s="2715" t="s">
        <v>2779</v>
      </c>
      <c r="H60" s="1117">
        <f>项目基本情况!C37</f>
        <v>0</v>
      </c>
      <c r="I60" s="945">
        <f>SUMIF(修正!A45:A56,H60,修正!H45:H56)</f>
        <v>0</v>
      </c>
      <c r="J60" s="946"/>
      <c r="K60" s="1147"/>
      <c r="L60" s="944"/>
      <c r="M60" s="944"/>
      <c r="N60" s="944"/>
      <c r="O60" s="944"/>
    </row>
    <row r="61" spans="1:17" s="692" customFormat="1" ht="15" thickBot="1">
      <c r="A61" s="695" t="s">
        <v>2786</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6" t="s">
        <v>2787</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1" t="s">
        <v>2807</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2790</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2791</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2808</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2792</v>
      </c>
      <c r="D95" s="539" t="s">
        <v>2793</v>
      </c>
      <c r="E95" s="539" t="s">
        <v>2794</v>
      </c>
      <c r="F95" s="539" t="s">
        <v>2795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2568</v>
      </c>
      <c r="B107" s="528" t="s">
        <v>2796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16" t="s">
        <v>183</v>
      </c>
      <c r="B18" s="882" t="s">
        <v>560</v>
      </c>
      <c r="C18" s="883" t="s">
        <v>561</v>
      </c>
      <c r="D18" s="884"/>
      <c r="E18" s="882">
        <v>1</v>
      </c>
      <c r="F18" s="885" t="s">
        <v>562</v>
      </c>
      <c r="G18" s="886"/>
      <c r="H18" s="878"/>
      <c r="I18" s="878"/>
    </row>
    <row r="19" spans="1:9" s="887" customFormat="1" ht="19.5" customHeight="1">
      <c r="A19" s="3316"/>
      <c r="B19" s="3316" t="s">
        <v>563</v>
      </c>
      <c r="C19" s="883" t="s">
        <v>564</v>
      </c>
      <c r="D19" s="884"/>
      <c r="E19" s="882">
        <v>0.9</v>
      </c>
      <c r="F19" s="885" t="s">
        <v>565</v>
      </c>
      <c r="G19" s="886"/>
      <c r="H19" s="878"/>
      <c r="I19" s="878"/>
    </row>
    <row r="20" spans="1:9" s="887" customFormat="1" ht="19.5" customHeight="1">
      <c r="A20" s="3316"/>
      <c r="B20" s="3316"/>
      <c r="C20" s="883" t="s">
        <v>566</v>
      </c>
      <c r="D20" s="884"/>
      <c r="E20" s="882">
        <v>1.1000000000000001</v>
      </c>
      <c r="F20" s="885" t="s">
        <v>567</v>
      </c>
      <c r="G20" s="886"/>
      <c r="H20" s="878"/>
      <c r="I20" s="878"/>
    </row>
    <row r="21" spans="1:9" s="887" customFormat="1" ht="19.5" customHeight="1">
      <c r="A21" s="3316"/>
      <c r="B21" s="3316"/>
      <c r="C21" s="883" t="s">
        <v>568</v>
      </c>
      <c r="D21" s="884"/>
      <c r="E21" s="882">
        <v>0.8</v>
      </c>
      <c r="F21" s="885" t="s">
        <v>569</v>
      </c>
      <c r="G21" s="886"/>
      <c r="H21" s="878"/>
      <c r="I21" s="878"/>
    </row>
    <row r="22" spans="1:9" s="887" customFormat="1" ht="19.5" customHeight="1">
      <c r="A22" s="3316"/>
      <c r="B22" s="3316"/>
      <c r="C22" s="883" t="s">
        <v>570</v>
      </c>
      <c r="D22" s="884"/>
      <c r="E22" s="882">
        <v>0.5</v>
      </c>
      <c r="F22" s="885"/>
      <c r="G22" s="886"/>
      <c r="H22" s="878"/>
      <c r="I22" s="878"/>
    </row>
    <row r="23" spans="1:9" s="887" customFormat="1" ht="19.5" customHeight="1">
      <c r="A23" s="3316" t="s">
        <v>184</v>
      </c>
      <c r="B23" s="882" t="s">
        <v>560</v>
      </c>
      <c r="C23" s="883" t="s">
        <v>571</v>
      </c>
      <c r="D23" s="884"/>
      <c r="E23" s="882">
        <v>1</v>
      </c>
      <c r="F23" s="885" t="s">
        <v>572</v>
      </c>
      <c r="G23" s="886"/>
      <c r="H23" s="878"/>
      <c r="I23" s="878"/>
    </row>
    <row r="24" spans="1:9" s="887" customFormat="1" ht="19.5" customHeight="1">
      <c r="A24" s="3316"/>
      <c r="B24" s="3316" t="s">
        <v>563</v>
      </c>
      <c r="C24" s="883" t="s">
        <v>573</v>
      </c>
      <c r="D24" s="884"/>
      <c r="E24" s="882">
        <v>0.5</v>
      </c>
      <c r="F24" s="885"/>
      <c r="G24" s="886"/>
      <c r="H24" s="878"/>
      <c r="I24" s="878"/>
    </row>
    <row r="25" spans="1:9" s="887" customFormat="1" ht="19.5" customHeight="1">
      <c r="A25" s="3316"/>
      <c r="B25" s="3316"/>
      <c r="C25" s="883" t="s">
        <v>574</v>
      </c>
      <c r="D25" s="884"/>
      <c r="E25" s="882">
        <v>1.1000000000000001</v>
      </c>
      <c r="F25" s="885"/>
      <c r="G25" s="886"/>
      <c r="H25" s="878"/>
      <c r="I25" s="878"/>
    </row>
    <row r="26" spans="1:9" s="887" customFormat="1" ht="19.5" customHeight="1">
      <c r="A26" s="3316"/>
      <c r="B26" s="3316"/>
      <c r="C26" s="883" t="s">
        <v>575</v>
      </c>
      <c r="D26" s="884"/>
      <c r="E26" s="882">
        <v>1.1000000000000001</v>
      </c>
      <c r="F26" s="885"/>
      <c r="G26" s="886"/>
      <c r="H26" s="878"/>
      <c r="I26" s="878"/>
    </row>
    <row r="27" spans="1:9" s="887" customFormat="1" ht="19.5" customHeight="1">
      <c r="A27" s="3316"/>
      <c r="B27" s="3316"/>
      <c r="C27" s="883" t="s">
        <v>576</v>
      </c>
      <c r="D27" s="884"/>
      <c r="E27" s="882">
        <v>0.9</v>
      </c>
      <c r="F27" s="885" t="s">
        <v>577</v>
      </c>
      <c r="G27" s="886"/>
      <c r="H27" s="878"/>
      <c r="I27" s="878"/>
    </row>
    <row r="28" spans="1:9" s="887" customFormat="1" ht="19.5" customHeight="1">
      <c r="A28" s="3316"/>
      <c r="B28" s="3316"/>
      <c r="C28" s="883" t="s">
        <v>578</v>
      </c>
      <c r="D28" s="884"/>
      <c r="E28" s="882">
        <v>0.9</v>
      </c>
      <c r="F28" s="885" t="s">
        <v>579</v>
      </c>
      <c r="G28" s="886"/>
      <c r="H28" s="878"/>
      <c r="I28" s="878"/>
    </row>
    <row r="29" spans="1:9" s="887" customFormat="1" ht="19.5" customHeight="1">
      <c r="A29" s="3316"/>
      <c r="B29" s="3316"/>
      <c r="C29" s="883" t="s">
        <v>580</v>
      </c>
      <c r="D29" s="884"/>
      <c r="E29" s="882">
        <v>0.9</v>
      </c>
      <c r="F29" s="885" t="s">
        <v>581</v>
      </c>
      <c r="G29" s="886"/>
      <c r="H29" s="878"/>
      <c r="I29" s="878"/>
    </row>
    <row r="30" spans="1:9" s="887" customFormat="1" ht="19.5" customHeight="1">
      <c r="A30" s="3316"/>
      <c r="B30" s="3316"/>
      <c r="C30" s="883" t="s">
        <v>582</v>
      </c>
      <c r="D30" s="884"/>
      <c r="E30" s="882">
        <v>0.9</v>
      </c>
      <c r="F30" s="885" t="s">
        <v>583</v>
      </c>
      <c r="G30" s="886"/>
      <c r="H30" s="878"/>
      <c r="I30" s="878"/>
    </row>
    <row r="31" spans="1:9" s="887" customFormat="1" ht="19.5" customHeight="1">
      <c r="A31" s="3316"/>
      <c r="B31" s="3316"/>
      <c r="C31" s="883" t="s">
        <v>584</v>
      </c>
      <c r="D31" s="884"/>
      <c r="E31" s="882">
        <v>0.8</v>
      </c>
      <c r="F31" s="885" t="s">
        <v>585</v>
      </c>
      <c r="G31" s="886"/>
      <c r="H31" s="878"/>
      <c r="I31" s="878"/>
    </row>
    <row r="32" spans="1:9" s="887" customFormat="1" ht="19.5" customHeight="1">
      <c r="A32" s="3316"/>
      <c r="B32" s="3316"/>
      <c r="C32" s="883" t="s">
        <v>586</v>
      </c>
      <c r="D32" s="884"/>
      <c r="E32" s="882">
        <v>0.8</v>
      </c>
      <c r="F32" s="885" t="s">
        <v>587</v>
      </c>
      <c r="G32" s="886"/>
      <c r="H32" s="878"/>
      <c r="I32" s="878"/>
    </row>
    <row r="33" spans="1:9" s="887" customFormat="1" ht="19.5" customHeight="1">
      <c r="A33" s="3316" t="s">
        <v>185</v>
      </c>
      <c r="B33" s="882" t="s">
        <v>560</v>
      </c>
      <c r="C33" s="883" t="s">
        <v>588</v>
      </c>
      <c r="D33" s="884"/>
      <c r="E33" s="882">
        <v>1</v>
      </c>
      <c r="F33" s="885" t="s">
        <v>589</v>
      </c>
      <c r="G33" s="886"/>
      <c r="H33" s="878"/>
      <c r="I33" s="878"/>
    </row>
    <row r="34" spans="1:9" s="887" customFormat="1" ht="19.5" customHeight="1">
      <c r="A34" s="3316"/>
      <c r="B34" s="882" t="s">
        <v>563</v>
      </c>
      <c r="C34" s="883" t="s">
        <v>590</v>
      </c>
      <c r="D34" s="884"/>
      <c r="E34" s="882">
        <v>1.5</v>
      </c>
      <c r="F34" s="885" t="s">
        <v>591</v>
      </c>
      <c r="G34" s="886"/>
      <c r="H34" s="878"/>
      <c r="I34" s="878"/>
    </row>
    <row r="35" spans="1:9" s="887" customFormat="1" ht="19.5" customHeight="1">
      <c r="A35" s="3316" t="s">
        <v>186</v>
      </c>
      <c r="B35" s="882" t="s">
        <v>560</v>
      </c>
      <c r="C35" s="883" t="s">
        <v>592</v>
      </c>
      <c r="D35" s="884"/>
      <c r="E35" s="882">
        <v>1</v>
      </c>
      <c r="F35" s="885" t="s">
        <v>593</v>
      </c>
      <c r="G35" s="886"/>
      <c r="H35" s="878"/>
      <c r="I35" s="878"/>
    </row>
    <row r="36" spans="1:9" s="887" customFormat="1" ht="19.5" customHeight="1">
      <c r="A36" s="3316"/>
      <c r="B36" s="3316" t="s">
        <v>563</v>
      </c>
      <c r="C36" s="883" t="s">
        <v>594</v>
      </c>
      <c r="D36" s="884"/>
      <c r="E36" s="882">
        <v>1</v>
      </c>
      <c r="F36" s="885" t="s">
        <v>595</v>
      </c>
      <c r="G36" s="886"/>
      <c r="H36" s="878"/>
      <c r="I36" s="878"/>
    </row>
    <row r="37" spans="1:9" s="887" customFormat="1" ht="19.5" customHeight="1">
      <c r="A37" s="3316"/>
      <c r="B37" s="3316"/>
      <c r="C37" s="883" t="s">
        <v>596</v>
      </c>
      <c r="D37" s="884"/>
      <c r="E37" s="882">
        <v>1.5</v>
      </c>
      <c r="F37" s="885" t="s">
        <v>597</v>
      </c>
      <c r="G37" s="886"/>
      <c r="H37" s="878"/>
      <c r="I37" s="878"/>
    </row>
    <row r="38" spans="1:9" s="887" customFormat="1" ht="19.5" customHeight="1">
      <c r="A38" s="3316"/>
      <c r="B38" s="3316"/>
      <c r="C38" s="883" t="s">
        <v>598</v>
      </c>
      <c r="D38" s="884"/>
      <c r="E38" s="882">
        <v>1</v>
      </c>
      <c r="F38" s="885" t="s">
        <v>599</v>
      </c>
      <c r="G38" s="886"/>
      <c r="H38" s="878"/>
      <c r="I38" s="878"/>
    </row>
    <row r="39" spans="1:9" s="887" customFormat="1" ht="19.5" customHeight="1">
      <c r="A39" s="3316"/>
      <c r="B39" s="331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16" t="s">
        <v>614</v>
      </c>
      <c r="C61" s="818" t="s">
        <v>615</v>
      </c>
      <c r="D61" s="818" t="s">
        <v>616</v>
      </c>
      <c r="E61" s="895">
        <v>0.5</v>
      </c>
      <c r="F61" s="882">
        <v>80</v>
      </c>
    </row>
    <row r="62" spans="1:8" s="878" customFormat="1" ht="24">
      <c r="A62" s="882">
        <v>2</v>
      </c>
      <c r="B62" s="3316"/>
      <c r="C62" s="818" t="s">
        <v>617</v>
      </c>
      <c r="D62" s="818" t="s">
        <v>618</v>
      </c>
      <c r="E62" s="895">
        <v>0.5</v>
      </c>
      <c r="F62" s="882">
        <v>80</v>
      </c>
    </row>
    <row r="63" spans="1:8" s="878" customFormat="1" ht="36">
      <c r="A63" s="882">
        <v>3</v>
      </c>
      <c r="B63" s="3316"/>
      <c r="C63" s="818" t="s">
        <v>619</v>
      </c>
      <c r="D63" s="818" t="s">
        <v>620</v>
      </c>
      <c r="E63" s="895">
        <v>0.5</v>
      </c>
      <c r="F63" s="882">
        <v>80</v>
      </c>
    </row>
    <row r="64" spans="1:8" s="878" customFormat="1" ht="36">
      <c r="A64" s="882">
        <v>4</v>
      </c>
      <c r="B64" s="3316"/>
      <c r="C64" s="818" t="s">
        <v>621</v>
      </c>
      <c r="D64" s="818" t="s">
        <v>622</v>
      </c>
      <c r="E64" s="895">
        <v>0.4</v>
      </c>
      <c r="F64" s="882">
        <v>60</v>
      </c>
    </row>
    <row r="65" spans="1:6" s="878" customFormat="1" ht="36">
      <c r="A65" s="882">
        <v>5</v>
      </c>
      <c r="B65" s="3316"/>
      <c r="C65" s="818" t="s">
        <v>623</v>
      </c>
      <c r="D65" s="818" t="s">
        <v>624</v>
      </c>
      <c r="E65" s="895">
        <v>0.2</v>
      </c>
      <c r="F65" s="882">
        <v>30</v>
      </c>
    </row>
    <row r="66" spans="1:6" s="878" customFormat="1" ht="36">
      <c r="A66" s="882">
        <v>6</v>
      </c>
      <c r="B66" s="3316"/>
      <c r="C66" s="818" t="s">
        <v>625</v>
      </c>
      <c r="D66" s="818" t="s">
        <v>626</v>
      </c>
      <c r="E66" s="895">
        <v>0.3</v>
      </c>
      <c r="F66" s="882">
        <v>50</v>
      </c>
    </row>
    <row r="67" spans="1:6" s="878" customFormat="1" ht="36">
      <c r="A67" s="882">
        <v>7</v>
      </c>
      <c r="B67" s="3316"/>
      <c r="C67" s="818" t="s">
        <v>627</v>
      </c>
      <c r="D67" s="818" t="s">
        <v>628</v>
      </c>
      <c r="E67" s="895">
        <v>0.2</v>
      </c>
      <c r="F67" s="882">
        <v>30</v>
      </c>
    </row>
    <row r="68" spans="1:6" s="878" customFormat="1" ht="36">
      <c r="A68" s="882">
        <v>8</v>
      </c>
      <c r="B68" s="3316"/>
      <c r="C68" s="818" t="s">
        <v>629</v>
      </c>
      <c r="D68" s="818" t="s">
        <v>630</v>
      </c>
      <c r="E68" s="895">
        <v>0.2</v>
      </c>
      <c r="F68" s="882">
        <v>30</v>
      </c>
    </row>
    <row r="69" spans="1:6" s="878" customFormat="1" ht="36">
      <c r="A69" s="882">
        <v>9</v>
      </c>
      <c r="B69" s="3316"/>
      <c r="C69" s="818" t="s">
        <v>631</v>
      </c>
      <c r="D69" s="818" t="s">
        <v>632</v>
      </c>
      <c r="E69" s="895">
        <v>0.2</v>
      </c>
      <c r="F69" s="882">
        <v>30</v>
      </c>
    </row>
    <row r="70" spans="1:6" s="878" customFormat="1" ht="48">
      <c r="A70" s="882">
        <v>10</v>
      </c>
      <c r="B70" s="3316"/>
      <c r="C70" s="818" t="s">
        <v>633</v>
      </c>
      <c r="D70" s="818" t="s">
        <v>634</v>
      </c>
      <c r="E70" s="895">
        <v>0.2</v>
      </c>
      <c r="F70" s="882">
        <v>30</v>
      </c>
    </row>
    <row r="71" spans="1:6" s="878" customFormat="1" ht="48">
      <c r="A71" s="882">
        <v>11</v>
      </c>
      <c r="B71" s="3316"/>
      <c r="C71" s="818" t="s">
        <v>635</v>
      </c>
      <c r="D71" s="818" t="s">
        <v>636</v>
      </c>
      <c r="E71" s="895">
        <v>0.2</v>
      </c>
      <c r="F71" s="882">
        <v>30</v>
      </c>
    </row>
    <row r="72" spans="1:6" s="878" customFormat="1" ht="36">
      <c r="A72" s="882">
        <v>12</v>
      </c>
      <c r="B72" s="3316"/>
      <c r="C72" s="818" t="s">
        <v>637</v>
      </c>
      <c r="D72" s="818" t="s">
        <v>638</v>
      </c>
      <c r="E72" s="895">
        <v>0.5</v>
      </c>
      <c r="F72" s="882">
        <v>80</v>
      </c>
    </row>
    <row r="73" spans="1:6" s="878" customFormat="1" ht="24">
      <c r="A73" s="882">
        <v>13</v>
      </c>
      <c r="B73" s="3316"/>
      <c r="C73" s="818" t="s">
        <v>639</v>
      </c>
      <c r="D73" s="818" t="s">
        <v>640</v>
      </c>
      <c r="E73" s="895">
        <v>0.4</v>
      </c>
      <c r="F73" s="882">
        <v>60</v>
      </c>
    </row>
    <row r="74" spans="1:6" s="878" customFormat="1" ht="24">
      <c r="A74" s="882">
        <v>14</v>
      </c>
      <c r="B74" s="3316"/>
      <c r="C74" s="818" t="s">
        <v>641</v>
      </c>
      <c r="D74" s="818" t="s">
        <v>642</v>
      </c>
      <c r="E74" s="895">
        <v>0.2</v>
      </c>
      <c r="F74" s="882">
        <v>30</v>
      </c>
    </row>
    <row r="75" spans="1:6" s="878" customFormat="1" ht="24">
      <c r="A75" s="882">
        <v>15</v>
      </c>
      <c r="B75" s="3316"/>
      <c r="C75" s="818" t="s">
        <v>643</v>
      </c>
      <c r="D75" s="818" t="s">
        <v>644</v>
      </c>
      <c r="E75" s="895">
        <v>0.2</v>
      </c>
      <c r="F75" s="882">
        <v>30</v>
      </c>
    </row>
    <row r="76" spans="1:6" s="878" customFormat="1" ht="24">
      <c r="A76" s="882">
        <v>16</v>
      </c>
      <c r="B76" s="3316" t="s">
        <v>645</v>
      </c>
      <c r="C76" s="818" t="s">
        <v>646</v>
      </c>
      <c r="D76" s="818" t="s">
        <v>647</v>
      </c>
      <c r="E76" s="895">
        <v>0.5</v>
      </c>
      <c r="F76" s="882">
        <v>80</v>
      </c>
    </row>
    <row r="77" spans="1:6" s="878" customFormat="1" ht="24">
      <c r="A77" s="882">
        <v>17</v>
      </c>
      <c r="B77" s="3316"/>
      <c r="C77" s="818" t="s">
        <v>648</v>
      </c>
      <c r="D77" s="818" t="s">
        <v>649</v>
      </c>
      <c r="E77" s="895">
        <v>0.5</v>
      </c>
      <c r="F77" s="882">
        <v>80</v>
      </c>
    </row>
    <row r="78" spans="1:6" s="878" customFormat="1" ht="24">
      <c r="A78" s="882">
        <v>18</v>
      </c>
      <c r="B78" s="3316"/>
      <c r="C78" s="818" t="s">
        <v>650</v>
      </c>
      <c r="D78" s="818" t="s">
        <v>651</v>
      </c>
      <c r="E78" s="895">
        <v>0.2</v>
      </c>
      <c r="F78" s="882">
        <v>30</v>
      </c>
    </row>
    <row r="79" spans="1:6" s="878" customFormat="1" ht="24">
      <c r="A79" s="882">
        <v>19</v>
      </c>
      <c r="B79" s="3316"/>
      <c r="C79" s="818" t="s">
        <v>652</v>
      </c>
      <c r="D79" s="818" t="s">
        <v>653</v>
      </c>
      <c r="E79" s="895">
        <v>0.5</v>
      </c>
      <c r="F79" s="882">
        <v>80</v>
      </c>
    </row>
    <row r="80" spans="1:6" s="878" customFormat="1" ht="36">
      <c r="A80" s="882">
        <v>20</v>
      </c>
      <c r="B80" s="3316"/>
      <c r="C80" s="818" t="s">
        <v>654</v>
      </c>
      <c r="D80" s="818" t="s">
        <v>655</v>
      </c>
      <c r="E80" s="895">
        <v>0.2</v>
      </c>
      <c r="F80" s="882">
        <v>30</v>
      </c>
    </row>
    <row r="81" spans="1:6" s="878" customFormat="1" ht="36">
      <c r="A81" s="882">
        <v>21</v>
      </c>
      <c r="B81" s="3316"/>
      <c r="C81" s="818" t="s">
        <v>656</v>
      </c>
      <c r="D81" s="818" t="s">
        <v>657</v>
      </c>
      <c r="E81" s="895">
        <v>0.2</v>
      </c>
      <c r="F81" s="882">
        <v>30</v>
      </c>
    </row>
    <row r="82" spans="1:6" s="878" customFormat="1" ht="48">
      <c r="A82" s="882">
        <v>22</v>
      </c>
      <c r="B82" s="3316"/>
      <c r="C82" s="818" t="s">
        <v>658</v>
      </c>
      <c r="D82" s="818" t="s">
        <v>659</v>
      </c>
      <c r="E82" s="895">
        <v>0.2</v>
      </c>
      <c r="F82" s="882">
        <v>30</v>
      </c>
    </row>
    <row r="83" spans="1:6" s="878" customFormat="1" ht="48">
      <c r="A83" s="882">
        <v>23</v>
      </c>
      <c r="B83" s="3316"/>
      <c r="C83" s="818" t="s">
        <v>660</v>
      </c>
      <c r="D83" s="818" t="s">
        <v>661</v>
      </c>
      <c r="E83" s="895">
        <v>0.2</v>
      </c>
      <c r="F83" s="882">
        <v>30</v>
      </c>
    </row>
    <row r="84" spans="1:6" s="878" customFormat="1" ht="36">
      <c r="A84" s="882">
        <v>24</v>
      </c>
      <c r="B84" s="3316"/>
      <c r="C84" s="818" t="s">
        <v>662</v>
      </c>
      <c r="D84" s="818" t="s">
        <v>663</v>
      </c>
      <c r="E84" s="895">
        <v>0.2</v>
      </c>
      <c r="F84" s="882">
        <v>30</v>
      </c>
    </row>
    <row r="85" spans="1:6" s="878" customFormat="1" ht="36">
      <c r="A85" s="882">
        <v>25</v>
      </c>
      <c r="B85" s="3316"/>
      <c r="C85" s="818" t="s">
        <v>664</v>
      </c>
      <c r="D85" s="818" t="s">
        <v>665</v>
      </c>
      <c r="E85" s="895">
        <v>0.5</v>
      </c>
      <c r="F85" s="882">
        <v>80</v>
      </c>
    </row>
    <row r="86" spans="1:6" s="878" customFormat="1" ht="36">
      <c r="A86" s="882">
        <v>26</v>
      </c>
      <c r="B86" s="3316"/>
      <c r="C86" s="818" t="s">
        <v>666</v>
      </c>
      <c r="D86" s="818" t="s">
        <v>667</v>
      </c>
      <c r="E86" s="895">
        <v>0.2</v>
      </c>
      <c r="F86" s="882">
        <v>30</v>
      </c>
    </row>
    <row r="87" spans="1:6" s="878" customFormat="1" ht="36">
      <c r="A87" s="882">
        <v>27</v>
      </c>
      <c r="B87" s="3316"/>
      <c r="C87" s="818" t="s">
        <v>668</v>
      </c>
      <c r="D87" s="818" t="s">
        <v>669</v>
      </c>
      <c r="E87" s="895">
        <v>0.2</v>
      </c>
      <c r="F87" s="882">
        <v>30</v>
      </c>
    </row>
    <row r="88" spans="1:6" s="878" customFormat="1" ht="36">
      <c r="A88" s="882">
        <v>28</v>
      </c>
      <c r="B88" s="3316"/>
      <c r="C88" s="818" t="s">
        <v>670</v>
      </c>
      <c r="D88" s="818" t="s">
        <v>671</v>
      </c>
      <c r="E88" s="895">
        <v>0.2</v>
      </c>
      <c r="F88" s="882">
        <v>30</v>
      </c>
    </row>
    <row r="89" spans="1:6" s="878" customFormat="1" ht="24">
      <c r="A89" s="882">
        <v>29</v>
      </c>
      <c r="B89" s="3316"/>
      <c r="C89" s="818" t="s">
        <v>672</v>
      </c>
      <c r="D89" s="818" t="s">
        <v>673</v>
      </c>
      <c r="E89" s="895">
        <v>0.2</v>
      </c>
      <c r="F89" s="882">
        <v>30</v>
      </c>
    </row>
    <row r="90" spans="1:6" s="878" customFormat="1" ht="24">
      <c r="A90" s="882">
        <v>30</v>
      </c>
      <c r="B90" s="3316"/>
      <c r="C90" s="818" t="s">
        <v>674</v>
      </c>
      <c r="D90" s="818" t="s">
        <v>675</v>
      </c>
      <c r="E90" s="895">
        <v>0.2</v>
      </c>
      <c r="F90" s="882">
        <v>30</v>
      </c>
    </row>
    <row r="91" spans="1:6" s="878" customFormat="1" ht="36">
      <c r="A91" s="882">
        <v>31</v>
      </c>
      <c r="B91" s="3316"/>
      <c r="C91" s="818" t="s">
        <v>676</v>
      </c>
      <c r="D91" s="818" t="s">
        <v>677</v>
      </c>
      <c r="E91" s="895">
        <v>0.2</v>
      </c>
      <c r="F91" s="882">
        <v>30</v>
      </c>
    </row>
    <row r="92" spans="1:6" s="878" customFormat="1" ht="24">
      <c r="A92" s="882">
        <v>32</v>
      </c>
      <c r="B92" s="3316" t="s">
        <v>678</v>
      </c>
      <c r="C92" s="882" t="s">
        <v>679</v>
      </c>
      <c r="D92" s="818" t="s">
        <v>680</v>
      </c>
      <c r="E92" s="895">
        <v>0.2</v>
      </c>
      <c r="F92" s="882">
        <v>30</v>
      </c>
    </row>
    <row r="93" spans="1:6" s="878" customFormat="1" ht="36">
      <c r="A93" s="882">
        <v>33</v>
      </c>
      <c r="B93" s="3316"/>
      <c r="C93" s="882" t="s">
        <v>681</v>
      </c>
      <c r="D93" s="818" t="s">
        <v>682</v>
      </c>
      <c r="E93" s="895">
        <v>0.2</v>
      </c>
      <c r="F93" s="882">
        <v>30</v>
      </c>
    </row>
    <row r="94" spans="1:6" s="878" customFormat="1" ht="48">
      <c r="A94" s="882">
        <v>34</v>
      </c>
      <c r="B94" s="3316"/>
      <c r="C94" s="882" t="s">
        <v>683</v>
      </c>
      <c r="D94" s="818" t="s">
        <v>684</v>
      </c>
      <c r="E94" s="895">
        <v>0.2</v>
      </c>
      <c r="F94" s="882">
        <v>30</v>
      </c>
    </row>
    <row r="95" spans="1:6" s="878" customFormat="1" ht="36">
      <c r="A95" s="882">
        <v>35</v>
      </c>
      <c r="B95" s="3316"/>
      <c r="C95" s="882" t="s">
        <v>685</v>
      </c>
      <c r="D95" s="818" t="s">
        <v>686</v>
      </c>
      <c r="E95" s="895">
        <v>0.2</v>
      </c>
      <c r="F95" s="882">
        <v>30</v>
      </c>
    </row>
    <row r="96" spans="1:6" s="878" customFormat="1" ht="48">
      <c r="A96" s="882">
        <v>36</v>
      </c>
      <c r="B96" s="3316"/>
      <c r="C96" s="818" t="s">
        <v>687</v>
      </c>
      <c r="D96" s="818" t="s">
        <v>688</v>
      </c>
      <c r="E96" s="895">
        <v>0.2</v>
      </c>
      <c r="F96" s="882">
        <v>30</v>
      </c>
    </row>
    <row r="97" spans="1:6" s="878" customFormat="1" ht="36">
      <c r="A97" s="882">
        <v>37</v>
      </c>
      <c r="B97" s="3316"/>
      <c r="C97" s="882" t="s">
        <v>689</v>
      </c>
      <c r="D97" s="818" t="s">
        <v>690</v>
      </c>
      <c r="E97" s="895">
        <v>0.2</v>
      </c>
      <c r="F97" s="882">
        <v>30</v>
      </c>
    </row>
    <row r="98" spans="1:6" s="878" customFormat="1" ht="36">
      <c r="A98" s="882">
        <v>38</v>
      </c>
      <c r="B98" s="3316"/>
      <c r="C98" s="882" t="s">
        <v>691</v>
      </c>
      <c r="D98" s="818" t="s">
        <v>692</v>
      </c>
      <c r="E98" s="895">
        <v>0.2</v>
      </c>
      <c r="F98" s="882">
        <v>30</v>
      </c>
    </row>
    <row r="99" spans="1:6" s="878" customFormat="1" ht="36">
      <c r="A99" s="882">
        <v>39</v>
      </c>
      <c r="B99" s="3316" t="s">
        <v>693</v>
      </c>
      <c r="C99" s="882" t="s">
        <v>694</v>
      </c>
      <c r="D99" s="818" t="s">
        <v>695</v>
      </c>
      <c r="E99" s="895">
        <v>0.3</v>
      </c>
      <c r="F99" s="882">
        <v>50</v>
      </c>
    </row>
    <row r="100" spans="1:6" s="878" customFormat="1" ht="24">
      <c r="A100" s="882">
        <v>40</v>
      </c>
      <c r="B100" s="3316"/>
      <c r="C100" s="882" t="s">
        <v>696</v>
      </c>
      <c r="D100" s="818" t="s">
        <v>697</v>
      </c>
      <c r="E100" s="895">
        <v>0.2</v>
      </c>
      <c r="F100" s="882">
        <v>30</v>
      </c>
    </row>
    <row r="101" spans="1:6" s="878" customFormat="1" ht="36">
      <c r="A101" s="882">
        <v>41</v>
      </c>
      <c r="B101" s="331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6" t="s">
        <v>708</v>
      </c>
      <c r="C105" s="882" t="s">
        <v>709</v>
      </c>
      <c r="D105" s="818" t="s">
        <v>710</v>
      </c>
      <c r="E105" s="895">
        <v>0.2</v>
      </c>
      <c r="F105" s="882">
        <v>30</v>
      </c>
    </row>
    <row r="106" spans="1:6" s="878" customFormat="1" ht="36">
      <c r="A106" s="882">
        <v>46</v>
      </c>
      <c r="B106" s="3316"/>
      <c r="C106" s="882" t="s">
        <v>711</v>
      </c>
      <c r="D106" s="818" t="s">
        <v>712</v>
      </c>
      <c r="E106" s="895">
        <v>0.2</v>
      </c>
      <c r="F106" s="882">
        <v>30</v>
      </c>
    </row>
    <row r="107" spans="1:6" s="878" customFormat="1" ht="36">
      <c r="A107" s="882">
        <v>47</v>
      </c>
      <c r="B107" s="3316" t="s">
        <v>713</v>
      </c>
      <c r="C107" s="882" t="s">
        <v>714</v>
      </c>
      <c r="D107" s="818" t="s">
        <v>715</v>
      </c>
      <c r="E107" s="895">
        <v>0.3</v>
      </c>
      <c r="F107" s="882">
        <v>50</v>
      </c>
    </row>
    <row r="108" spans="1:6" s="878" customFormat="1" ht="36">
      <c r="A108" s="882">
        <v>48</v>
      </c>
      <c r="B108" s="331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6" t="s">
        <v>724</v>
      </c>
      <c r="C111" s="882" t="s">
        <v>725</v>
      </c>
      <c r="D111" s="818" t="s">
        <v>726</v>
      </c>
      <c r="E111" s="895">
        <v>0.2</v>
      </c>
      <c r="F111" s="882">
        <v>30</v>
      </c>
    </row>
    <row r="112" spans="1:6" s="878" customFormat="1" ht="24">
      <c r="A112" s="882">
        <v>52</v>
      </c>
      <c r="B112" s="3316"/>
      <c r="C112" s="882" t="s">
        <v>727</v>
      </c>
      <c r="D112" s="818" t="s">
        <v>728</v>
      </c>
      <c r="E112" s="895">
        <v>0.2</v>
      </c>
      <c r="F112" s="882">
        <v>30</v>
      </c>
    </row>
    <row r="113" spans="1:6" s="878" customFormat="1" ht="24">
      <c r="A113" s="882">
        <v>53</v>
      </c>
      <c r="B113" s="331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6" t="s">
        <v>737</v>
      </c>
      <c r="C116" s="882" t="s">
        <v>738</v>
      </c>
      <c r="D116" s="818" t="s">
        <v>739</v>
      </c>
      <c r="E116" s="895">
        <v>0.2</v>
      </c>
      <c r="F116" s="882">
        <v>30</v>
      </c>
    </row>
    <row r="117" spans="1:6" ht="36">
      <c r="A117" s="882">
        <v>57</v>
      </c>
      <c r="B117" s="331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0.92589999999999995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3007</v>
      </c>
    </row>
    <row r="2" spans="1:5" ht="15.75">
      <c r="A2" s="2915" t="s">
        <v>2999</v>
      </c>
      <c r="B2" s="2916">
        <f ca="1">SUMIF(B6:B13,"&lt;&gt;#ref!",B6:B13)</f>
        <v>751</v>
      </c>
      <c r="C2" s="2915" t="s">
        <v>3000</v>
      </c>
      <c r="D2" s="2915" t="s">
        <v>3001</v>
      </c>
      <c r="E2" s="2916">
        <f ca="1">SUMIF(E6:E13,"&lt;&gt;#ref!",E6:E13)</f>
        <v>166.41</v>
      </c>
    </row>
    <row r="3" spans="1:5" ht="15.75">
      <c r="A3" s="2915" t="s">
        <v>3002</v>
      </c>
      <c r="B3" s="2916">
        <f ca="1">ROUND(B2*10000/E2,0)</f>
        <v>45129</v>
      </c>
      <c r="C3" s="2915" t="s">
        <v>3008</v>
      </c>
      <c r="D3" s="2917"/>
      <c r="E3" s="2917"/>
    </row>
    <row r="4" spans="1:5" ht="15.75">
      <c r="A4" s="2918"/>
      <c r="B4" s="2917"/>
      <c r="C4" s="2917"/>
      <c r="D4" s="2917"/>
      <c r="E4" s="2917"/>
    </row>
    <row r="5" spans="1:5" ht="28.5">
      <c r="A5" s="2919" t="s">
        <v>3003</v>
      </c>
      <c r="B5" s="2915" t="s">
        <v>3004</v>
      </c>
      <c r="C5" s="2916"/>
      <c r="D5" s="2917"/>
      <c r="E5" s="2915" t="s">
        <v>3005</v>
      </c>
    </row>
    <row r="6" spans="1:5" ht="15.75">
      <c r="A6" s="2920" t="s">
        <v>3006</v>
      </c>
      <c r="B6" s="2916">
        <f ca="1">SUMIF(INDIRECT("'"&amp;A6&amp;"'"&amp;"!A:A"),"总价",INDIRECT("'"&amp;A6&amp;"'"&amp;"!B:B"))</f>
        <v>751</v>
      </c>
      <c r="C6" s="2915" t="s">
        <v>3000</v>
      </c>
      <c r="D6" s="2917"/>
      <c r="E6" s="2582">
        <f ca="1">SUMIF(INDIRECT("'"&amp;A6&amp;"'"&amp;"!C:C"),"建筑面积",INDIRECT("'"&amp;A6&amp;"'"&amp;"!D:D"))</f>
        <v>166.41</v>
      </c>
    </row>
    <row r="7" spans="1:5" ht="15.75">
      <c r="A7" s="2920"/>
      <c r="B7" s="2916" t="e">
        <f ca="1">SUMIF(INDIRECT("'"&amp;A7&amp;"'"&amp;"!A:A"),"总价",INDIRECT("'"&amp;A7&amp;"'"&amp;"!B:B"))</f>
        <v>#REF!</v>
      </c>
      <c r="C7" s="2915" t="s">
        <v>3000</v>
      </c>
      <c r="D7" s="2917"/>
      <c r="E7" s="2582" t="e">
        <f t="shared" ref="E7:E13" ca="1" si="0">SUMIF(INDIRECT("'"&amp;A7&amp;"'"&amp;"!C:C"),"建筑面积",INDIRECT("'"&amp;A7&amp;"'"&amp;"!D:D"))</f>
        <v>#REF!</v>
      </c>
    </row>
    <row r="8" spans="1:5" ht="15.75">
      <c r="A8" s="2920"/>
      <c r="B8" s="2916" t="e">
        <f t="shared" ref="B8:B13" ca="1" si="1">SUMIF(INDIRECT("'"&amp;A8&amp;"'"&amp;"!A:A"),"总价",INDIRECT("'"&amp;A8&amp;"'"&amp;"!B:B"))</f>
        <v>#REF!</v>
      </c>
      <c r="C8" s="2915" t="s">
        <v>3000</v>
      </c>
      <c r="D8" s="2917"/>
      <c r="E8" s="2582" t="e">
        <f t="shared" ca="1" si="0"/>
        <v>#REF!</v>
      </c>
    </row>
    <row r="9" spans="1:5" ht="15.75">
      <c r="A9" s="2920"/>
      <c r="B9" s="2916" t="e">
        <f t="shared" ca="1" si="1"/>
        <v>#REF!</v>
      </c>
      <c r="C9" s="2915" t="s">
        <v>3000</v>
      </c>
      <c r="D9" s="2917"/>
      <c r="E9" s="2582" t="e">
        <f t="shared" ca="1" si="0"/>
        <v>#REF!</v>
      </c>
    </row>
    <row r="10" spans="1:5" ht="15.75">
      <c r="A10" s="2920"/>
      <c r="B10" s="2916" t="e">
        <f t="shared" ca="1" si="1"/>
        <v>#REF!</v>
      </c>
      <c r="C10" s="2915" t="s">
        <v>3000</v>
      </c>
      <c r="D10" s="2917"/>
      <c r="E10" s="2582" t="e">
        <f t="shared" ca="1" si="0"/>
        <v>#REF!</v>
      </c>
    </row>
    <row r="11" spans="1:5" ht="15.75">
      <c r="A11" s="2920"/>
      <c r="B11" s="2916" t="e">
        <f t="shared" ca="1" si="1"/>
        <v>#REF!</v>
      </c>
      <c r="C11" s="2915" t="s">
        <v>3000</v>
      </c>
      <c r="D11" s="2917"/>
      <c r="E11" s="2582" t="e">
        <f t="shared" ca="1" si="0"/>
        <v>#REF!</v>
      </c>
    </row>
    <row r="12" spans="1:5" ht="15.75">
      <c r="A12" s="2920"/>
      <c r="B12" s="2916" t="e">
        <f t="shared" ca="1" si="1"/>
        <v>#REF!</v>
      </c>
      <c r="C12" s="2915" t="s">
        <v>3000</v>
      </c>
      <c r="D12" s="2917"/>
      <c r="E12" s="2582" t="e">
        <f t="shared" ca="1" si="0"/>
        <v>#REF!</v>
      </c>
    </row>
    <row r="13" spans="1:5" ht="15.75">
      <c r="A13" s="2920"/>
      <c r="B13" s="2916" t="e">
        <f t="shared" ca="1" si="1"/>
        <v>#REF!</v>
      </c>
      <c r="C13" s="2915" t="s">
        <v>3000</v>
      </c>
      <c r="D13" s="2917"/>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64"/>
      <c r="B4" s="2984" t="s">
        <v>1630</v>
      </c>
      <c r="C4" s="2984"/>
      <c r="D4" s="2984"/>
      <c r="E4" s="1964"/>
    </row>
    <row r="5" spans="1:5" ht="16.5" thickTop="1">
      <c r="A5" s="1962"/>
      <c r="B5" s="2982" t="s">
        <v>1622</v>
      </c>
      <c r="C5" s="1965" t="s">
        <v>1623</v>
      </c>
      <c r="D5" s="1043">
        <f ca="1">结果表!H101</f>
        <v>2070</v>
      </c>
      <c r="E5" s="1962"/>
    </row>
    <row r="6" spans="1:5" ht="15.75">
      <c r="A6" s="1962"/>
      <c r="B6" s="2982"/>
      <c r="C6" s="1965" t="s">
        <v>1624</v>
      </c>
      <c r="D6" s="1043" t="str">
        <f ca="1">NUMBERSTRING(INT(D5*10000),2)&amp;"元整"</f>
        <v>贰仟零柒拾万元整</v>
      </c>
      <c r="E6" s="1962"/>
    </row>
    <row r="7" spans="1:5" ht="15.75">
      <c r="A7" s="1962"/>
      <c r="B7" s="2987"/>
      <c r="C7" s="1966" t="s">
        <v>1625</v>
      </c>
      <c r="D7" s="1044">
        <f ca="1">结果表!H102</f>
        <v>124392</v>
      </c>
      <c r="E7" s="1962"/>
    </row>
    <row r="8" spans="1:5" ht="15.75">
      <c r="A8" s="1962"/>
      <c r="B8" s="2988" t="str">
        <f>结果表!E103</f>
        <v>2.估价师知悉的法定优先受偿款</v>
      </c>
      <c r="C8" s="1967" t="s">
        <v>1626</v>
      </c>
      <c r="D8" s="1044">
        <f>结果表!H103</f>
        <v>0</v>
      </c>
      <c r="E8" s="1962"/>
    </row>
    <row r="9" spans="1:5" ht="15.75">
      <c r="A9" s="1962"/>
      <c r="B9" s="2990"/>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81" t="str">
        <f>结果表!E107</f>
        <v>3.房地产抵押价值</v>
      </c>
      <c r="C13" s="1970" t="s">
        <v>1623</v>
      </c>
      <c r="D13" s="1046">
        <f ca="1">结果表!H107</f>
        <v>2070</v>
      </c>
      <c r="E13" s="1962"/>
    </row>
    <row r="14" spans="1:5" ht="15.75">
      <c r="A14" s="1962"/>
      <c r="B14" s="2982"/>
      <c r="C14" s="1965" t="s">
        <v>1624</v>
      </c>
      <c r="D14" s="1043" t="str">
        <f ca="1">NUMBERSTRING(INT(D13*10000),2)&amp;"元整"</f>
        <v>贰仟零柒拾万元整</v>
      </c>
      <c r="E14" s="1962"/>
    </row>
    <row r="15" spans="1:5" ht="15">
      <c r="A15" s="1962"/>
      <c r="B15" s="2987"/>
      <c r="C15" s="1966" t="s">
        <v>1634</v>
      </c>
      <c r="D15" s="1055">
        <f ca="1">结果表!H108</f>
        <v>124392</v>
      </c>
      <c r="E15" s="1962"/>
    </row>
    <row r="16" spans="1:5" ht="15">
      <c r="A16" s="1962"/>
      <c r="B16" s="2988" t="str">
        <f>结果表!E109</f>
        <v>——</v>
      </c>
      <c r="C16" s="1970" t="s">
        <v>1635</v>
      </c>
      <c r="D16" s="1971" t="str">
        <f>结果表!H109</f>
        <v>——</v>
      </c>
      <c r="E16" s="1962"/>
    </row>
    <row r="17" spans="1:5" ht="15.75">
      <c r="A17" s="1962"/>
      <c r="B17" s="2989"/>
      <c r="C17" s="1965" t="s">
        <v>1636</v>
      </c>
      <c r="D17" s="1043" t="e">
        <f>NUMBERSTRING(INT(D16*10000),2)&amp;"元整"</f>
        <v>#VALUE!</v>
      </c>
      <c r="E17" s="1962"/>
    </row>
    <row r="18" spans="1:5" ht="15">
      <c r="A18" s="1962"/>
      <c r="B18" s="2990"/>
      <c r="C18" s="1966" t="s">
        <v>1625</v>
      </c>
      <c r="D18" s="1055" t="str">
        <f>结果表!H110</f>
        <v>——</v>
      </c>
      <c r="E18" s="1962"/>
    </row>
    <row r="19" spans="1:5" ht="15.75">
      <c r="A19" s="1962"/>
      <c r="B19" s="2981" t="str">
        <f>结果表!E111</f>
        <v>——</v>
      </c>
      <c r="C19" s="1970" t="s">
        <v>1623</v>
      </c>
      <c r="D19" s="1044" t="str">
        <f>结果表!H111</f>
        <v>——</v>
      </c>
      <c r="E19" s="1962"/>
    </row>
    <row r="20" spans="1:5" ht="15.75">
      <c r="A20" s="1962"/>
      <c r="B20" s="2982"/>
      <c r="C20" s="1965" t="s">
        <v>1636</v>
      </c>
      <c r="D20" s="1043" t="e">
        <f>NUMBERSTRING(INT(D19*10000),2)&amp;"元整"</f>
        <v>#VALUE!</v>
      </c>
      <c r="E20" s="1962"/>
    </row>
    <row r="21" spans="1:5" ht="15.75" thickBot="1">
      <c r="A21" s="1962"/>
      <c r="B21" s="2983"/>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22" t="s">
        <v>1150</v>
      </c>
      <c r="C1" s="3322"/>
      <c r="D1" s="3322"/>
      <c r="E1" s="3322"/>
      <c r="F1" s="3322"/>
      <c r="G1" s="3321" t="s">
        <v>1151</v>
      </c>
      <c r="H1" s="3321"/>
      <c r="I1" s="3321"/>
      <c r="J1" s="3321"/>
      <c r="K1" s="3321"/>
      <c r="L1" s="3321"/>
      <c r="N1" s="3321" t="s">
        <v>1152</v>
      </c>
      <c r="O1" s="3321"/>
      <c r="P1" s="3321"/>
      <c r="Q1" s="3321"/>
      <c r="R1" s="1449"/>
      <c r="S1" s="3321" t="s">
        <v>1153</v>
      </c>
      <c r="T1" s="3321"/>
      <c r="U1" s="3321"/>
      <c r="V1" s="3321"/>
      <c r="X1" s="3320" t="s">
        <v>1154</v>
      </c>
      <c r="Y1" s="3321"/>
      <c r="Z1" s="3321"/>
      <c r="AA1" s="3321"/>
      <c r="AB1" s="3321"/>
      <c r="AD1" s="3320" t="s">
        <v>1155</v>
      </c>
      <c r="AE1" s="3321"/>
      <c r="AF1" s="3321"/>
      <c r="AG1" s="3321"/>
      <c r="AH1" s="3321"/>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3038</v>
      </c>
      <c r="B3" s="2935"/>
      <c r="C3" s="2935"/>
      <c r="D3" s="2936"/>
      <c r="E3" s="2936"/>
      <c r="F3" s="2935"/>
      <c r="G3" s="2937"/>
      <c r="H3" s="2938"/>
      <c r="I3" s="2939">
        <f>ROUND(AVERAGE($I7:$I22),2)</f>
        <v>2.4500000000000002</v>
      </c>
      <c r="J3" s="2939">
        <f>ROUND(AVERAGE($J7:$J22),2)</f>
        <v>1.65</v>
      </c>
      <c r="K3" s="2939">
        <f>ROUND(AVERAGE($K7:$K22),2)</f>
        <v>2.71</v>
      </c>
      <c r="L3" s="2939">
        <f>ROUND(AVERAGE($L7:$L22),2)</f>
        <v>1.39</v>
      </c>
      <c r="N3" s="2937"/>
      <c r="O3" s="2940"/>
      <c r="P3" s="2940"/>
      <c r="Q3" s="2940"/>
      <c r="R3" s="2940"/>
      <c r="S3" s="2937"/>
      <c r="T3" s="2940"/>
      <c r="U3" s="2940"/>
      <c r="V3" s="2940"/>
      <c r="W3" s="2932"/>
      <c r="X3" s="2941">
        <f>ROUND(SUMPRODUCT(PRODUCT(1+N3:N$21)),4)</f>
        <v>1.4517</v>
      </c>
      <c r="Y3" s="2941">
        <f>ROUND(SUMPRODUCT(PRODUCT(1+O3:O$21)),4)</f>
        <v>1.2928999999999999</v>
      </c>
      <c r="Z3" s="2941">
        <f t="shared" ref="Z3:Z19" si="0">Y3</f>
        <v>1.2928999999999999</v>
      </c>
      <c r="AA3" s="2941">
        <f>ROUND(SUMPRODUCT(PRODUCT(1+P3:P$21)),4)</f>
        <v>1.5068999999999999</v>
      </c>
      <c r="AB3" s="2941">
        <f>ROUND(SUMPRODUCT(PRODUCT(1+Q3:Q$21)),4)</f>
        <v>1.2557</v>
      </c>
      <c r="AD3" s="2942">
        <f>ROUND(AVERAGE(I3:I$22)/100,4)</f>
        <v>2.2800000000000001E-2</v>
      </c>
      <c r="AE3" s="2942">
        <f>ROUND(AVERAGE(J3:J$22)/100,4)</f>
        <v>1.5699999999999999E-2</v>
      </c>
      <c r="AF3" s="2942">
        <f t="shared" ref="AF3:AF20" si="1">AE3</f>
        <v>1.5699999999999999E-2</v>
      </c>
      <c r="AG3" s="2942">
        <f>ROUND(AVERAGE(K3:K$22)/100,4)</f>
        <v>2.5100000000000001E-2</v>
      </c>
      <c r="AH3" s="2942">
        <f>ROUND(AVERAGE(L3:L$22)/100,4)</f>
        <v>1.35E-2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3044</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4">
        <v>2018</v>
      </c>
      <c r="H5" s="1733">
        <v>2</v>
      </c>
      <c r="I5" s="2929">
        <v>0</v>
      </c>
      <c r="J5" s="2929">
        <v>0</v>
      </c>
      <c r="K5" s="2929">
        <v>0</v>
      </c>
      <c r="L5" s="2929">
        <v>0</v>
      </c>
      <c r="N5" s="1470">
        <f t="shared" ref="N5" si="7">I5/100</f>
        <v>0</v>
      </c>
      <c r="O5" s="1470">
        <f t="shared" ref="O5" si="8">J5/100</f>
        <v>0</v>
      </c>
      <c r="P5" s="1470">
        <f t="shared" ref="P5" si="9">K5/100</f>
        <v>0</v>
      </c>
      <c r="Q5" s="1470">
        <f t="shared" ref="Q5" si="10">L5/100</f>
        <v>0</v>
      </c>
      <c r="R5" s="1735"/>
      <c r="S5" s="1736"/>
      <c r="T5" s="1735"/>
      <c r="U5" s="1735"/>
      <c r="V5" s="1735"/>
      <c r="W5" s="2933" t="s">
        <v>3039</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3037</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5">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3034</v>
      </c>
      <c r="B7" s="1472">
        <v>439</v>
      </c>
      <c r="C7" s="1472">
        <v>327</v>
      </c>
      <c r="D7" s="1472">
        <f>C7</f>
        <v>327</v>
      </c>
      <c r="E7" s="1472">
        <v>627</v>
      </c>
      <c r="F7" s="1473">
        <v>283</v>
      </c>
      <c r="G7" s="2931">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3035</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7"/>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6"/>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7"/>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23">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318"/>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318"/>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319"/>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317">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318"/>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318"/>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319"/>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317">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318"/>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318"/>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319"/>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324">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325"/>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325"/>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326"/>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317">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318"/>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318"/>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319"/>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317">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318">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318">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319">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317">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318">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318">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319">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317">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318">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318">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319">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317">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318">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318">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319">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317">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318">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318">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319">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317">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318">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318">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319">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317">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318">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318">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319">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317">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318">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318">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319">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317">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318">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318">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319">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317">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318">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318">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319">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31551</v>
      </c>
      <c r="C2" s="2" t="s">
        <v>133</v>
      </c>
      <c r="D2" s="243"/>
      <c r="E2" s="243"/>
      <c r="F2" s="243"/>
      <c r="G2" s="243"/>
    </row>
    <row r="3" spans="1:7" s="244" customFormat="1" ht="18" customHeight="1" thickBot="1">
      <c r="A3" s="247" t="s">
        <v>85</v>
      </c>
      <c r="B3" s="248">
        <f ca="1">ROUND(B2*10000/'数据-汇总表'!E3,0)</f>
        <v>1895980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3</v>
      </c>
      <c r="D9" s="1035">
        <f>'数据-汇总表'!E5</f>
        <v>166.41</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v>
      </c>
      <c r="D19" s="1039">
        <f>'数据-汇总表'!E3</f>
        <v>166.41</v>
      </c>
      <c r="E19" s="255">
        <f>'数据-取费表'!B31</f>
        <v>200</v>
      </c>
      <c r="F19" s="275"/>
      <c r="G19" s="1" t="s">
        <v>1074</v>
      </c>
    </row>
    <row r="20" spans="1:7" s="258" customFormat="1" ht="13.5" customHeight="1">
      <c r="A20" s="951" t="s">
        <v>1057</v>
      </c>
      <c r="B20" s="254" t="s">
        <v>104</v>
      </c>
      <c r="C20" s="276">
        <f>ROUND((C5+C19)*F20,0)</f>
        <v>618</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2033</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1058</v>
      </c>
      <c r="C25" s="1358">
        <f ca="1">ROUND(IF('数据-取费表'!B22&lt;=1,C20*F22*'数据-取费表'!B23/2,C20*(POWER((1+F22),'数据-取费表'!B23/2)-1)),0)</f>
        <v>29</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5308</v>
      </c>
      <c r="D27" s="279">
        <f>C29</f>
        <v>7.4999999999999997E-3</v>
      </c>
      <c r="E27" s="280" t="s">
        <v>126</v>
      </c>
      <c r="F27" s="290">
        <f>'数据-取费表'!Q16</f>
        <v>0.25</v>
      </c>
      <c r="G27" s="291" t="s">
        <v>1069</v>
      </c>
    </row>
    <row r="28" spans="1:7" s="258" customFormat="1" ht="13.5" customHeight="1">
      <c r="A28" s="954" t="s">
        <v>794</v>
      </c>
      <c r="B28" s="292" t="s">
        <v>1062</v>
      </c>
      <c r="C28" s="293">
        <f>ROUND((C5+C19+C20)*F27*'数据-取费表'!B21/'数据-取费表'!B20,0)</f>
        <v>5308</v>
      </c>
      <c r="D28" s="279"/>
      <c r="E28" s="280"/>
      <c r="F28" s="290"/>
      <c r="G28" s="291"/>
    </row>
    <row r="29" spans="1:7" s="258" customFormat="1" ht="13.5" customHeight="1">
      <c r="A29" s="954" t="s">
        <v>792</v>
      </c>
      <c r="B29" s="292" t="s">
        <v>1063</v>
      </c>
      <c r="C29" s="282">
        <f>ROUND(C21*F27*'数据-取费表'!B21/'数据-取费表'!B20,4)</f>
        <v>7.4999999999999997E-3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31475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50</v>
      </c>
      <c r="D34" s="261"/>
      <c r="E34" s="264"/>
      <c r="F34" s="301">
        <f>IF('数据-取费表'!B24=0,1,'数据-取费表'!N16)</f>
        <v>1</v>
      </c>
      <c r="G34" s="263" t="s">
        <v>116</v>
      </c>
    </row>
    <row r="35" spans="1:7" ht="13.5" customHeight="1">
      <c r="A35" s="954" t="s">
        <v>796</v>
      </c>
      <c r="B35" s="259" t="s">
        <v>60</v>
      </c>
      <c r="C35" s="264">
        <f>ROUND(C34*F35,0)</f>
        <v>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v>
      </c>
      <c r="D36" s="264"/>
      <c r="E36" s="264"/>
      <c r="F36" s="303">
        <f>'数据-取费表'!B34</f>
        <v>0.03</v>
      </c>
      <c r="G36" s="304" t="s">
        <v>62</v>
      </c>
    </row>
    <row r="37" spans="1:7" s="302" customFormat="1" ht="13.5" customHeight="1">
      <c r="A37" s="954" t="s">
        <v>798</v>
      </c>
      <c r="B37" s="259" t="s">
        <v>118</v>
      </c>
      <c r="C37" s="293">
        <f>ROUND(E37*D37*F34/10000,0)</f>
        <v>3</v>
      </c>
      <c r="D37" s="261">
        <f>'数据-汇总表'!E3</f>
        <v>166.41</v>
      </c>
      <c r="E37" s="293">
        <f>'数据-取费表'!B35</f>
        <v>200</v>
      </c>
      <c r="F37" s="303"/>
      <c r="G37" s="305" t="s">
        <v>119</v>
      </c>
    </row>
    <row r="38" spans="1:7" ht="13.5" customHeight="1">
      <c r="A38" s="954" t="s">
        <v>799</v>
      </c>
      <c r="B38" s="259" t="s">
        <v>63</v>
      </c>
      <c r="C38" s="264">
        <f>ROUND(C34*F38,0)</f>
        <v>1</v>
      </c>
      <c r="D38" s="264"/>
      <c r="E38" s="264"/>
      <c r="F38" s="303">
        <f>'数据-取费表'!B36</f>
        <v>1.4999999999999999E-2</v>
      </c>
      <c r="G38" s="263" t="s">
        <v>117</v>
      </c>
    </row>
    <row r="39" spans="1:7" s="258" customFormat="1" ht="13.5" customHeight="1">
      <c r="A39" s="951" t="s">
        <v>783</v>
      </c>
      <c r="B39" s="254" t="s">
        <v>104</v>
      </c>
      <c r="C39" s="276">
        <f>ROUND(C33*F20,0)</f>
        <v>2</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3</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v>
      </c>
      <c r="D42" s="282"/>
      <c r="E42" s="282"/>
      <c r="F42" s="283"/>
      <c r="G42" s="3213" t="s">
        <v>121</v>
      </c>
    </row>
    <row r="43" spans="1:7" ht="13.5" customHeight="1">
      <c r="A43" s="954" t="s">
        <v>792</v>
      </c>
      <c r="B43" s="259" t="s">
        <v>1064</v>
      </c>
      <c r="C43" s="282">
        <f ca="1">ROUND(IF('数据-取费表'!B22&lt;=1,C39*F22*'数据-取费表'!B21/2,C39*(POWER((1+F22),'数据-取费表'!B21/2)-1)),0)</f>
        <v>0</v>
      </c>
      <c r="D43" s="282"/>
      <c r="E43" s="282"/>
      <c r="F43" s="283"/>
      <c r="G43" s="3214"/>
    </row>
    <row r="44" spans="1:7" ht="13.5" customHeight="1">
      <c r="A44" s="954" t="s">
        <v>793</v>
      </c>
      <c r="B44" s="259" t="s">
        <v>1066</v>
      </c>
      <c r="C44" s="282">
        <f ca="1">ROUND(IF('数据-取费表'!B22&lt;=1,C40*F22*'数据-取费表'!B21/2,C40*(POWER((1+F22),'数据-取费表'!B21/2)-1)),4)</f>
        <v>1.4E-3</v>
      </c>
      <c r="D44" s="282"/>
      <c r="E44" s="282"/>
      <c r="F44" s="283"/>
      <c r="G44" s="3215"/>
    </row>
    <row r="45" spans="1:7" s="258" customFormat="1" ht="13.5" customHeight="1">
      <c r="A45" s="951" t="s">
        <v>786</v>
      </c>
      <c r="B45" s="288" t="s">
        <v>112</v>
      </c>
      <c r="C45" s="289">
        <f>C46</f>
        <v>15</v>
      </c>
      <c r="D45" s="279">
        <f>C47</f>
        <v>7.4999999999999997E-3</v>
      </c>
      <c r="E45" s="280" t="s">
        <v>129</v>
      </c>
      <c r="F45" s="290"/>
      <c r="G45" s="291" t="s">
        <v>1072</v>
      </c>
    </row>
    <row r="46" spans="1:7" s="258" customFormat="1" ht="13.5" customHeight="1">
      <c r="A46" s="954" t="s">
        <v>794</v>
      </c>
      <c r="B46" s="292" t="s">
        <v>1065</v>
      </c>
      <c r="C46" s="293">
        <f>ROUND((C33+C39)*F27,0)</f>
        <v>15</v>
      </c>
      <c r="D46" s="307"/>
      <c r="E46" s="280"/>
      <c r="F46" s="290"/>
      <c r="G46" s="291"/>
    </row>
    <row r="47" spans="1:7" s="258" customFormat="1" ht="13.5" customHeight="1">
      <c r="A47" s="954" t="s">
        <v>792</v>
      </c>
      <c r="B47" s="292" t="s">
        <v>1067</v>
      </c>
      <c r="C47" s="282">
        <f>ROUND(C40*F27,4)</f>
        <v>7.4999999999999997E-3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86</v>
      </c>
      <c r="D49" s="276"/>
      <c r="E49" s="276"/>
      <c r="F49" s="308"/>
      <c r="G49" s="278" t="s">
        <v>1073</v>
      </c>
    </row>
    <row r="50" spans="1:7" s="302" customFormat="1" ht="24">
      <c r="A50" s="951" t="s">
        <v>789</v>
      </c>
      <c r="B50" s="254" t="s">
        <v>124</v>
      </c>
      <c r="C50" s="276"/>
      <c r="D50" s="276"/>
      <c r="E50" s="276"/>
      <c r="F50" s="308">
        <f>IF('数据-取费表'!B24=0,'数据-取费表'!N16,1)</f>
        <v>0.88</v>
      </c>
      <c r="G50" s="291" t="s">
        <v>125</v>
      </c>
    </row>
    <row r="51" spans="1:7" ht="16.5" customHeight="1">
      <c r="A51" s="951" t="s">
        <v>790</v>
      </c>
      <c r="B51" s="254" t="s">
        <v>132</v>
      </c>
      <c r="C51" s="276">
        <f ca="1">ROUND(C49*F50,0)</f>
        <v>76</v>
      </c>
      <c r="D51" s="276"/>
      <c r="E51" s="276"/>
      <c r="F51" s="308"/>
      <c r="G51" s="278" t="s">
        <v>64</v>
      </c>
    </row>
    <row r="52" spans="1:7" s="252" customFormat="1" ht="16.5" thickBot="1">
      <c r="A52" s="309" t="s">
        <v>65</v>
      </c>
      <c r="B52" s="310"/>
      <c r="C52" s="311">
        <f ca="1">C31+C51</f>
        <v>31551</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27" t="s">
        <v>156</v>
      </c>
      <c r="B1" s="3327"/>
      <c r="C1" s="3327"/>
      <c r="D1" s="3327"/>
      <c r="E1" s="3327"/>
      <c r="F1" s="332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8" t="s">
        <v>169</v>
      </c>
      <c r="B2" s="3328"/>
      <c r="C2" s="3328"/>
      <c r="D2" s="3328"/>
      <c r="E2" s="3328"/>
      <c r="F2" s="332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7" t="s">
        <v>871</v>
      </c>
      <c r="B1" s="332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43280</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1641</v>
      </c>
      <c r="B2" s="3001" t="s">
        <v>1642</v>
      </c>
      <c r="C2" s="3001" t="s">
        <v>1643</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2995"/>
      <c r="B3" s="2995"/>
      <c r="C3" s="2995"/>
      <c r="D3" s="1047" t="s">
        <v>1638</v>
      </c>
      <c r="E3" s="1047" t="s">
        <v>1644</v>
      </c>
      <c r="F3" s="1047" t="s">
        <v>1638</v>
      </c>
      <c r="G3" s="1047" t="s">
        <v>1639</v>
      </c>
      <c r="H3" s="1047" t="s">
        <v>1638</v>
      </c>
      <c r="I3" s="1047" t="s">
        <v>1639</v>
      </c>
    </row>
    <row r="4" spans="1:9" ht="15">
      <c r="A4" s="1976" t="str">
        <f>项目基本情况!S2</f>
        <v>北京市房地产</v>
      </c>
      <c r="B4" s="1047">
        <f>项目基本情况!C17</f>
        <v>166.41</v>
      </c>
      <c r="C4" s="1047">
        <f>项目基本情况!C18</f>
        <v>0</v>
      </c>
      <c r="D4" s="1047" t="e">
        <f ca="1">结果表!D118</f>
        <v>#REF!</v>
      </c>
      <c r="E4" s="1047" t="e">
        <f ca="1">结果表!E118</f>
        <v>#REF!</v>
      </c>
      <c r="F4" s="1047" t="e">
        <f ca="1">结果表!F118</f>
        <v>#REF!</v>
      </c>
      <c r="G4" s="1047" t="e">
        <f ca="1">结果表!G118</f>
        <v>#REF!</v>
      </c>
      <c r="H4" s="1047">
        <f ca="1">结果表!H118</f>
        <v>2070</v>
      </c>
      <c r="I4" s="1047">
        <f ca="1">结果表!I118</f>
        <v>124392</v>
      </c>
    </row>
    <row r="5" spans="1:9" ht="30" customHeight="1">
      <c r="A5" s="2995" t="s">
        <v>1640</v>
      </c>
      <c r="B5" s="2995"/>
      <c r="C5" s="2995"/>
      <c r="D5" s="2996" t="e">
        <f ca="1">结果表!D119</f>
        <v>#REF!</v>
      </c>
      <c r="E5" s="2996"/>
      <c r="F5" s="2996" t="e">
        <f ca="1">结果表!F119</f>
        <v>#REF!</v>
      </c>
      <c r="G5" s="2996"/>
      <c r="H5" s="2996" t="str">
        <f ca="1">结果表!H119</f>
        <v>贰仟零柒拾万元整</v>
      </c>
      <c r="I5" s="2996"/>
    </row>
    <row r="6" spans="1:9" ht="15.75">
      <c r="A6" s="2994" t="str">
        <f>结果表!A120</f>
        <v>估价师知悉的法定优先受偿款</v>
      </c>
      <c r="B6" s="2994"/>
      <c r="C6" s="2994"/>
      <c r="D6" s="2994">
        <f>结果表!D120</f>
        <v>0</v>
      </c>
      <c r="E6" s="2994"/>
      <c r="F6" s="2994"/>
      <c r="G6" s="2994"/>
      <c r="H6" s="2994"/>
      <c r="I6" s="2994"/>
    </row>
    <row r="7" spans="1:9" ht="15">
      <c r="A7" s="2995" t="s">
        <v>1640</v>
      </c>
      <c r="B7" s="2995"/>
      <c r="C7" s="2995"/>
      <c r="D7" s="2997" t="str">
        <f>结果表!D121</f>
        <v>零元整</v>
      </c>
      <c r="E7" s="2998"/>
      <c r="F7" s="2998"/>
      <c r="G7" s="2998"/>
      <c r="H7" s="2998"/>
      <c r="I7" s="2999"/>
    </row>
    <row r="8" spans="1:9" ht="15.75">
      <c r="A8" s="2994" t="str">
        <f>结果表!A122</f>
        <v>房地产抵押价值</v>
      </c>
      <c r="B8" s="2994"/>
      <c r="C8" s="2994"/>
      <c r="D8" s="2994">
        <f ca="1">结果表!D122</f>
        <v>2070</v>
      </c>
      <c r="E8" s="2994"/>
      <c r="F8" s="2994"/>
      <c r="G8" s="2994"/>
      <c r="H8" s="2994"/>
      <c r="I8" s="2994"/>
    </row>
    <row r="9" spans="1:9" ht="15">
      <c r="A9" s="2995" t="s">
        <v>1640</v>
      </c>
      <c r="B9" s="2995"/>
      <c r="C9" s="2995"/>
      <c r="D9" s="2996" t="str">
        <f ca="1">结果表!D123</f>
        <v>贰仟零柒拾万元整</v>
      </c>
      <c r="E9" s="2996"/>
      <c r="F9" s="2996"/>
      <c r="G9" s="2996"/>
      <c r="H9" s="2996"/>
      <c r="I9" s="2996"/>
    </row>
    <row r="10" spans="1:9" ht="15.75">
      <c r="A10" s="2994" t="str">
        <f>结果表!A124</f>
        <v/>
      </c>
      <c r="B10" s="2994"/>
      <c r="C10" s="2994"/>
      <c r="D10" s="2994" t="str">
        <f>结果表!D124</f>
        <v>——</v>
      </c>
      <c r="E10" s="2994"/>
      <c r="F10" s="2994"/>
      <c r="G10" s="2994"/>
      <c r="H10" s="2994"/>
      <c r="I10" s="2994"/>
    </row>
    <row r="11" spans="1:9" ht="15">
      <c r="A11" s="2995" t="s">
        <v>1640</v>
      </c>
      <c r="B11" s="2995"/>
      <c r="C11" s="2995"/>
      <c r="D11" s="2996" t="e">
        <f>结果表!D125</f>
        <v>#VALUE!</v>
      </c>
      <c r="E11" s="2996"/>
      <c r="F11" s="2996"/>
      <c r="G11" s="2996"/>
      <c r="H11" s="2996"/>
      <c r="I11" s="2996"/>
    </row>
    <row r="12" spans="1:9" ht="15.75">
      <c r="A12" s="2994" t="str">
        <f>结果表!A126</f>
        <v/>
      </c>
      <c r="B12" s="2994"/>
      <c r="C12" s="2994"/>
      <c r="D12" s="2994" t="str">
        <f>结果表!D126</f>
        <v>——</v>
      </c>
      <c r="E12" s="2994"/>
      <c r="F12" s="2994"/>
      <c r="G12" s="2994"/>
      <c r="H12" s="2994"/>
      <c r="I12" s="2994"/>
    </row>
    <row r="13" spans="1:9" ht="15.75" thickBot="1">
      <c r="A13" s="2991" t="s">
        <v>1640</v>
      </c>
      <c r="B13" s="2991"/>
      <c r="C13" s="2991"/>
      <c r="D13" s="2992" t="e">
        <f>结果表!D127</f>
        <v>#VALUE!</v>
      </c>
      <c r="E13" s="2992"/>
      <c r="F13" s="2992"/>
      <c r="G13" s="2992"/>
      <c r="H13" s="2992"/>
      <c r="I13" s="2992"/>
    </row>
    <row r="14" spans="1:9" ht="15" thickTop="1">
      <c r="A14" s="2993" t="s">
        <v>1645</v>
      </c>
      <c r="B14" s="2993"/>
      <c r="C14" s="2993"/>
      <c r="D14" s="2993"/>
      <c r="E14" s="2993"/>
      <c r="F14" s="2993"/>
      <c r="G14" s="2993"/>
      <c r="H14" s="2993"/>
      <c r="I14" s="2993"/>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8" t="s">
        <v>1662</v>
      </c>
      <c r="B1" s="3008"/>
      <c r="C1" s="3008"/>
      <c r="D1" s="3008"/>
    </row>
    <row r="2" spans="1:4" ht="18">
      <c r="A2" s="3009" t="s">
        <v>1646</v>
      </c>
      <c r="B2" s="3009"/>
      <c r="C2" s="3009"/>
      <c r="D2" s="3009"/>
    </row>
    <row r="3" spans="1:4" ht="18.75">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8">
      <c r="A6" s="3009" t="s">
        <v>1652</v>
      </c>
      <c r="B6" s="3009"/>
      <c r="C6" s="3009"/>
      <c r="D6" s="3009"/>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10" t="s">
        <v>1655</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2" t="str">
        <f>IF(项目基本情况!B8="抵押","4.本次评估估价师所知悉的法定优先受偿款情况说明如下：","——")</f>
        <v>4.本次评估估价师所知悉的法定优先受偿款情况说明如下：</v>
      </c>
      <c r="B14" s="3007"/>
      <c r="C14" s="3007"/>
      <c r="D14" s="3007"/>
    </row>
    <row r="15" spans="1:4" ht="42" customHeight="1">
      <c r="A15" s="30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2"/>
      <c r="C15" s="3002"/>
      <c r="D15" s="3002"/>
    </row>
    <row r="16" spans="1:4" ht="30" customHeight="1">
      <c r="A16" s="3004" t="s">
        <v>1656</v>
      </c>
      <c r="B16" s="3004"/>
      <c r="C16" s="3004"/>
      <c r="D16" s="3004"/>
    </row>
    <row r="17" spans="1:4" ht="144" customHeight="1">
      <c r="A17" s="3004" t="s">
        <v>1657</v>
      </c>
      <c r="B17" s="3004"/>
      <c r="C17" s="3004"/>
      <c r="D17" s="3004"/>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2"/>
      <c r="C20" s="3002"/>
      <c r="D20" s="3002"/>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5"/>
      <c r="C21" s="3005"/>
      <c r="D21" s="3005"/>
    </row>
    <row r="22" spans="1:4" ht="18.75" customHeight="1">
      <c r="A22" s="3006" t="s">
        <v>1658</v>
      </c>
      <c r="B22" s="3006"/>
      <c r="C22" s="3006"/>
      <c r="D22" s="3006"/>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03">
        <v>42551</v>
      </c>
      <c r="D31" s="30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16" t="s">
        <v>1669</v>
      </c>
      <c r="B15" s="3011" t="s">
        <v>136</v>
      </c>
      <c r="C15" s="3012"/>
    </row>
    <row r="16" spans="1:7" ht="13.5">
      <c r="A16" s="3017"/>
      <c r="B16" s="3011" t="s">
        <v>69</v>
      </c>
      <c r="C16" s="3012"/>
    </row>
    <row r="17" spans="1:3" ht="13.5">
      <c r="A17" s="3017"/>
      <c r="B17" s="3014" t="s">
        <v>1670</v>
      </c>
      <c r="C17" s="2003" t="s">
        <v>1669</v>
      </c>
    </row>
    <row r="18" spans="1:3" ht="13.5">
      <c r="A18" s="3017"/>
      <c r="B18" s="3014"/>
      <c r="C18" s="2003" t="s">
        <v>1671</v>
      </c>
    </row>
    <row r="19" spans="1:3" ht="13.5">
      <c r="A19" s="3017"/>
      <c r="B19" s="3014"/>
      <c r="C19" s="2003" t="s">
        <v>1672</v>
      </c>
    </row>
    <row r="20" spans="1:3" ht="13.5">
      <c r="A20" s="3018"/>
      <c r="B20" s="3013" t="s">
        <v>1673</v>
      </c>
      <c r="C20" s="3012"/>
    </row>
    <row r="21" spans="1:3" ht="13.5">
      <c r="A21" s="2004" t="s">
        <v>1674</v>
      </c>
      <c r="B21" s="2005"/>
      <c r="C21" s="2006"/>
    </row>
    <row r="22" spans="1:3" ht="13.5">
      <c r="A22" s="3015" t="s">
        <v>1675</v>
      </c>
      <c r="B22" s="3013" t="s">
        <v>1676</v>
      </c>
      <c r="C22" s="3012"/>
    </row>
    <row r="23" spans="1:3" ht="13.5">
      <c r="A23" s="3015"/>
      <c r="B23" s="3013" t="s">
        <v>1677</v>
      </c>
      <c r="C23" s="3012"/>
    </row>
    <row r="24" spans="1:3" ht="13.5">
      <c r="A24" s="3015"/>
      <c r="B24" s="3013" t="s">
        <v>1678</v>
      </c>
      <c r="C24" s="3012"/>
    </row>
    <row r="25" spans="1:3" ht="13.5">
      <c r="A25" s="3015"/>
      <c r="B25" s="3014" t="s">
        <v>1679</v>
      </c>
      <c r="C25" s="2003" t="s">
        <v>1680</v>
      </c>
    </row>
    <row r="26" spans="1:3" ht="13.5">
      <c r="A26" s="3015"/>
      <c r="B26" s="3014"/>
      <c r="C26" s="2003" t="s">
        <v>1681</v>
      </c>
    </row>
    <row r="27" spans="1:3" ht="13.5">
      <c r="A27" s="3015"/>
      <c r="B27" s="3014"/>
      <c r="C27" s="2003" t="s">
        <v>1682</v>
      </c>
    </row>
    <row r="28" spans="1:3" ht="13.5">
      <c r="A28" s="3015"/>
      <c r="B28" s="3014"/>
      <c r="C28" s="2003" t="s">
        <v>1683</v>
      </c>
    </row>
    <row r="29" spans="1:3" ht="13.5">
      <c r="A29" s="3015"/>
      <c r="B29" s="3014"/>
      <c r="C29" s="2003" t="s">
        <v>1684</v>
      </c>
    </row>
    <row r="30" spans="1:3" ht="13.5">
      <c r="A30" s="3015"/>
      <c r="B30" s="3014"/>
      <c r="C30" s="2003" t="s">
        <v>1685</v>
      </c>
    </row>
    <row r="31" spans="1:3" ht="13.5">
      <c r="A31" s="3015"/>
      <c r="B31" s="3014"/>
      <c r="C31" s="2003" t="s">
        <v>1686</v>
      </c>
    </row>
    <row r="32" spans="1:3" ht="13.5">
      <c r="A32" s="3015"/>
      <c r="B32" s="3014"/>
      <c r="C32" s="2003" t="s">
        <v>1687</v>
      </c>
    </row>
    <row r="33" spans="1:3" ht="13.5">
      <c r="A33" s="3015"/>
      <c r="B33" s="3014"/>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43284</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43359</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3045</v>
      </c>
      <c r="B12" s="1025">
        <v>1120110054</v>
      </c>
      <c r="C12" s="2946">
        <v>43937</v>
      </c>
      <c r="D12" s="1705" t="s">
        <v>3045</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946">
        <v>44339</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3019" t="s">
        <v>846</v>
      </c>
      <c r="B25" s="3019"/>
      <c r="C25" s="3019"/>
      <c r="D25" s="3019"/>
      <c r="E25" s="3019"/>
      <c r="F25" s="3019"/>
      <c r="G25" s="3019"/>
    </row>
    <row r="26" spans="1:7" s="1028" customFormat="1" ht="24" customHeight="1">
      <c r="A26" s="3020" t="s">
        <v>847</v>
      </c>
      <c r="B26" s="3020"/>
      <c r="C26" s="3021"/>
      <c r="D26" s="3022" t="s">
        <v>848</v>
      </c>
      <c r="E26" s="3020"/>
      <c r="F26" s="3020"/>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成本法</vt:lpstr>
      <vt:lpstr>案例</vt:lpstr>
      <vt:lpstr>成本法 (元)</vt:lpstr>
      <vt:lpstr>假设开发法</vt:lpstr>
      <vt:lpstr>基准地价修正</vt:lpstr>
      <vt:lpstr>典型户型修正</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2018-07-03T06:25:54Z</dcterms:modified>
</cp:coreProperties>
</file>