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59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商业" sheetId="77" r:id="rId34"/>
    <sheet name="收益法-车库"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34">'收益法-车库'!$A$1:$AK$69</definedName>
    <definedName name="_xlnm.Print_Area" localSheetId="3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57" i="39" l="1"/>
  <c r="F57" i="39"/>
  <c r="F66" i="39"/>
  <c r="B2" i="39"/>
  <c r="C6" i="68"/>
  <c r="I38" i="39"/>
  <c r="G38" i="39"/>
  <c r="E38" i="39"/>
  <c r="C38" i="39"/>
  <c r="I11" i="39"/>
  <c r="G11" i="39"/>
  <c r="E11" i="39"/>
  <c r="B3" i="3"/>
  <c r="AY6" i="3"/>
  <c r="D3" i="6"/>
  <c r="D19" i="6"/>
  <c r="D20" i="6"/>
  <c r="D21" i="6"/>
  <c r="D22" i="6"/>
  <c r="D23" i="6"/>
  <c r="D24" i="6"/>
  <c r="D25" i="6"/>
  <c r="D26" i="6"/>
  <c r="D27" i="6"/>
  <c r="D28" i="6"/>
  <c r="D29" i="6"/>
  <c r="D30" i="6"/>
  <c r="D31" i="6"/>
  <c r="I6" i="6"/>
  <c r="C11" i="39"/>
  <c r="I7" i="39"/>
  <c r="G7" i="39"/>
  <c r="E7" i="39"/>
  <c r="I5" i="39"/>
  <c r="G5" i="39"/>
  <c r="E5" i="39"/>
  <c r="F6" i="78"/>
  <c r="F8" i="78"/>
  <c r="F7" i="78"/>
  <c r="F9" i="78"/>
  <c r="C6" i="78"/>
  <c r="F4" i="73"/>
  <c r="I1" i="73"/>
  <c r="B39" i="1"/>
  <c r="F11" i="78"/>
  <c r="C10" i="78"/>
  <c r="C5" i="78"/>
  <c r="C32" i="78"/>
  <c r="C33" i="78"/>
  <c r="H21" i="6"/>
  <c r="R21" i="6"/>
  <c r="R8" i="1"/>
  <c r="F35" i="78"/>
  <c r="C34" i="78"/>
  <c r="C31" i="78"/>
  <c r="C14" i="78"/>
  <c r="C15" i="78"/>
  <c r="F16" i="78"/>
  <c r="C16" i="78"/>
  <c r="F43" i="78"/>
  <c r="C17" i="78"/>
  <c r="C18" i="78"/>
  <c r="C19" i="78"/>
  <c r="C20" i="78"/>
  <c r="D6" i="73"/>
  <c r="K1" i="73"/>
  <c r="D5" i="73"/>
  <c r="G1" i="73"/>
  <c r="B40" i="1"/>
  <c r="F24"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E8" i="12"/>
  <c r="B3" i="78"/>
  <c r="E6" i="12"/>
  <c r="F6" i="77"/>
  <c r="F8" i="77"/>
  <c r="F7" i="77"/>
  <c r="F9" i="77"/>
  <c r="C6" i="77"/>
  <c r="F11" i="77"/>
  <c r="C10" i="77"/>
  <c r="C5" i="77"/>
  <c r="C32" i="77"/>
  <c r="C33" i="77"/>
  <c r="H20" i="6"/>
  <c r="R20" i="6"/>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8" i="12"/>
  <c r="B3" i="77"/>
  <c r="D6" i="12"/>
  <c r="F6" i="15"/>
  <c r="F8" i="15"/>
  <c r="F7" i="15"/>
  <c r="F9" i="15"/>
  <c r="C6" i="15"/>
  <c r="F11" i="15"/>
  <c r="C10" i="15"/>
  <c r="C5" i="15"/>
  <c r="C32" i="15"/>
  <c r="C33" i="15"/>
  <c r="H19" i="6"/>
  <c r="R19" i="6"/>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B3" i="15"/>
  <c r="C6" i="12"/>
  <c r="G1" i="78"/>
  <c r="F15" i="78"/>
  <c r="F17" i="78"/>
  <c r="F18" i="78"/>
  <c r="F20" i="78"/>
  <c r="F23" i="78"/>
  <c r="F21" i="78"/>
  <c r="F28" i="78"/>
  <c r="C28" i="78"/>
  <c r="F32" i="78"/>
  <c r="F33" i="78"/>
  <c r="F34" i="78"/>
  <c r="R9" i="1"/>
  <c r="AE9" i="1"/>
  <c r="C83" i="78"/>
  <c r="C82" i="78"/>
  <c r="C76" i="78"/>
  <c r="C75" i="78"/>
  <c r="C80" i="78"/>
  <c r="C79" i="78"/>
  <c r="Q65" i="78"/>
  <c r="M47" i="78"/>
  <c r="J50" i="78"/>
  <c r="J51"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C28" i="77"/>
  <c r="F32" i="77"/>
  <c r="F33" i="77"/>
  <c r="F34" i="77"/>
  <c r="C83" i="77"/>
  <c r="C82" i="77"/>
  <c r="C76" i="77"/>
  <c r="C75" i="77"/>
  <c r="C80" i="77"/>
  <c r="C79" i="77"/>
  <c r="Q65" i="77"/>
  <c r="M47" i="77"/>
  <c r="J50" i="77"/>
  <c r="J51"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U23" i="1"/>
  <c r="U22" i="1"/>
  <c r="U21" i="1"/>
  <c r="U20" i="1"/>
  <c r="W20" i="1"/>
  <c r="U24" i="1"/>
  <c r="X22" i="1"/>
  <c r="X20" i="1"/>
  <c r="W21" i="1"/>
  <c r="X21" i="1"/>
  <c r="W23" i="1"/>
  <c r="X23" i="1"/>
  <c r="W24" i="1"/>
  <c r="B21" i="1"/>
  <c r="G21" i="6"/>
  <c r="G20" i="6"/>
  <c r="F20" i="6"/>
  <c r="F19" i="6"/>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6" i="1"/>
  <c r="A7" i="1"/>
  <c r="A8" i="1"/>
  <c r="G1" i="67"/>
  <c r="F6" i="1"/>
  <c r="L48" i="67"/>
  <c r="M47" i="67"/>
  <c r="B24" i="1"/>
  <c r="J50" i="67"/>
  <c r="J51" i="67"/>
  <c r="J53" i="67"/>
  <c r="G1" i="15"/>
  <c r="M47" i="15"/>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M19" i="9"/>
  <c r="C118" i="9"/>
  <c r="C14" i="74"/>
  <c r="E3" i="6"/>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O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B2" i="74"/>
  <c r="E6" i="3"/>
  <c r="D10" i="68"/>
  <c r="C10" i="68"/>
  <c r="D10" i="11"/>
  <c r="C10" i="11"/>
  <c r="D20" i="12"/>
  <c r="C20" i="12"/>
  <c r="D15" i="6"/>
  <c r="C18" i="4"/>
  <c r="D8" i="6"/>
  <c r="D14" i="6"/>
  <c r="D5" i="6"/>
  <c r="D6" i="6"/>
  <c r="D12" i="6"/>
  <c r="D9" i="6"/>
  <c r="D11" i="6"/>
  <c r="D10" i="6"/>
  <c r="D13" i="6"/>
  <c r="L19" i="9"/>
  <c r="E61" i="40"/>
  <c r="H25" i="6"/>
  <c r="R25" i="6"/>
  <c r="H22" i="6"/>
  <c r="H23" i="6"/>
  <c r="H26" i="6"/>
  <c r="H24" i="6"/>
  <c r="P16" i="1"/>
  <c r="C11" i="12"/>
  <c r="C15" i="12"/>
  <c r="F34" i="11"/>
  <c r="C37" i="11"/>
  <c r="F11" i="12"/>
  <c r="F34" i="68"/>
  <c r="S19" i="6"/>
  <c r="S27" i="6"/>
  <c r="I27" i="6"/>
  <c r="F50" i="11"/>
  <c r="F50" i="69"/>
  <c r="F50" i="68"/>
  <c r="C47" i="11"/>
  <c r="D45" i="11"/>
  <c r="C29" i="11"/>
  <c r="D27" i="11"/>
  <c r="L16" i="1"/>
  <c r="C34" i="11"/>
  <c r="C38" i="11"/>
  <c r="R26" i="6"/>
  <c r="R23" i="6"/>
  <c r="R24" i="6"/>
  <c r="R22" i="6"/>
  <c r="D16" i="6"/>
  <c r="A7" i="51"/>
  <c r="B7" i="72"/>
  <c r="C4" i="52"/>
  <c r="B45" i="72"/>
  <c r="A10" i="51"/>
  <c r="B9" i="72"/>
  <c r="H27" i="6"/>
  <c r="C35" i="11"/>
  <c r="R27" i="6"/>
  <c r="I5" i="6"/>
  <c r="E2" i="70"/>
  <c r="C34" i="69"/>
  <c r="C38" i="69"/>
  <c r="D10" i="69"/>
  <c r="C10" i="69"/>
  <c r="S16" i="1"/>
  <c r="T16" i="1"/>
  <c r="AG6" i="1"/>
  <c r="H109" i="9"/>
  <c r="D19" i="68"/>
  <c r="C19" i="68"/>
  <c r="C20" i="68"/>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C19" i="9"/>
  <c r="C12" i="12"/>
  <c r="C13" i="12"/>
  <c r="C14" i="12"/>
  <c r="C16" i="12"/>
  <c r="C18" i="12"/>
  <c r="C21" i="12"/>
  <c r="C22" i="12"/>
  <c r="C23" i="12"/>
  <c r="F25" i="12"/>
  <c r="C27" i="12"/>
  <c r="C25" i="12"/>
  <c r="C30" i="12"/>
  <c r="C28" i="12"/>
  <c r="C26" i="12"/>
  <c r="D25" i="12"/>
  <c r="C29" i="12"/>
  <c r="D28"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AO6" i="1"/>
  <c r="B12" i="76"/>
  <c r="E11" i="76"/>
  <c r="M29" i="15"/>
  <c r="F7" i="73"/>
  <c r="E10" i="76"/>
  <c r="F16" i="67"/>
  <c r="F36" i="67"/>
  <c r="M22" i="67"/>
  <c r="M6" i="67"/>
  <c r="AO10" i="1"/>
  <c r="AO12" i="1"/>
  <c r="F6" i="73"/>
  <c r="F6" i="67"/>
  <c r="M26" i="67"/>
  <c r="B3" i="68"/>
  <c r="C57" i="68"/>
  <c r="C56" i="68"/>
  <c r="D34" i="9"/>
  <c r="M8" i="67"/>
  <c r="B3" i="12"/>
  <c r="D20" i="9"/>
  <c r="M23" i="67"/>
  <c r="D2" i="37"/>
  <c r="E9" i="76"/>
  <c r="F40" i="67"/>
  <c r="C20" i="9"/>
  <c r="F42" i="67"/>
  <c r="E2" i="69"/>
  <c r="M21" i="67"/>
  <c r="L47" i="15"/>
  <c r="E2" i="68"/>
  <c r="M27" i="15"/>
  <c r="F35" i="67"/>
  <c r="E12" i="76"/>
  <c r="J15" i="15"/>
  <c r="F9" i="67"/>
  <c r="C76" i="15"/>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D10" i="71"/>
  <c r="D11" i="71"/>
  <c r="D12" i="71"/>
  <c r="U12" i="71"/>
  <c r="S12" i="71"/>
  <c r="T12" i="71"/>
  <c r="AB10" i="71"/>
  <c r="X8" i="71"/>
  <c r="X7" i="71"/>
  <c r="AA8" i="71"/>
  <c r="AA7" i="71"/>
  <c r="X11" i="71"/>
  <c r="Z6" i="71"/>
  <c r="Y7" i="71"/>
  <c r="Z7" i="71"/>
  <c r="AB8" i="71"/>
  <c r="AB7" i="71"/>
  <c r="S8" i="71"/>
  <c r="C94" i="9"/>
  <c r="C92" i="9"/>
  <c r="C20" i="11"/>
  <c r="C28" i="11"/>
  <c r="C27" i="11"/>
  <c r="Y8" i="71"/>
  <c r="Z8" i="71"/>
  <c r="B7" i="49"/>
  <c r="E7" i="49"/>
  <c r="B15" i="49"/>
  <c r="AB3" i="71"/>
  <c r="X3" i="71"/>
  <c r="E10" i="49"/>
  <c r="B6" i="49"/>
  <c r="E14" i="49"/>
  <c r="D19" i="69"/>
  <c r="C19" i="69"/>
  <c r="AF3" i="71"/>
  <c r="P24" i="43"/>
  <c r="B66" i="40"/>
  <c r="P21" i="43"/>
  <c r="P22" i="43"/>
  <c r="C29" i="69"/>
  <c r="D27" i="69"/>
  <c r="R16" i="1"/>
  <c r="B13" i="49"/>
  <c r="B4" i="49"/>
  <c r="B9" i="49"/>
  <c r="E22" i="49"/>
  <c r="E16" i="49"/>
  <c r="E11" i="49"/>
  <c r="B10" i="49"/>
  <c r="E6" i="49"/>
  <c r="E8" i="49"/>
  <c r="E5" i="49"/>
  <c r="B8" i="49"/>
  <c r="B5" i="49"/>
  <c r="E21" i="49"/>
  <c r="E4" i="49"/>
  <c r="B11" i="49"/>
  <c r="B14" i="49"/>
  <c r="B16" i="49"/>
  <c r="E13" i="49"/>
  <c r="E15" i="49"/>
  <c r="E9" i="49"/>
  <c r="B22" i="49"/>
  <c r="C8" i="69"/>
  <c r="C5" i="69"/>
  <c r="C35" i="69"/>
  <c r="G20" i="9"/>
  <c r="C103" i="9"/>
  <c r="D102" i="9"/>
  <c r="D21" i="9"/>
  <c r="B6" i="70"/>
  <c r="F69" i="15"/>
  <c r="F63" i="15"/>
  <c r="C62" i="15"/>
  <c r="F70" i="67"/>
  <c r="F64" i="67"/>
  <c r="J57" i="15"/>
  <c r="J55" i="15"/>
  <c r="J58" i="15"/>
  <c r="Q50" i="15"/>
  <c r="I54" i="15"/>
  <c r="L56" i="15"/>
  <c r="F71" i="67"/>
  <c r="F66" i="15"/>
  <c r="F50" i="15"/>
  <c r="J18" i="15"/>
  <c r="B10" i="70"/>
  <c r="F68" i="67"/>
  <c r="F66" i="67"/>
  <c r="L59" i="67"/>
  <c r="M59" i="67"/>
  <c r="N59" i="67"/>
  <c r="L58" i="67"/>
  <c r="F68" i="15"/>
  <c r="N59" i="15"/>
  <c r="M59" i="15"/>
  <c r="L59" i="15"/>
  <c r="L58"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P23" i="43"/>
  <c r="B71" i="39"/>
  <c r="D9" i="71"/>
  <c r="P25" i="43"/>
  <c r="C49" i="67"/>
  <c r="C49" i="15"/>
  <c r="C18" i="67"/>
  <c r="C15" i="67"/>
  <c r="F11" i="67"/>
  <c r="M11" i="67"/>
  <c r="J10" i="67"/>
  <c r="J5" i="67"/>
  <c r="G21" i="9"/>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59" i="15"/>
  <c r="L51" i="15"/>
  <c r="L57" i="15"/>
  <c r="L6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B57" i="39"/>
  <c r="B58" i="39"/>
  <c r="F58" i="39"/>
  <c r="B59" i="39"/>
  <c r="F59" i="39"/>
  <c r="B60" i="39"/>
  <c r="F60" i="39"/>
  <c r="B62" i="39"/>
  <c r="F62" i="39"/>
  <c r="B63" i="39"/>
  <c r="F63" i="39"/>
  <c r="B64" i="39"/>
  <c r="F64" i="39"/>
  <c r="B65" i="39"/>
  <c r="F65" i="39"/>
  <c r="B3"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<sst xmlns="http://schemas.openxmlformats.org/spreadsheetml/2006/main" count="8310" uniqueCount="3167">
  <si>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</si>
  <si>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</si>
  <si>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</si>
  <si>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</si>
  <si>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</si>
  <si>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</si>
  <si>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</si>
  <si>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</si>
  <si>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</si>
  <si>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</si>
  <si>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</si>
  <si>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</si>
  <si>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</si>
  <si>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</si>
  <si>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</si>
  <si>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</si>
  <si>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</si>
  <si>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</si>
  <si>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</si>
  <si>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</si>
  <si>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</si>
  <si>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</si>
  <si>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</si>
  <si>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</si>
  <si>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</si>
  <si>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</si>
  <si>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</si>
  <si>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</si>
  <si>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</si>
  <si>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</si>
  <si>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</si>
  <si>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</si>
  <si>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</si>
  <si>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</si>
  <si>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</si>
  <si>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</si>
  <si>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</si>
  <si>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</si>
  <si>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</si>
  <si>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</si>
  <si>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</si>
  <si>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</si>
  <si>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</si>
  <si>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</si>
  <si>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</si>
  <si>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</si>
  <si>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</si>
  <si>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</si>
  <si>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</si>
  <si>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</si>
  <si>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</si>
  <si>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</si>
  <si>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</si>
  <si>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</si>
  <si>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</si>
  <si>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</si>
  <si>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</si>
  <si>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</si>
  <si>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</si>
  <si>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</si>
  <si>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</si>
  <si>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</si>
  <si>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</si>
  <si>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</si>
  <si>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</si>
  <si>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</si>
  <si>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</si>
  <si>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</si>
  <si>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</si>
  <si>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</si>
  <si>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</si>
  <si>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</si>
  <si>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</si>
  <si>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</si>
  <si>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</si>
  <si>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</si>
  <si>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</si>
  <si>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</si>
  <si>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</si>
  <si>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</si>
  <si>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</si>
  <si>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</si>
  <si>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</si>
  <si>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</si>
  <si>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</si>
  <si>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</si>
  <si>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</si>
  <si>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</si>
  <si>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</si>
  <si>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</si>
  <si>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</si>
  <si>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</si>
  <si>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</si>
  <si>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</si>
  <si>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</si>
  <si>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</si>
  <si>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</si>
  <si>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</si>
  <si>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</si>
  <si>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</si>
  <si>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</si>
  <si>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</si>
  <si>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</si>
  <si>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</si>
  <si>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</si>
  <si>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</si>
  <si>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</si>
  <si>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</si>
  <si>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</si>
  <si>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</si>
  <si>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</si>
  <si>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</si>
  <si>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</si>
  <si>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</si>
  <si>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</si>
  <si>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</si>
  <si>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</si>
  <si>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</si>
  <si>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</si>
  <si>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</si>
  <si>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</si>
  <si>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</si>
  <si>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</si>
  <si>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</si>
  <si>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</si>
  <si>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</si>
  <si>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</si>
  <si>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</si>
  <si>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</si>
  <si>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</si>
  <si>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</si>
  <si>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</si>
  <si>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</si>
  <si>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</si>
  <si>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</si>
  <si>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</si>
  <si>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</si>
  <si>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</si>
  <si>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</si>
  <si>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</si>
  <si>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</si>
  <si>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</si>
  <si>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</si>
  <si>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</si>
  <si>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</si>
  <si>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</si>
  <si>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</si>
  <si>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</si>
  <si>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</si>
  <si>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</si>
  <si>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</si>
  <si>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</si>
  <si>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</si>
  <si>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</si>
  <si>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</si>
  <si>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</si>
  <si>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</si>
  <si>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</si>
  <si>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</si>
  <si>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</si>
  <si>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</si>
  <si>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</si>
  <si>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</si>
  <si>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</si>
  <si>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</si>
  <si>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</si>
  <si>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</si>
  <si>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</si>
  <si>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</si>
  <si>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</si>
  <si>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</si>
  <si>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</si>
  <si>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</si>
  <si>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</si>
  <si>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</si>
  <si>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</si>
  <si>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</si>
  <si>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</si>
  <si>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</si>
  <si>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</si>
  <si>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</si>
  <si>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</si>
  <si>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</si>
  <si>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</si>
  <si>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</si>
  <si>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</si>
  <si>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</si>
  <si>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</si>
  <si>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</si>
  <si>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</si>
  <si>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</si>
  <si>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</si>
  <si>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</si>
  <si>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</si>
  <si>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</si>
  <si>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</si>
  <si>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</si>
  <si>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</si>
  <si>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</si>
  <si>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</si>
  <si>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</si>
  <si>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</si>
  <si>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</si>
  <si>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</si>
  <si>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</si>
  <si>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</si>
  <si>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</si>
  <si>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</si>
  <si>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</si>
  <si>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</si>
  <si>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</si>
  <si>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</si>
  <si>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</si>
  <si>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</si>
  <si>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</si>
  <si>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</si>
  <si>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</si>
  <si>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</si>
  <si>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</si>
  <si>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</si>
  <si>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</si>
  <si>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</si>
  <si>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</si>
  <si>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</si>
  <si>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</si>
  <si>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</si>
  <si>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</si>
  <si>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</si>
  <si>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</si>
  <si>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</si>
  <si>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</si>
  <si>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</si>
  <si>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</si>
  <si>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</si>
  <si>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</si>
  <si>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</si>
  <si>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</si>
  <si>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</si>
  <si>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</si>
  <si>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</si>
  <si>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</si>
  <si>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</si>
  <si>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</si>
  <si>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</si>
  <si>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</si>
  <si>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</si>
  <si>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</si>
  <si>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</si>
  <si>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</si>
  <si>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</si>
  <si>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</si>
  <si>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</si>
  <si>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</si>
  <si>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</si>
  <si>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</si>
  <si>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</si>
  <si>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</si>
  <si>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</si>
  <si>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</si>
  <si>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</si>
  <si>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</si>
  <si>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</si>
  <si>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</si>
  <si>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</si>
  <si>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</si>
  <si>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</si>
  <si>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</si>
  <si>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</si>
  <si>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</si>
  <si>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</si>
  <si>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</si>
  <si>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</si>
  <si>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</si>
  <si>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</si>
  <si>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</si>
  <si>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</si>
  <si>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</si>
  <si>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</si>
  <si>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</si>
  <si>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</si>
  <si>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</si>
  <si>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</si>
  <si>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</si>
  <si>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</si>
  <si>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</si>
  <si>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</si>
  <si>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</si>
  <si>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</si>
  <si>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</si>
  <si>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</si>
  <si>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</si>
  <si>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</si>
  <si>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</si>
  <si>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</si>
  <si>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</si>
  <si>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</si>
  <si>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</si>
  <si>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</si>
  <si>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</si>
  <si>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</si>
  <si>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</si>
  <si>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</si>
  <si>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</si>
  <si>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</si>
  <si>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</si>
  <si>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</si>
  <si>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</si>
  <si>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</si>
  <si>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</si>
  <si>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</si>
  <si>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</si>
  <si>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</si>
  <si>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</si>
  <si>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</si>
  <si>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</si>
  <si>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</si>
  <si>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</si>
  <si>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</si>
  <si>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</si>
  <si>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</si>
  <si>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</si>
  <si>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</si>
  <si>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</si>
  <si>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</si>
  <si>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</si>
  <si>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</si>
  <si>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</si>
  <si>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</si>
  <si>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</si>
  <si>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</si>
  <si>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</si>
  <si>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</si>
  <si>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</si>
  <si>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</si>
  <si>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</si>
  <si>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</si>
  <si>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</si>
  <si>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</si>
  <si>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</si>
  <si>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</si>
  <si>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</si>
  <si>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</si>
  <si>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</si>
  <si>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</si>
  <si>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</si>
  <si>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</si>
  <si>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</si>
  <si>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</si>
  <si>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</si>
  <si>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</si>
  <si>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</si>
  <si>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</si>
  <si>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</si>
  <si>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</si>
  <si>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</si>
  <si>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</si>
  <si>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</si>
  <si>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</si>
  <si>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</si>
  <si>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</si>
  <si>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</si>
  <si>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</si>
  <si>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</si>
  <si>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</si>
  <si>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</si>
  <si>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</si>
  <si>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</si>
  <si>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</si>
  <si>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</si>
  <si>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</si>
  <si>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</si>
  <si>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</si>
  <si>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</si>
  <si>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</si>
  <si>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</si>
  <si>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</si>
  <si>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</si>
  <si>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</si>
  <si>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</si>
  <si>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</si>
  <si>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</si>
  <si>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</si>
  <si>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</si>
  <si>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</si>
  <si>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</si>
  <si>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</si>
  <si>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</si>
  <si>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</si>
  <si>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</si>
  <si>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</si>
  <si>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</si>
  <si>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</si>
  <si>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</si>
  <si>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</si>
  <si>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</si>
  <si>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</si>
  <si>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</si>
  <si>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</si>
  <si>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</si>
  <si>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</si>
  <si>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</si>
  <si>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</si>
  <si>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</si>
  <si>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</si>
  <si>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</si>
  <si>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</si>
  <si>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</si>
  <si>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</si>
  <si>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</si>
  <si>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</si>
  <si>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</si>
  <si>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</si>
  <si>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</si>
  <si>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</si>
  <si>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</si>
  <si>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</si>
  <si>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</si>
  <si>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</si>
  <si>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</si>
  <si>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</si>
  <si>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</si>
  <si>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</si>
  <si>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</si>
  <si>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</si>
  <si>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</si>
  <si>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</si>
  <si>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</si>
  <si>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</si>
  <si>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</si>
  <si>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</si>
  <si>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</si>
  <si>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</si>
  <si>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</si>
  <si>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</si>
  <si>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</si>
  <si>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</si>
  <si>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</si>
  <si>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</si>
  <si>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</si>
  <si>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</si>
  <si>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</si>
  <si>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</si>
  <si>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</si>
  <si>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</si>
  <si>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</si>
  <si>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</si>
  <si>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</si>
  <si>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</si>
  <si>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</si>
  <si>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</si>
  <si>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</si>
  <si>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</si>
  <si>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</si>
  <si>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</si>
  <si>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</si>
  <si>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</si>
  <si>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</si>
  <si>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</si>
  <si>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</si>
  <si>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</si>
  <si>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</si>
  <si>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</si>
  <si>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</si>
  <si>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</si>
  <si>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</si>
  <si>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</si>
  <si>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</si>
  <si>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</si>
  <si>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</si>
  <si>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</si>
  <si>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</si>
  <si>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</si>
  <si>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</si>
  <si>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</si>
  <si>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</si>
  <si>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</si>
  <si>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</si>
  <si>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</si>
  <si>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</si>
  <si>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</si>
  <si>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</si>
  <si>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</si>
  <si>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</si>
  <si>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</si>
  <si>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</si>
  <si>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</si>
  <si>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</si>
  <si>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</si>
  <si>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</si>
  <si>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</si>
  <si>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</si>
  <si>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</si>
  <si>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</si>
  <si>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</si>
  <si>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</si>
  <si>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</si>
  <si>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</si>
  <si>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</si>
  <si>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</si>
  <si>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</si>
  <si>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</si>
  <si>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</si>
  <si>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</si>
  <si>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</si>
  <si>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</si>
  <si>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</si>
  <si>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</si>
  <si>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</si>
  <si>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</si>
  <si>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</si>
  <si>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</si>
  <si>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</si>
  <si>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</si>
  <si>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</si>
  <si>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</si>
  <si>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</si>
  <si>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</si>
  <si>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</si>
  <si>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</si>
  <si>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</si>
  <si>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</si>
  <si>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</si>
  <si>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</si>
  <si>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</si>
  <si>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</si>
  <si>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</si>
  <si>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</si>
  <si>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</si>
  <si>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</si>
  <si>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</si>
  <si>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</si>
  <si>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</si>
  <si>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</si>
  <si>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</si>
  <si>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</si>
  <si>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</si>
  <si>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</si>
  <si>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</si>
  <si>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</si>
  <si>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</si>
  <si>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</si>
  <si>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</si>
  <si>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</si>
  <si>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</si>
  <si>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</si>
  <si>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</si>
  <si>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</si>
  <si>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</si>
  <si>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</si>
  <si>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</si>
  <si>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</si>
  <si>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</si>
  <si>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</si>
  <si>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</si>
  <si>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</si>
  <si>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</si>
  <si>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</si>
  <si>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</si>
  <si>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</si>
  <si>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</si>
  <si>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</si>
  <si>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</si>
  <si>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</si>
  <si>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</si>
  <si>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</si>
  <si>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</si>
  <si>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</si>
  <si>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</si>
  <si>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</si>
  <si>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</si>
  <si>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</si>
  <si>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</si>
  <si>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</si>
  <si>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</si>
  <si>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</si>
  <si>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</si>
  <si>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</si>
  <si>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</si>
  <si>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</si>
  <si>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</si>
  <si>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</si>
  <si>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</si>
  <si>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</si>
  <si>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</si>
  <si>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</si>
  <si>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</si>
  <si>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</si>
  <si>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</si>
  <si>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</si>
  <si>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</si>
  <si>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</si>
  <si>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</si>
  <si>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</si>
  <si>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</si>
  <si>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</si>
  <si>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</si>
  <si>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</si>
  <si>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</si>
  <si>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</si>
  <si>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</si>
  <si>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</si>
  <si>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</si>
  <si>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</si>
  <si>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</si>
  <si>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</si>
  <si>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</si>
  <si>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</si>
  <si>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</si>
  <si>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</si>
  <si>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</si>
  <si>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</si>
  <si>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</si>
  <si>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</si>
  <si>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</si>
  <si>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</si>
  <si>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</si>
  <si>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</si>
  <si>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</si>
  <si>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</si>
  <si>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</si>
  <si>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</si>
  <si>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</si>
  <si>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</si>
  <si>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</si>
  <si>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</si>
  <si>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</si>
  <si>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</si>
  <si>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</si>
  <si>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</si>
  <si>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</si>
  <si>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</si>
  <si>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</si>
  <si>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</si>
  <si>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</si>
  <si>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</si>
  <si>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</si>
  <si>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</si>
  <si>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</si>
  <si>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</si>
  <si>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</si>
  <si>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</si>
  <si>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</si>
  <si>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</si>
  <si>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</si>
  <si>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</si>
  <si>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</si>
  <si>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</si>
  <si>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</si>
  <si>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</si>
  <si>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</si>
  <si>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</si>
  <si>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</si>
  <si>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</si>
  <si>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</si>
  <si>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</si>
  <si>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</si>
  <si>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</si>
  <si>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</si>
  <si>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</si>
  <si>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</si>
  <si>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</si>
  <si>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</si>
  <si>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</si>
  <si>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</si>
  <si>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</si>
  <si>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</si>
  <si>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</si>
  <si>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</si>
  <si>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</si>
  <si>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</si>
  <si>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</si>
  <si>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</si>
  <si>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</si>
  <si>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</si>
  <si>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</si>
  <si>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</si>
  <si>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</si>
  <si>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</si>
  <si>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</si>
  <si>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</si>
  <si>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</si>
  <si>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</si>
  <si>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</si>
  <si>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</si>
  <si>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</si>
  <si>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</si>
  <si>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</si>
  <si>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</si>
  <si>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</si>
  <si>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</si>
  <si>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</si>
  <si>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</si>
  <si>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</si>
  <si>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</si>
  <si>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</si>
  <si>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</si>
  <si>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</si>
  <si>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</si>
  <si>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</si>
  <si>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</si>
  <si>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</si>
  <si>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</si>
  <si>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</si>
  <si>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</si>
  <si>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</si>
  <si>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</si>
  <si>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</si>
  <si>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</si>
  <si>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</si>
  <si>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</si>
  <si>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</si>
  <si>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</si>
  <si>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</si>
  <si>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</si>
  <si>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</si>
  <si>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</si>
  <si>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</si>
  <si>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</si>
  <si>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</si>
  <si>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</si>
  <si>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</si>
  <si>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</si>
  <si>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</si>
  <si>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</si>
  <si>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</si>
  <si>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</si>
  <si>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</si>
  <si>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</si>
  <si>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</si>
  <si>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</si>
  <si>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</si>
  <si>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</si>
  <si>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</si>
  <si>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</si>
  <si>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</si>
  <si>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</si>
  <si>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</si>
  <si>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</si>
  <si>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</si>
  <si>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</si>
  <si>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</si>
  <si>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</si>
  <si>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</si>
  <si>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</si>
  <si>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</si>
  <si>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</si>
  <si>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</si>
  <si>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</si>
  <si>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</si>
  <si>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</si>
  <si>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</si>
  <si>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</si>
  <si>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</si>
  <si>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</si>
  <si>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</si>
  <si>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</si>
  <si>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</si>
  <si>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</si>
  <si>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</si>
  <si>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</si>
  <si>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</si>
  <si>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</si>
  <si>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</si>
  <si>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</si>
  <si>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</si>
  <si>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</si>
  <si>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</si>
  <si>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</si>
  <si>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</si>
  <si>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</si>
  <si>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</si>
  <si>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</si>
  <si>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</si>
  <si>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</si>
  <si>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</si>
  <si>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</si>
  <si>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</si>
  <si>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</si>
  <si>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</si>
  <si>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</si>
  <si>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</si>
  <si>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</si>
  <si>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</si>
  <si>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</si>
  <si>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</si>
  <si>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</si>
  <si>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</si>
  <si>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</si>
  <si>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</si>
  <si>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</si>
  <si>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</si>
  <si>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</si>
  <si>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</si>
  <si>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</si>
  <si>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</si>
  <si>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</si>
  <si>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</si>
  <si>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</si>
  <si>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</si>
  <si>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</si>
  <si>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</si>
  <si>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</si>
  <si>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</si>
  <si>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</si>
  <si>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</si>
  <si>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</si>
  <si>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</si>
  <si>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</si>
  <si>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</si>
  <si>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</si>
  <si>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</si>
  <si>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</si>
  <si>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</si>
  <si>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</si>
  <si>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</si>
  <si>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</si>
  <si>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</si>
  <si>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</si>
  <si>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</si>
  <si>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</si>
  <si>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</si>
  <si>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</si>
  <si>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</si>
  <si>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</si>
  <si>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</si>
  <si>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</si>
  <si>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</si>
  <si>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</si>
  <si>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</si>
  <si>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</si>
  <si>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</si>
  <si>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</si>
  <si>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</si>
  <si>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</si>
  <si>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</si>
  <si>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</si>
  <si>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</si>
  <si>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</si>
  <si>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</si>
  <si>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</si>
  <si>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</si>
  <si>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</si>
  <si>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</si>
  <si>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</si>
  <si>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</si>
  <si>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</si>
  <si>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</si>
  <si>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</si>
  <si>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</si>
  <si>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</si>
  <si>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</si>
  <si>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</si>
  <si>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</si>
  <si>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</si>
  <si>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</si>
  <si>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</si>
  <si>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</si>
  <si>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</si>
  <si>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</si>
  <si>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</si>
  <si>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</si>
  <si>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</si>
  <si>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</si>
  <si>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</si>
  <si>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</si>
  <si>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</si>
  <si>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</si>
  <si>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</si>
  <si>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</si>
  <si>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</si>
  <si>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</si>
  <si>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</si>
  <si>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</si>
  <si>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</si>
  <si>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</si>
  <si>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</si>
  <si>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</si>
  <si>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</si>
  <si>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</si>
  <si>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</si>
  <si>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</si>
  <si>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</si>
  <si>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</si>
  <si>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</si>
  <si>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</si>
  <si>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</si>
  <si>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</si>
  <si>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</si>
  <si>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</si>
  <si>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</si>
  <si>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</si>
  <si>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</si>
  <si>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</si>
  <si>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</si>
  <si>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</si>
  <si>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</si>
  <si>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</si>
  <si>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</si>
  <si>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</si>
  <si>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</si>
  <si>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</si>
  <si>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</si>
  <si>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</si>
  <si>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</si>
  <si>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</si>
  <si>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</si>
  <si>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</si>
  <si>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</si>
  <si>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</si>
  <si>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</si>
  <si>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</si>
  <si>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</si>
  <si>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</si>
  <si>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</si>
  <si>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</si>
  <si>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</si>
  <si>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</si>
  <si>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</si>
  <si>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</si>
  <si>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</si>
  <si>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</si>
  <si>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</si>
  <si>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</si>
  <si>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</si>
  <si>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</si>
  <si>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</si>
  <si>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</si>
  <si>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</si>
  <si>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</si>
  <si>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</si>
  <si>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</si>
  <si>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</si>
  <si>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</si>
  <si>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</si>
  <si>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</si>
  <si>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</si>
  <si>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</si>
  <si>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</si>
  <si>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</si>
  <si>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</si>
  <si>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</si>
  <si>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</si>
  <si>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</si>
  <si>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</si>
  <si>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</si>
  <si>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</si>
  <si>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</si>
  <si>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</si>
  <si>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</si>
  <si>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</si>
  <si>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</si>
  <si>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</si>
  <si>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</si>
  <si>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</si>
  <si>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</si>
  <si>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</si>
  <si>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</si>
  <si>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</si>
  <si>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</si>
  <si>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</si>
  <si>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</si>
  <si>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</si>
  <si>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</si>
  <si>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</si>
  <si>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</si>
  <si>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</si>
  <si>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</si>
  <si>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</si>
  <si>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</si>
  <si>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</si>
  <si>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</si>
  <si>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</si>
  <si>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</si>
  <si>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</si>
  <si>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</si>
  <si>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</si>
  <si>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</si>
  <si>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</si>
  <si>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</si>
  <si>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</si>
  <si>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</si>
  <si>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</si>
  <si>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</si>
  <si>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</si>
  <si>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</si>
  <si>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</si>
  <si>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</si>
  <si>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</si>
  <si>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</si>
  <si>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</si>
  <si>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</si>
  <si>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</si>
  <si>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</si>
  <si>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</si>
  <si>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</si>
  <si>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</si>
  <si>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</si>
  <si>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</si>
  <si>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</si>
  <si>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</si>
  <si>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</si>
  <si>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</si>
  <si>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</si>
  <si>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</si>
  <si>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</si>
  <si>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</si>
  <si>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</si>
  <si>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</si>
  <si>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</si>
  <si>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</si>
  <si>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</si>
  <si>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</si>
  <si>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</si>
  <si>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</si>
  <si>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</si>
  <si>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</si>
  <si>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</si>
  <si>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</si>
  <si>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</si>
  <si>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</si>
  <si>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</si>
  <si>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</si>
  <si>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</si>
  <si>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</si>
  <si>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</si>
  <si>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</si>
  <si>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</si>
  <si>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</si>
  <si>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</si>
  <si>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</si>
  <si>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</si>
  <si>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</si>
  <si>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</si>
  <si>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</si>
  <si>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</si>
  <si>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</si>
  <si>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</si>
  <si>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</si>
  <si>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</si>
  <si>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</si>
  <si>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</si>
  <si>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</si>
  <si>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</si>
  <si>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</si>
  <si>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</si>
  <si>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</si>
  <si>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</si>
  <si>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</si>
  <si>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</si>
  <si>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</si>
  <si>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</si>
  <si>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</si>
  <si>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</si>
  <si>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</si>
  <si>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</si>
  <si>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</si>
  <si>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</si>
  <si>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</si>
  <si>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</si>
  <si>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</si>
  <si>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</si>
  <si>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</si>
  <si>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</si>
  <si>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</si>
  <si>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</si>
  <si>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</si>
  <si>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</si>
  <si>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</si>
  <si>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</si>
  <si>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</si>
  <si>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</si>
  <si>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</si>
  <si>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</si>
  <si>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</si>
  <si>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</si>
  <si>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</si>
  <si>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</si>
  <si>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</si>
  <si>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</si>
  <si>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</si>
  <si>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</si>
  <si>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</si>
  <si>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</si>
  <si>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</si>
  <si>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</si>
  <si>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</si>
  <si>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</si>
  <si>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</si>
  <si>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</si>
  <si>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</si>
  <si>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</si>
  <si>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</si>
  <si>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</si>
  <si>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</si>
  <si>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</si>
  <si>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</si>
  <si>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</si>
  <si>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</si>
  <si>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</si>
  <si>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</si>
  <si>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</si>
  <si>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</si>
  <si>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</si>
  <si>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</si>
  <si>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</si>
  <si>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</si>
  <si>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</si>
  <si>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</si>
  <si>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</si>
  <si>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</si>
  <si>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</si>
  <si>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</si>
  <si>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</si>
  <si>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</si>
  <si>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</si>
  <si>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</si>
  <si>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</si>
  <si>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</si>
  <si>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</si>
  <si>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</si>
  <si>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</si>
  <si>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</si>
  <si>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</si>
  <si>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</si>
  <si>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</si>
  <si>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</si>
  <si>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</si>
  <si>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</si>
  <si>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</si>
  <si>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</si>
  <si>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</si>
  <si>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</si>
  <si>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</si>
  <si>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</si>
  <si>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</si>
  <si>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</si>
  <si>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</si>
  <si>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</si>
  <si>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</si>
  <si>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</si>
  <si>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</si>
  <si>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</si>
  <si>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</si>
  <si>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</si>
  <si>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</si>
  <si>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</si>
  <si>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</si>
  <si>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</si>
  <si>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</si>
  <si>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</si>
  <si>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</si>
  <si>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</si>
  <si>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</si>
  <si>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</si>
  <si>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</si>
  <si>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</si>
  <si>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</si>
  <si>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</si>
  <si>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</si>
  <si>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</si>
  <si>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</si>
  <si>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</si>
  <si>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</si>
  <si>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</si>
  <si>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</si>
  <si>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</si>
  <si>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</si>
  <si>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</si>
  <si>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</si>
  <si>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</si>
  <si>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</si>
  <si>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</si>
  <si>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</si>
  <si>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</si>
  <si>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</si>
  <si>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</si>
  <si>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</si>
  <si>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</si>
  <si>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</si>
  <si>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</si>
  <si>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</si>
  <si>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</si>
  <si>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</si>
  <si>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</si>
  <si>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</si>
  <si>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</si>
  <si>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</si>
  <si>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</si>
  <si>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</si>
  <si>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</si>
  <si>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</si>
  <si>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</si>
  <si>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</si>
  <si>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</si>
  <si>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</si>
  <si>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</si>
  <si>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</si>
  <si>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</si>
  <si>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</si>
  <si>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</si>
  <si>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</si>
  <si>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</si>
  <si>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</si>
  <si>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</si>
  <si>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</si>
  <si>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</si>
  <si>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</si>
  <si>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</si>
  <si>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</si>
  <si>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</si>
  <si>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</si>
  <si>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</si>
  <si>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</si>
  <si>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</si>
  <si>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</si>
  <si>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</si>
  <si>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</si>
  <si>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</si>
  <si>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</si>
  <si>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</si>
  <si>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</si>
  <si>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</si>
  <si>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</si>
  <si>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</si>
  <si>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</si>
  <si>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</si>
  <si>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</si>
  <si>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</si>
  <si>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</si>
  <si>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</si>
  <si>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</si>
  <si>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</si>
  <si>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</si>
  <si>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</si>
  <si>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</si>
  <si>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</si>
  <si>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</si>
  <si>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</si>
  <si>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</si>
  <si>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</si>
  <si>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</si>
  <si>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</si>
  <si>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</si>
  <si>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</si>
  <si>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</si>
  <si>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</si>
  <si>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</si>
  <si>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</si>
  <si>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</si>
  <si>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</si>
  <si>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</si>
  <si>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</si>
  <si>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</si>
  <si>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</si>
  <si>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</si>
  <si>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</si>
  <si>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</si>
  <si>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</si>
  <si>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</si>
  <si>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</si>
  <si>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</si>
  <si>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</si>
  <si>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</si>
  <si>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</si>
  <si>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</si>
  <si>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</si>
  <si>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</si>
  <si>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</si>
  <si>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</si>
  <si>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</si>
  <si>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</si>
  <si>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</si>
  <si>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</si>
  <si>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</si>
  <si>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</si>
  <si>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</si>
  <si>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</si>
  <si>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</si>
  <si>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</si>
  <si>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</si>
  <si>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</si>
  <si>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</si>
  <si>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</si>
  <si>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</si>
  <si>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</si>
  <si>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</si>
  <si>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</si>
  <si>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</si>
  <si>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</si>
  <si>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</si>
  <si>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</si>
  <si>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</si>
  <si>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</si>
  <si>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</si>
  <si>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</si>
  <si>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</si>
  <si>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</si>
  <si>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</si>
  <si>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</si>
  <si>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</si>
  <si>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</si>
  <si>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</si>
  <si>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</si>
  <si>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</si>
  <si>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</si>
  <si>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</si>
  <si>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</si>
  <si>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</si>
  <si>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</si>
  <si>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</si>
  <si>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</si>
  <si>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</si>
  <si>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</si>
  <si>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</si>
  <si>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</si>
  <si>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</si>
  <si>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</si>
  <si>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</si>
  <si>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</si>
  <si>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</si>
  <si>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</si>
  <si>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</si>
  <si>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</si>
  <si>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</si>
  <si>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</si>
  <si>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</si>
  <si>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</si>
  <si>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</si>
  <si>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</si>
  <si>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</si>
  <si>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</si>
  <si>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</si>
  <si>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</si>
  <si>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</si>
  <si>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</si>
  <si>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</si>
  <si>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</si>
  <si>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</si>
  <si>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</si>
  <si>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</si>
  <si>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</si>
  <si>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</si>
  <si>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</si>
  <si>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</si>
  <si>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</si>
  <si>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</si>
  <si>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</si>
  <si>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</si>
  <si>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</si>
  <si>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</si>
  <si>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</si>
  <si>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</si>
  <si>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</si>
  <si>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</si>
  <si>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</si>
  <si>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</si>
  <si>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</si>
  <si>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</si>
  <si>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</si>
  <si>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</si>
  <si>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</si>
  <si>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</si>
  <si>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</si>
  <si>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</si>
  <si>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</si>
  <si>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</si>
  <si>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</si>
  <si>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</si>
  <si>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</si>
  <si>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</si>
  <si>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</si>
  <si>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</si>
  <si>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</si>
  <si>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</si>
  <si>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</si>
  <si>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</si>
  <si>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</si>
  <si>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</si>
  <si>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</si>
  <si>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</si>
  <si>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</si>
  <si>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</si>
  <si>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</si>
  <si>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</si>
  <si>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</si>
  <si>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</si>
  <si>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</si>
  <si>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</si>
  <si>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</si>
  <si>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</si>
  <si>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</si>
  <si>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</si>
  <si>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</si>
  <si>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</si>
  <si>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</si>
  <si>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</si>
  <si>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</si>
  <si>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</si>
  <si>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</si>
  <si>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</si>
  <si>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</si>
  <si>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</si>
  <si>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</si>
  <si>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</si>
  <si>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</si>
  <si>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</si>
  <si>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</si>
  <si>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</si>
  <si>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</si>
  <si>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</si>
  <si>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</si>
  <si>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</si>
  <si>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</si>
  <si>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</si>
  <si>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</si>
  <si>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</si>
  <si>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</si>
  <si>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</si>
  <si>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</si>
  <si>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</si>
  <si>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</si>
  <si>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</si>
  <si>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</si>
  <si>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</si>
  <si>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</si>
  <si>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</si>
  <si>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</si>
  <si>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</si>
  <si>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</si>
  <si>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</si>
  <si>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</si>
  <si>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</si>
  <si>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</si>
  <si>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</si>
  <si>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</si>
  <si>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</si>
  <si>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</si>
  <si>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</si>
  <si>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</si>
  <si>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</si>
  <si>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</si>
  <si>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</si>
  <si>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</si>
  <si>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</si>
  <si>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</si>
  <si>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</si>
  <si>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</si>
  <si>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</si>
  <si>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</si>
  <si>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</si>
  <si>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</si>
  <si>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</si>
  <si>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</si>
  <si>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</si>
  <si>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</si>
  <si>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</si>
  <si>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</si>
  <si>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</si>
  <si>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</si>
  <si>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</si>
  <si>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</si>
  <si>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</si>
  <si>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</si>
  <si>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</si>
  <si>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</si>
  <si>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</si>
  <si>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</si>
  <si>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</si>
  <si>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</si>
  <si>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</si>
  <si>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</si>
  <si>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</si>
  <si>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</si>
  <si>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</si>
  <si>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</si>
  <si>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</si>
  <si>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</si>
  <si>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</si>
  <si>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</si>
  <si>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</si>
  <si>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</si>
  <si>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</si>
  <si>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</si>
  <si>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</si>
  <si>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</si>
  <si>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</si>
  <si>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</si>
  <si>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</si>
  <si>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</si>
  <si>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</si>
  <si>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</si>
  <si>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</si>
  <si>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</si>
  <si>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</si>
  <si>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</si>
  <si>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</si>
  <si>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</si>
  <si>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</si>
  <si>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</si>
  <si>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</si>
  <si>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</si>
  <si>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</si>
  <si>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</si>
  <si>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</si>
  <si>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</si>
  <si>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</si>
  <si>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</si>
  <si>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</si>
  <si>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</si>
  <si>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</si>
  <si>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</si>
  <si>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</si>
  <si>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</si>
  <si>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</si>
  <si>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</si>
  <si>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</si>
  <si>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</si>
  <si>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</si>
  <si>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</si>
  <si>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</si>
  <si>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</si>
  <si>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</si>
  <si>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</si>
  <si>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</si>
  <si>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</si>
  <si>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</si>
  <si>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</si>
  <si>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</si>
  <si>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</si>
  <si>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</si>
  <si>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</si>
  <si>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</si>
  <si>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</si>
  <si>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</si>
  <si>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</si>
  <si>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</si>
  <si>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</si>
  <si>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</si>
  <si>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</si>
  <si>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</si>
  <si>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</si>
  <si>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</si>
  <si>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</si>
  <si>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</si>
  <si>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</si>
  <si>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</si>
  <si>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</si>
  <si>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</si>
  <si>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</si>
  <si>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</si>
  <si>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</si>
  <si>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</si>
  <si>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</si>
  <si>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</si>
  <si>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</si>
  <si>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</si>
  <si>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</si>
  <si>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</si>
  <si>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</si>
  <si>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</si>
  <si>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</si>
  <si>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</si>
  <si>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</si>
  <si>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</si>
  <si>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</si>
  <si>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</si>
  <si>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</si>
  <si>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</si>
  <si>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</si>
  <si>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</si>
  <si>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</si>
  <si>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</si>
  <si>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</si>
  <si>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</si>
  <si>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</si>
  <si>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</si>
  <si>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</si>
  <si>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</si>
  <si>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</si>
  <si>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</si>
  <si>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</si>
  <si>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</si>
  <si>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</si>
  <si>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</si>
  <si>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</si>
  <si>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</si>
  <si>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</si>
  <si>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</si>
  <si>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</si>
  <si>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</si>
  <si>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</si>
  <si>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</si>
  <si>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</si>
  <si>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</si>
  <si>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</si>
  <si>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</si>
  <si>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</si>
  <si>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</si>
  <si>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</si>
  <si>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</si>
  <si>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</si>
  <si>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</si>
  <si>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</si>
  <si>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</si>
  <si>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</si>
  <si>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</si>
  <si>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</si>
  <si>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</si>
  <si>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</si>
  <si>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</si>
  <si>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</si>
  <si>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</si>
  <si>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</si>
  <si>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</si>
  <si>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</si>
  <si>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</si>
  <si>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</si>
  <si>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</si>
  <si>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</si>
  <si>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</si>
  <si>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</si>
  <si>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</si>
  <si>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</si>
  <si>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</si>
  <si>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</si>
  <si>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</si>
  <si>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</si>
  <si>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</si>
  <si>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</si>
  <si>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</si>
  <si>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</si>
  <si>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</si>
  <si>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</si>
  <si>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</si>
  <si>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</si>
  <si>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</si>
  <si>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</si>
  <si>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</si>
  <si>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</si>
  <si>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</si>
  <si>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</si>
  <si>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</si>
  <si>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</si>
  <si>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</si>
  <si>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</si>
  <si>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</si>
  <si>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</si>
  <si>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</si>
  <si>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</si>
  <si>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</si>
  <si>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</si>
  <si>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</si>
  <si>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</si>
  <si>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</si>
  <si>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</si>
  <si>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</si>
  <si>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</si>
  <si>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</si>
  <si>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</si>
  <si>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</si>
  <si>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</si>
  <si>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</si>
  <si>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</si>
  <si>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</si>
  <si>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</si>
  <si>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</si>
  <si>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</si>
  <si>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</si>
  <si>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</si>
  <si>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</si>
  <si>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</si>
  <si>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</si>
  <si>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</si>
  <si>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</si>
  <si>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</si>
  <si>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</si>
  <si>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</si>
  <si>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</si>
  <si>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</si>
  <si>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</si>
  <si>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</si>
  <si>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</si>
  <si>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</si>
  <si>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</si>
  <si>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</si>
  <si>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</si>
  <si>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</si>
  <si>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</si>
  <si>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</si>
  <si>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</si>
  <si>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</si>
  <si>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</si>
  <si>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</si>
  <si>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</si>
  <si>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</si>
  <si>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</si>
  <si>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</si>
  <si>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</si>
  <si>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</si>
  <si>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</si>
  <si>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</si>
  <si>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</si>
  <si>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</si>
  <si>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</si>
  <si>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</si>
  <si>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</si>
  <si>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</si>
  <si>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</si>
  <si>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</si>
  <si>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</si>
  <si>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</si>
  <si>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</si>
  <si>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</si>
  <si>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</si>
  <si>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</si>
  <si>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</si>
  <si>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</si>
  <si>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</si>
  <si>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</si>
  <si>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</si>
  <si>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</si>
  <si>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</si>
  <si>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</si>
  <si>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</si>
  <si>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</si>
  <si>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</si>
  <si>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</si>
  <si>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</si>
  <si>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</si>
  <si>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</si>
  <si>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</si>
  <si>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</si>
  <si>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</si>
  <si>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</si>
  <si>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</si>
  <si>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</si>
  <si>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</si>
  <si>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</si>
  <si>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</si>
  <si>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</si>
  <si>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</si>
  <si>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</si>
  <si>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</si>
  <si>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</si>
  <si>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</si>
  <si>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</si>
  <si>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</si>
  <si>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</si>
  <si>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</si>
  <si>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</si>
  <si>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</si>
  <si>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</si>
  <si>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</si>
  <si>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</si>
  <si>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</si>
  <si>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</si>
  <si>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</si>
  <si>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</si>
  <si>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</si>
  <si>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</si>
  <si>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</si>
  <si>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</si>
  <si>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</si>
  <si>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</si>
  <si>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</si>
  <si>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</si>
  <si>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</si>
  <si>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</si>
  <si>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</si>
  <si>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</si>
  <si>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</si>
  <si>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</si>
  <si>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</si>
  <si>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</si>
  <si>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</si>
  <si>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</si>
  <si>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</si>
  <si>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</si>
  <si>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</si>
  <si>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</si>
  <si>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</si>
  <si>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</si>
  <si>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</si>
  <si>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</si>
  <si>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</si>
  <si>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</si>
  <si>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</si>
  <si>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</si>
  <si>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</si>
  <si>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</si>
  <si>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</si>
  <si>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</si>
  <si>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</si>
  <si>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</si>
  <si>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</si>
  <si>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</si>
  <si>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</si>
  <si>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</si>
  <si>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</si>
  <si>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</si>
  <si>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</si>
  <si>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</si>
  <si>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</si>
  <si>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</si>
  <si>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</si>
  <si>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</si>
  <si>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</si>
  <si>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</si>
  <si>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</si>
  <si>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</si>
  <si>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</si>
  <si>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</si>
  <si>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</si>
  <si>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</si>
  <si>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</si>
  <si>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</si>
  <si>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</si>
  <si>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</si>
  <si>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</si>
  <si>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</si>
  <si>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</si>
  <si>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</si>
  <si>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</si>
  <si>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</si>
  <si>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</si>
  <si>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</si>
  <si>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</si>
  <si>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</si>
  <si>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</si>
  <si>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</si>
  <si>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</si>
  <si>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</si>
  <si>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</si>
  <si>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</si>
  <si>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</si>
  <si>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</si>
  <si>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</si>
  <si>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</si>
  <si>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</si>
  <si>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</si>
  <si>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</si>
  <si>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</si>
  <si>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</si>
  <si>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</si>
  <si>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</si>
  <si>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</si>
  <si>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</si>
  <si>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</si>
  <si>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</si>
  <si>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</si>
  <si>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</si>
  <si>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</si>
  <si>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</si>
  <si>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</si>
  <si>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</si>
  <si>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</si>
  <si>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</si>
  <si>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</si>
  <si>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</si>
  <si>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</si>
  <si>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</si>
  <si>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</si>
  <si>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</si>
  <si>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</si>
  <si>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</si>
  <si>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</si>
  <si>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</si>
  <si>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</si>
  <si>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</si>
  <si>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</si>
  <si>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</si>
  <si>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</si>
  <si>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</si>
  <si>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</si>
  <si>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</si>
  <si>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</si>
  <si>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</si>
  <si>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</si>
  <si>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</si>
  <si>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</si>
  <si>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</si>
  <si>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</si>
  <si>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</si>
  <si>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</si>
  <si>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</si>
  <si>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</si>
  <si>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</si>
  <si>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</si>
  <si>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</si>
  <si>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</si>
  <si>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</si>
  <si>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</si>
  <si>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</si>
  <si>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</si>
  <si>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</si>
  <si>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</si>
  <si>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</si>
  <si>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</si>
  <si>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</si>
  <si>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</si>
  <si>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</si>
  <si>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</si>
  <si>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</si>
  <si>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</si>
  <si>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</si>
  <si>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</si>
  <si>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</si>
  <si>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</si>
  <si>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</si>
  <si>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</si>
  <si>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</si>
  <si>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</si>
  <si>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</si>
  <si>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</si>
  <si>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</si>
  <si>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</si>
  <si>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</si>
  <si>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</si>
  <si>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</si>
  <si>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</si>
  <si>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</si>
  <si>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</si>
  <si>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</si>
  <si>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</si>
  <si>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</si>
  <si>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</si>
  <si>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</si>
  <si>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</si>
  <si>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</si>
  <si>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</si>
  <si>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</si>
  <si>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</si>
  <si>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</si>
  <si>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</si>
  <si>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</si>
  <si>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</si>
  <si>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</si>
  <si>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</si>
  <si>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</si>
  <si>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</si>
  <si>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</si>
  <si>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</si>
  <si>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</si>
  <si>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</si>
  <si>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</si>
  <si>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</si>
  <si>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</si>
  <si>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</si>
  <si>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</si>
  <si>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</si>
  <si>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</si>
  <si>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</si>
  <si>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</si>
  <si>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</si>
  <si>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</si>
  <si>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</si>
  <si>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</si>
  <si>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</si>
  <si>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</si>
  <si>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</si>
  <si>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</si>
  <si>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</si>
  <si>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</si>
  <si>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</si>
  <si>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</si>
  <si>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</si>
  <si>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</si>
  <si>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</si>
  <si>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</si>
  <si>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</si>
  <si>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</si>
  <si>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</si>
  <si>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</si>
  <si>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</si>
  <si>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</si>
  <si>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</si>
  <si>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</si>
  <si>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</si>
  <si>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</si>
  <si>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</si>
  <si>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</si>
  <si>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</si>
  <si>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</si>
  <si>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</si>
  <si>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</si>
  <si>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</si>
  <si>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</si>
  <si>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</si>
  <si>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</si>
  <si>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</si>
  <si>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</si>
  <si>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</si>
  <si>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</si>
  <si>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</si>
  <si>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</si>
  <si>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</si>
  <si>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</si>
  <si>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</si>
  <si>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</si>
  <si>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</si>
  <si>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</si>
  <si>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</si>
  <si>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</si>
  <si>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</si>
  <si>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</si>
  <si>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</si>
  <si>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</si>
  <si>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</si>
  <si>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</si>
  <si>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</si>
  <si>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</si>
  <si>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</si>
  <si>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</si>
  <si>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</si>
  <si>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</si>
  <si>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</si>
  <si>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</si>
  <si>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</si>
  <si>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</si>
  <si>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</si>
  <si>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</si>
  <si>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</si>
  <si>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</si>
  <si>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</si>
  <si>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</si>
  <si>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</si>
  <si>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</si>
  <si>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</si>
  <si>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</si>
  <si>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</si>
  <si>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</si>
  <si>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</si>
  <si>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</si>
  <si>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</si>
  <si>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</si>
  <si>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</si>
  <si>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</si>
  <si>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</si>
  <si>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</si>
  <si>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</si>
  <si>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</si>
  <si>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</si>
  <si>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</si>
  <si>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</si>
  <si>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</si>
  <si>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</si>
  <si>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</si>
  <si>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</si>
  <si>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</si>
  <si>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</si>
  <si>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</si>
  <si>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</si>
  <si>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</si>
  <si>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</si>
  <si>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</si>
  <si>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</si>
  <si>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</si>
  <si>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</si>
  <si>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</si>
  <si>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</si>
  <si>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</si>
  <si>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</si>
  <si>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</si>
  <si>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</si>
  <si>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</si>
  <si>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</si>
  <si>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</si>
  <si>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</si>
  <si>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</si>
  <si>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</si>
  <si>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</si>
  <si>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</si>
  <si>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</si>
  <si>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</si>
  <si>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</si>
  <si>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</si>
  <si>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</si>
  <si>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</si>
  <si>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</si>
  <si>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</si>
  <si>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</si>
  <si>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</si>
  <si>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</si>
  <si>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</si>
  <si>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</si>
  <si>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</si>
  <si>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</si>
  <si>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</si>
  <si>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</si>
  <si>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</si>
  <si>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</si>
  <si>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</si>
  <si>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</si>
  <si>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</si>
  <si>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</si>
  <si>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</si>
  <si>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</si>
  <si>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</si>
  <si>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</si>
  <si>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</si>
  <si>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</si>
  <si>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</si>
  <si>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</si>
  <si>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</si>
  <si>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</si>
  <si>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</si>
  <si>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</si>
  <si>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</si>
  <si>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</si>
  <si>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</si>
  <si>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</si>
  <si>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</si>
  <si>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</si>
  <si>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</si>
  <si>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</si>
  <si>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</si>
  <si>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</si>
  <si>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</si>
  <si>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</si>
  <si>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</si>
  <si>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</si>
  <si>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</si>
  <si>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</si>
  <si>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</si>
  <si>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</si>
  <si>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</si>
  <si>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</si>
  <si>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</si>
  <si>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</si>
  <si>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</si>
  <si>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</si>
  <si>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</si>
  <si>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</si>
  <si>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</si>
  <si>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</si>
  <si>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</si>
  <si>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</si>
  <si>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</si>
  <si>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</si>
  <si>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</si>
  <si>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</si>
  <si>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</si>
  <si>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</si>
  <si>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</si>
  <si>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</si>
  <si>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</si>
  <si>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</si>
  <si>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</si>
  <si>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</si>
  <si>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</si>
  <si>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</si>
  <si>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</si>
  <si>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</si>
  <si>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</si>
  <si>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</si>
  <si>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</si>
  <si>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</si>
  <si>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</si>
  <si>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</si>
  <si>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</si>
  <si>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</si>
  <si>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</si>
  <si>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</si>
  <si>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</si>
  <si>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</si>
  <si>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</si>
  <si>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</si>
  <si>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</si>
  <si>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</si>
  <si>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</si>
  <si>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</si>
  <si>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</si>
  <si>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</si>
  <si>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</si>
  <si>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</si>
  <si>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</si>
  <si>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</si>
  <si>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</si>
  <si>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</si>
  <si>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</si>
  <si>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</si>
  <si>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</si>
  <si>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</si>
  <si>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</si>
  <si>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</si>
  <si>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</si>
  <si>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</si>
  <si>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</si>
  <si>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</si>
  <si>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</si>
  <si>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</si>
  <si>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</si>
  <si>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</si>
  <si>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</si>
  <si>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</si>
  <si>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</si>
  <si>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</si>
  <si>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</si>
  <si>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</si>
  <si>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</si>
  <si>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</si>
  <si>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</si>
  <si>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</si>
  <si>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</si>
  <si>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</si>
  <si>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</si>
  <si>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</si>
  <si>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</si>
  <si>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</si>
  <si>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</si>
  <si>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</si>
  <si>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</si>
  <si>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</si>
  <si>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</si>
  <si>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</si>
  <si>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</si>
  <si>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</si>
  <si>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</si>
  <si>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</si>
  <si>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</si>
  <si>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</si>
  <si>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</si>
  <si>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</si>
  <si>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</si>
  <si>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</si>
  <si>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</si>
  <si>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</si>
  <si>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</si>
  <si>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</si>
  <si>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</si>
  <si>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</si>
  <si>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</si>
  <si>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</si>
  <si>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</si>
  <si>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</si>
  <si>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</si>
  <si>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</si>
  <si>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</si>
  <si>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</si>
  <si>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</si>
  <si>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</si>
  <si>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</si>
  <si>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</si>
  <si>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</si>
  <si>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</si>
  <si>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</si>
  <si>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</si>
  <si>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</si>
  <si>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</si>
  <si>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</si>
  <si>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</si>
  <si>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</si>
  <si>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</si>
  <si>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</si>
  <si>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</si>
  <si>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</si>
  <si>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</si>
  <si>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</si>
  <si>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</si>
  <si>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</si>
  <si>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</si>
  <si>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</si>
  <si>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</si>
  <si>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</si>
  <si>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</si>
  <si>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</si>
  <si>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</si>
  <si>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</si>
  <si>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</si>
  <si>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</si>
  <si>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</si>
  <si>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</si>
  <si>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</si>
  <si>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</si>
  <si>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</si>
  <si>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</si>
  <si>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</si>
  <si>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</si>
  <si>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</si>
  <si>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</si>
  <si>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</si>
  <si>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</si>
  <si>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</si>
  <si>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</si>
  <si>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</si>
  <si>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</si>
  <si>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</si>
  <si>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</si>
  <si>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</si>
  <si>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</si>
  <si>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</si>
  <si>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</si>
  <si>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</si>
  <si>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</si>
  <si>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</si>
  <si>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</si>
  <si>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</si>
  <si>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</si>
  <si>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</si>
  <si>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</si>
  <si>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</si>
  <si>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</si>
  <si>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</si>
  <si>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</si>
  <si>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</si>
  <si>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</si>
  <si>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</si>
  <si>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</si>
  <si>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</si>
  <si>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</si>
  <si>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</si>
  <si>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</si>
  <si>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</si>
  <si>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</si>
  <si>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</si>
  <si>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</si>
  <si>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</si>
  <si>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</si>
  <si>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</si>
  <si>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</si>
  <si>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</si>
  <si>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</si>
  <si>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</si>
  <si>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</si>
  <si>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</si>
  <si>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</si>
  <si>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</si>
  <si>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</si>
  <si>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</si>
  <si>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</si>
  <si>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</si>
  <si>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</si>
  <si>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</si>
  <si>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</si>
  <si>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</si>
  <si>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</si>
  <si>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</si>
  <si>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</si>
  <si>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</si>
  <si>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</si>
  <si>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</si>
  <si>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</si>
  <si>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</si>
  <si>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</si>
  <si>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</si>
  <si>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</si>
  <si>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</si>
  <si>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</si>
  <si>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</si>
  <si>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</si>
  <si>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</si>
  <si>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</si>
  <si>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</si>
  <si>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</si>
  <si>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</si>
  <si>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</si>
  <si>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</si>
  <si>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</si>
  <si>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</si>
  <si>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</si>
  <si>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</si>
  <si>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</si>
  <si>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</si>
  <si>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</si>
  <si>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</si>
  <si>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</si>
  <si>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</si>
  <si>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</si>
  <si>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</si>
  <si>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</si>
  <si>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</si>
  <si>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</si>
  <si>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</si>
  <si>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</si>
  <si>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</si>
  <si>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</si>
  <si>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</si>
  <si>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</si>
  <si>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</si>
  <si>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</si>
  <si>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</si>
  <si>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</si>
  <si>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</si>
  <si>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</si>
  <si>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</si>
  <si>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</si>
  <si>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</si>
  <si>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</si>
  <si>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</si>
  <si>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</si>
  <si>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</si>
  <si>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</si>
  <si>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</si>
  <si>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</si>
  <si>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</si>
  <si>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</si>
  <si>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</si>
  <si>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</si>
  <si>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</si>
  <si>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</si>
  <si>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</si>
  <si>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</si>
  <si>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</si>
  <si>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</si>
  <si>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</si>
  <si>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</si>
  <si>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</si>
  <si>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</si>
  <si>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</si>
  <si>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</si>
  <si>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</si>
  <si>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</si>
  <si>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</si>
  <si>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</si>
  <si>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</si>
  <si>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</si>
  <si>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</si>
  <si>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</si>
  <si>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</si>
  <si>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</si>
  <si>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</si>
  <si>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</si>
  <si>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</si>
  <si>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</si>
  <si>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</si>
  <si>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</si>
  <si>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</si>
  <si>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</si>
  <si>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</si>
  <si>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</si>
  <si>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</si>
  <si>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</si>
  <si>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</si>
  <si>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</si>
  <si>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</si>
  <si>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</si>
  <si>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</si>
  <si>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</si>
  <si>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</si>
  <si>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</si>
  <si>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</si>
  <si>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</si>
  <si>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</si>
  <si>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</si>
  <si>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</si>
  <si>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</si>
  <si>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</si>
  <si>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</si>
  <si>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</si>
  <si>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</si>
  <si>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</si>
  <si>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</si>
  <si>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</si>
  <si>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</si>
  <si>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</si>
  <si>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</si>
  <si>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</si>
  <si>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</si>
  <si>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</si>
  <si>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</si>
  <si>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</si>
  <si>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</si>
  <si>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</si>
  <si>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</si>
  <si>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</si>
  <si>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</si>
  <si>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</si>
  <si>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</si>
  <si>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</si>
  <si>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</si>
  <si>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</si>
  <si>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</si>
  <si>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</si>
  <si>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</si>
  <si>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</si>
  <si>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</si>
  <si>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</si>
  <si>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</si>
  <si>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</si>
  <si>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</si>
  <si>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</si>
  <si>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</si>
  <si>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</si>
  <si>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</si>
  <si>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</si>
  <si>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</si>
  <si>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</si>
  <si>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</si>
  <si>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</si>
  <si>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</si>
  <si>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</si>
  <si>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</si>
  <si>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</si>
  <si>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</si>
  <si>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</si>
  <si>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</si>
  <si>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</si>
  <si>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</si>
  <si>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</si>
  <si>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</si>
  <si>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</si>
  <si>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</si>
  <si>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</si>
  <si>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</si>
  <si>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</si>
  <si>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</si>
  <si>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</si>
  <si>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</si>
  <si>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</si>
  <si>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</si>
  <si>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</si>
  <si>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</si>
  <si>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</si>
  <si>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</si>
  <si>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</si>
  <si>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</si>
  <si>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</si>
  <si>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</si>
  <si>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</si>
  <si>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</si>
  <si>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</si>
  <si>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</si>
  <si>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</si>
  <si>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</si>
  <si>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</si>
  <si>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</si>
  <si>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</si>
  <si>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</si>
  <si>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</si>
  <si>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</si>
  <si>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</si>
  <si>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</si>
  <si>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</si>
  <si>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</si>
  <si>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</si>
  <si>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</si>
  <si>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</si>
  <si>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</si>
  <si>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</si>
  <si>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</si>
  <si>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</si>
  <si>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</si>
  <si>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</si>
  <si>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</si>
  <si>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</si>
  <si>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</si>
  <si>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</si>
  <si>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</si>
  <si>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</si>
  <si>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</si>
  <si>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</si>
  <si>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</si>
  <si>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</si>
  <si>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</si>
  <si>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</si>
  <si>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</si>
  <si>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</si>
  <si>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</si>
  <si>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</si>
  <si>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</si>
  <si>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</si>
  <si>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</si>
  <si>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</si>
  <si>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</si>
  <si>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</si>
  <si>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</si>
  <si>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</si>
  <si>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</si>
  <si>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</si>
  <si>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</si>
  <si>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</si>
  <si>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</si>
  <si>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</si>
  <si>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</si>
  <si>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</si>
  <si>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</si>
  <si>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</si>
  <si>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</si>
  <si>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</si>
  <si>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</si>
  <si>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</si>
  <si>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</si>
  <si>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</si>
  <si>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</si>
  <si>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</si>
  <si>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</si>
  <si>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</si>
  <si>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</si>
  <si>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</si>
  <si>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</si>
  <si>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</si>
  <si>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</si>
  <si>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</si>
  <si>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</si>
  <si>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</si>
  <si>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</si>
  <si>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</si>
  <si>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</si>
  <si>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</si>
  <si>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</si>
  <si>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</si>
  <si>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</si>
  <si>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</si>
  <si>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</si>
  <si>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</si>
  <si>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</si>
  <si>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</si>
  <si>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</si>
  <si>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</si>
  <si>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</si>
  <si>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</si>
  <si>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</si>
  <si>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</si>
  <si>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</si>
  <si>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</si>
  <si>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</si>
  <si>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</si>
  <si>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</si>
  <si>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</si>
  <si>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</si>
  <si>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</si>
  <si>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</si>
  <si>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</si>
  <si>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</si>
  <si>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</si>
  <si>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</si>
  <si>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</si>
  <si>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</si>
  <si>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</si>
  <si>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</si>
  <si>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</si>
  <si>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</si>
  <si>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</si>
  <si>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</si>
  <si>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</si>
  <si>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</si>
  <si>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</si>
  <si>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</si>
  <si>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</si>
  <si>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</si>
  <si>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</si>
  <si>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</si>
  <si>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</si>
  <si>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</si>
  <si>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</si>
  <si>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</si>
  <si>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</si>
  <si>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</si>
  <si>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</si>
  <si>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</si>
  <si>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</si>
  <si>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</si>
  <si>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</si>
  <si>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</si>
  <si>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</si>
  <si>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</si>
  <si>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</si>
  <si>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</si>
  <si>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</si>
  <si>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</si>
  <si>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</si>
  <si>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</si>
  <si>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</si>
  <si>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</si>
  <si>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</si>
  <si>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</si>
  <si>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</si>
  <si>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</si>
  <si>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</si>
  <si>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</si>
  <si>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</si>
  <si>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</si>
  <si>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</si>
  <si>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</si>
  <si>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</si>
  <si>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</si>
  <si>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</si>
  <si>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</si>
  <si>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</si>
  <si>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</si>
  <si>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</si>
  <si>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</si>
  <si>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</si>
  <si>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</si>
  <si>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</si>
  <si>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</si>
  <si>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</si>
  <si>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</si>
  <si>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</si>
  <si>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</si>
  <si>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</si>
  <si>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</si>
  <si>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</si>
  <si>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</si>
  <si>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</si>
  <si>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</si>
  <si>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</si>
  <si>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</si>
  <si>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</si>
  <si>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</si>
  <si>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</si>
  <si>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</si>
  <si>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</si>
  <si>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</si>
  <si>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</si>
  <si>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</si>
  <si>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</si>
  <si>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</si>
  <si>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</si>
  <si>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</si>
  <si>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</si>
  <si>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</si>
  <si>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</si>
  <si>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</si>
  <si>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</si>
  <si>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</si>
  <si>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</si>
  <si>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</si>
  <si>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</si>
  <si>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</si>
  <si>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</si>
  <si>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</si>
  <si>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</si>
  <si>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</si>
  <si>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</si>
  <si>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</si>
  <si>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</si>
  <si>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</si>
  <si>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</si>
  <si>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</si>
  <si>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</si>
  <si>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</si>
  <si>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</si>
  <si>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</si>
  <si>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</si>
  <si>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</si>
  <si>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</si>
  <si>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</si>
  <si>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</si>
  <si>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</si>
  <si>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</si>
  <si>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</si>
  <si>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</si>
  <si>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</si>
  <si>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</si>
  <si>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</si>
  <si>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</si>
  <si>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</si>
  <si>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</si>
  <si>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</si>
  <si>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</si>
  <si>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</si>
  <si>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</si>
  <si>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</si>
  <si>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</si>
  <si>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</si>
  <si>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</si>
  <si>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</si>
  <si>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</si>
  <si>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</si>
  <si>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</si>
  <si>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</si>
  <si>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</si>
  <si>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</si>
  <si>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</si>
  <si>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</si>
  <si>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</si>
  <si>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</si>
  <si>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</si>
  <si>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</si>
  <si>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</si>
  <si>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</si>
  <si>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</si>
  <si>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</si>
  <si>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</si>
  <si>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</si>
  <si>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</si>
  <si>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</si>
  <si>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</si>
  <si>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</si>
  <si>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</si>
  <si>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</si>
  <si>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</si>
  <si>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</si>
  <si>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</si>
  <si>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</si>
  <si>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</si>
  <si>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</si>
  <si>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</si>
  <si>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</si>
  <si>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</si>
  <si>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</si>
  <si>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</si>
  <si>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</si>
  <si>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</si>
  <si>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</si>
  <si>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</si>
  <si>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</si>
  <si>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</si>
  <si>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</si>
  <si>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</si>
  <si>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</si>
  <si>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</si>
  <si>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</si>
  <si>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</si>
  <si>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</si>
  <si>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</si>
  <si>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</si>
  <si>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</si>
  <si>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</si>
  <si>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</si>
  <si>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</si>
  <si>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</si>
  <si>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</si>
  <si>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</si>
  <si>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</si>
  <si>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</si>
  <si>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</si>
  <si>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</si>
  <si>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</si>
  <si>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</si>
  <si>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</si>
  <si>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</si>
  <si>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</si>
  <si>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</si>
  <si>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</si>
  <si>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</si>
  <si>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</si>
  <si>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</si>
  <si>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</si>
  <si>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</si>
  <si>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</si>
  <si>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</si>
  <si>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</si>
  <si>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</si>
  <si>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</si>
  <si>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</si>
  <si>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</si>
  <si>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</si>
  <si>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</si>
  <si>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</si>
  <si>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</si>
  <si>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</si>
  <si>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</si>
  <si>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</si>
  <si>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</si>
  <si>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</si>
  <si>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</si>
  <si>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</si>
  <si>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</si>
  <si>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</si>
  <si>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</si>
  <si>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</si>
  <si>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</si>
  <si>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</si>
  <si>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</si>
  <si>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</si>
  <si>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</si>
  <si>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</si>
  <si>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</si>
  <si>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</si>
  <si>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</si>
  <si>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</si>
  <si>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</si>
  <si>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</si>
  <si>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</si>
  <si>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</si>
  <si>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</si>
  <si>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</si>
  <si>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</si>
  <si>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</si>
  <si>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</si>
  <si>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</si>
  <si>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</si>
  <si>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</si>
  <si>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</si>
  <si>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</si>
  <si>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</si>
  <si>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</si>
  <si>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</si>
  <si>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</si>
  <si>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</si>
  <si>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</si>
  <si>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</si>
  <si>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</si>
  <si>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</si>
  <si>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</si>
  <si>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</si>
  <si>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</si>
  <si>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</si>
  <si>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</si>
  <si>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</si>
  <si>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</si>
  <si>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</si>
  <si>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</si>
  <si>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</si>
  <si>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</si>
  <si>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</si>
  <si>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</si>
  <si>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</si>
  <si>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</si>
  <si>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</si>
  <si>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</si>
  <si>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</si>
  <si>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</si>
  <si>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</si>
  <si>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</si>
  <si>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</si>
  <si>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</si>
  <si>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</si>
  <si>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</si>
  <si>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</si>
  <si>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</si>
  <si>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</si>
  <si>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</si>
  <si>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</si>
  <si>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</si>
  <si>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</si>
  <si>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</si>
  <si>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</si>
  <si>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</si>
  <si>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</si>
  <si>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</si>
  <si>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</si>
  <si>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</si>
  <si>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</si>
  <si>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</si>
  <si>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</si>
  <si>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</si>
  <si>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</si>
  <si>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</si>
  <si>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</si>
  <si>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</si>
  <si>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</si>
  <si>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</si>
  <si>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</si>
  <si>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</si>
  <si>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</si>
  <si>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</si>
  <si>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</si>
  <si>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</si>
  <si>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</si>
  <si>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</si>
  <si>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</si>
  <si>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</si>
  <si>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</si>
  <si>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</si>
  <si>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</si>
  <si>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</si>
  <si>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</si>
  <si>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</si>
  <si>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</si>
  <si>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</si>
  <si>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</si>
  <si>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</si>
  <si>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</si>
  <si>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</si>
  <si>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</si>
  <si>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</si>
  <si>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</si>
  <si>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</si>
  <si>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</si>
  <si>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</si>
  <si>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</si>
  <si>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</si>
  <si>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</si>
  <si>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</si>
  <si>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</si>
  <si>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</si>
  <si>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</si>
  <si>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</si>
  <si>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</si>
  <si>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</si>
  <si>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</si>
  <si>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</si>
  <si>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</si>
  <si>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</si>
  <si>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</si>
  <si>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</si>
  <si>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</si>
  <si>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</si>
  <si>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</si>
  <si>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</si>
  <si>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</si>
  <si>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</si>
  <si>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</si>
  <si>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</si>
  <si>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</si>
  <si>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</si>
  <si>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</si>
  <si>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</si>
  <si>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</si>
  <si>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</si>
  <si>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</si>
  <si>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</si>
  <si>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</si>
  <si>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</si>
  <si>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</si>
  <si>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</si>
  <si>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</si>
  <si>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</si>
  <si>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</si>
  <si>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</si>
  <si>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</si>
  <si>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</si>
  <si>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</si>
  <si>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</si>
  <si>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</si>
  <si>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</si>
  <si>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</si>
  <si>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</si>
  <si>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</si>
  <si>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</si>
  <si>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</si>
  <si>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</si>
  <si>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</si>
  <si>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</si>
  <si>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</si>
  <si>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</si>
  <si>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</si>
  <si>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</si>
  <si>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</si>
  <si>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</si>
  <si>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</si>
  <si>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</si>
  <si>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</si>
  <si>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</si>
  <si>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</si>
  <si>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</si>
  <si>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</si>
  <si>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</si>
  <si>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</si>
  <si>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</si>
  <si>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</si>
  <si>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</si>
  <si>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</si>
  <si>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</si>
  <si>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</si>
  <si>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</si>
  <si>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</si>
  <si>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</si>
  <si>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</si>
  <si>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</si>
  <si>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</si>
  <si>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</si>
  <si>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</si>
  <si>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</si>
  <si>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</si>
  <si>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</si>
  <si>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</si>
  <si>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</si>
  <si>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</si>
  <si>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</si>
  <si>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</si>
  <si>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</si>
  <si>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</si>
  <si>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</si>
  <si>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</si>
  <si>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</si>
  <si>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</si>
  <si>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</si>
  <si>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</si>
  <si>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</si>
  <si>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</si>
  <si>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</si>
  <si>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</si>
  <si>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</si>
  <si>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</si>
  <si>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</si>
  <si>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</si>
  <si>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</si>
  <si>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</si>
  <si>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车库</t>
    <phoneticPr fontId="7" type="noConversion"/>
  </si>
  <si>
    <t>面积</t>
    <phoneticPr fontId="3" type="noConversion"/>
  </si>
  <si>
    <t>楼层系数</t>
    <phoneticPr fontId="3" type="noConversion"/>
  </si>
  <si>
    <t>租金</t>
    <phoneticPr fontId="3" type="noConversion"/>
  </si>
  <si>
    <t>面积占比</t>
    <phoneticPr fontId="3" type="noConversion"/>
  </si>
  <si>
    <t>在建（套用方法）</t>
  </si>
  <si>
    <t>按租金收入计税</t>
  </si>
  <si>
    <t>钢混</t>
  </si>
  <si>
    <t>非生产用房</t>
  </si>
  <si>
    <t>押一</t>
  </si>
  <si>
    <t>自定义</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</si>
  <si>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</si>
  <si>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</si>
  <si>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</si>
  <si>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</si>
  <si>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</si>
  <si>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</si>
  <si>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</si>
  <si>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</si>
  <si>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</si>
  <si>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</si>
  <si>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</si>
  <si>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</si>
  <si>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</si>
  <si>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</si>
  <si>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</si>
  <si>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</si>
  <si>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</si>
  <si>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</si>
  <si>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</si>
  <si>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</si>
  <si>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</si>
  <si>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</si>
  <si>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</si>
  <si>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</si>
  <si>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</si>
  <si>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</si>
  <si>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</si>
  <si>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</si>
  <si>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</si>
  <si>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</si>
  <si>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</si>
  <si>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</si>
  <si>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</si>
  <si>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</si>
  <si>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</si>
  <si>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</si>
  <si>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</si>
  <si>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</si>
  <si>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</si>
  <si>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</si>
  <si>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</si>
  <si>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</si>
  <si>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</si>
  <si>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</si>
  <si>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</si>
  <si>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</si>
  <si>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</si>
  <si>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</si>
  <si>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</si>
  <si>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</si>
  <si>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</si>
  <si>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</si>
  <si>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</si>
  <si>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</si>
  <si>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</si>
  <si>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</si>
  <si>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</si>
  <si>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商业33.5、办公43.5</t>
    <phoneticPr fontId="31" type="noConversion"/>
  </si>
  <si>
    <r>
      <rPr>
        <sz val="11"/>
        <color indexed="8"/>
        <rFont val="宋体"/>
        <family val="3"/>
        <charset val="134"/>
      </rPr>
      <t>商业</t>
    </r>
    <r>
      <rPr>
        <sz val="11"/>
        <color indexed="8"/>
        <rFont val="Arial"/>
        <family val="2"/>
      </rPr>
      <t>40</t>
    </r>
    <r>
      <rPr>
        <sz val="11"/>
        <color indexed="8"/>
        <rFont val="宋体"/>
        <family val="3"/>
        <charset val="134"/>
      </rPr>
      <t>、办公</t>
    </r>
    <r>
      <rPr>
        <sz val="11"/>
        <color indexed="8"/>
        <rFont val="Arial"/>
        <family val="2"/>
      </rPr>
      <t xml:space="preserve">50 </t>
    </r>
    <phoneticPr fontId="31" type="noConversion"/>
  </si>
  <si>
    <r>
      <rPr>
        <sz val="11"/>
        <color indexed="8"/>
        <rFont val="宋体"/>
        <family val="3"/>
        <charset val="134"/>
      </rPr>
      <t>商业</t>
    </r>
    <r>
      <rPr>
        <sz val="11"/>
        <color indexed="8"/>
        <rFont val="Arial"/>
        <family val="2"/>
      </rPr>
      <t>40</t>
    </r>
    <r>
      <rPr>
        <sz val="11"/>
        <color indexed="8"/>
        <rFont val="宋体"/>
        <family val="3"/>
        <charset val="134"/>
      </rPr>
      <t>、办公</t>
    </r>
    <r>
      <rPr>
        <sz val="11"/>
        <color indexed="8"/>
        <rFont val="Arial"/>
        <family val="2"/>
      </rPr>
      <t xml:space="preserve">50 </t>
    </r>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</si>
  <si>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</si>
  <si>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</si>
  <si>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</si>
  <si>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</si>
  <si>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</si>
  <si>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双面临街</t>
    <phoneticPr fontId="31" type="noConversion"/>
  </si>
  <si>
    <t>较规则</t>
    <phoneticPr fontId="31" type="noConversion"/>
  </si>
  <si>
    <t>七通</t>
    <phoneticPr fontId="31" type="noConversion"/>
  </si>
  <si>
    <t>2016-3</t>
    <phoneticPr fontId="31" type="noConversion"/>
  </si>
  <si>
    <t>2016-2</t>
    <phoneticPr fontId="31" type="noConversion"/>
  </si>
  <si>
    <t>2016-1</t>
    <phoneticPr fontId="31" type="noConversion"/>
  </si>
  <si>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</si>
  <si>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</si>
  <si>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</si>
  <si>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</si>
  <si>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</si>
  <si>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</si>
  <si>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</si>
  <si>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成本法</t>
  </si>
  <si>
    <t>假设开发法</t>
  </si>
  <si>
    <t>未包含在土地购买价格中</t>
  </si>
  <si>
    <t>全部缴纳</t>
  </si>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</sst>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估价对象为北京市出让国有建设用地使用权及在建建筑物房地产，为所有。根据《国有土地使用证》[]，估价对象（分摊）出让国有建设用地使用权面积为15644.81平方米，建筑面积为95896.06平方米。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2019年11月13日</v>
      </c>
    </row>
    <row r="13" spans="1:2" s="1592" customFormat="1">
      <c r="A13" s="1590" t="s">
        <v>1223</v>
      </c>
      <c r="B13" s="1591"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134635</v>
      </c>
    </row>
    <row r="21" spans="1:2" s="1592" customFormat="1">
      <c r="A21" s="1590" t="s">
        <v>1231</v>
      </c>
      <c r="B21" s="1591">
        <f ca="1">'预评函-2'!D7</f>
        <v>14040</v>
      </c>
    </row>
    <row r="22" spans="1:2" s="1592" customFormat="1">
      <c r="A22" s="1590" t="s">
        <v>1232</v>
      </c>
      <c r="B22" s="1591" t="str">
        <f ca="1">'预评函-2'!D6</f>
        <v>壹拾叁亿肆仟陆佰叁拾伍万元整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134635</v>
      </c>
    </row>
    <row r="31" spans="1:2" s="1592" customFormat="1">
      <c r="A31" s="1590" t="s">
        <v>1270</v>
      </c>
      <c r="B31" s="1591">
        <f ca="1">'预评函-2'!D15</f>
        <v>14040</v>
      </c>
    </row>
    <row r="32" spans="1:2" s="1592" customFormat="1">
      <c r="A32" s="1590" t="s">
        <v>1237</v>
      </c>
      <c r="B32" s="1591" t="str">
        <f ca="1">'预评函-2'!D14</f>
        <v>壹拾叁亿肆仟陆佰叁拾伍万元整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95896.06</v>
      </c>
    </row>
    <row r="44" spans="1:2" s="1592" customFormat="1">
      <c r="A44" s="1590" t="s">
        <v>1269</v>
      </c>
      <c r="B44" s="1591" t="str">
        <f>'预评函-3'!C2</f>
        <v>(分摊)土地面积</v>
      </c>
    </row>
    <row r="45" spans="1:2" s="1592" customFormat="1">
      <c r="A45" s="1590" t="s">
        <v>1241</v>
      </c>
      <c r="B45" s="1591">
        <f>'预评函-3'!C4</f>
        <v>15644.81</v>
      </c>
    </row>
    <row r="46" spans="1:2" s="1592" customFormat="1">
      <c r="A46" s="1590" t="s">
        <v>1267</v>
      </c>
      <c r="B46" s="1591" t="str">
        <f>'预评函-3'!D2</f>
        <v>出让国有建设用地使用权价值</v>
      </c>
    </row>
    <row r="47" spans="1:2" s="1592" customFormat="1">
      <c r="A47" s="1590" t="s">
        <v>1242</v>
      </c>
      <c r="B47" s="1591">
        <f ca="1">'预评函-3'!D4</f>
        <v>111343</v>
      </c>
    </row>
    <row r="48" spans="1:2" s="1592" customFormat="1">
      <c r="A48" s="1590" t="s">
        <v>1243</v>
      </c>
      <c r="B48" s="1591">
        <f ca="1">'预评函-3'!E4</f>
        <v>11611</v>
      </c>
    </row>
    <row r="49" spans="1:2" s="1592" customFormat="1">
      <c r="A49" s="1590" t="s">
        <v>1244</v>
      </c>
      <c r="B49" s="1591" t="str">
        <f ca="1">'预评函-3'!D5</f>
        <v>壹拾壹亿壹仟叁佰肆拾叁万元整</v>
      </c>
    </row>
    <row r="50" spans="1:2" s="1592" customFormat="1">
      <c r="A50" s="1590" t="s">
        <v>1268</v>
      </c>
      <c r="B50" s="1591" t="str">
        <f>'预评函-3'!F2</f>
        <v>在建建筑物价值</v>
      </c>
    </row>
    <row r="51" spans="1:2" s="1592" customFormat="1">
      <c r="A51" s="1590" t="s">
        <v>1245</v>
      </c>
      <c r="B51" s="1591">
        <f ca="1">'预评函-3'!F4</f>
        <v>23292</v>
      </c>
    </row>
    <row r="52" spans="1:2" s="1592" customFormat="1">
      <c r="A52" s="1590" t="s">
        <v>1246</v>
      </c>
      <c r="B52" s="1591">
        <f ca="1">'预评函-3'!G4</f>
        <v>2429</v>
      </c>
    </row>
    <row r="53" spans="1:2" s="1592" customFormat="1">
      <c r="A53" s="1590" t="s">
        <v>1274</v>
      </c>
      <c r="B53" s="1591" t="str">
        <f ca="1">'预评函-3'!F5</f>
        <v>贰亿叁仟贰佰玖拾贰万元整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3" sqref="I2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3084</v>
      </c>
      <c r="C17" s="2013"/>
    </row>
    <row r="18" spans="1:3">
      <c r="A18" s="2012" t="s">
        <v>1762</v>
      </c>
      <c r="B18" s="2012" t="s">
        <v>3086</v>
      </c>
      <c r="C18" s="2013"/>
    </row>
    <row r="19" spans="1:3">
      <c r="A19" s="2012" t="s">
        <v>1763</v>
      </c>
      <c r="B19" s="2012" t="s">
        <v>3088</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0" t="s">
        <v>861</v>
      </c>
      <c r="C54" s="2017" t="s">
        <v>1277</v>
      </c>
    </row>
    <row r="55" spans="1:4">
      <c r="A55" s="3023"/>
      <c r="B55" s="2020" t="s">
        <v>862</v>
      </c>
      <c r="C55" s="2017" t="s">
        <v>1278</v>
      </c>
    </row>
    <row r="56" spans="1:4">
      <c r="A56" s="3023"/>
      <c r="B56" s="2020" t="s">
        <v>863</v>
      </c>
      <c r="C56" s="2017" t="s">
        <v>1282</v>
      </c>
    </row>
    <row r="57" spans="1:4">
      <c r="A57" s="302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G22" sqref="G22"/>
    </sheetView>
  </sheetViews>
  <sheetFormatPr defaultColWidth="10" defaultRowHeight="18" customHeight="1"/>
  <cols>
    <col min="1" max="1" width="14.875" style="2030" customWidth="1"/>
    <col min="2" max="2" width="10" style="2030" customWidth="1"/>
    <col min="3" max="3" width="11.5" style="2030" customWidth="1"/>
    <col min="4" max="4" width="11.1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3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3"/>
      <c r="D1" s="3033"/>
      <c r="E1" s="3033"/>
      <c r="F1" s="3033"/>
      <c r="G1" s="3033"/>
      <c r="H1" s="3033"/>
      <c r="I1" s="303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1773</v>
      </c>
      <c r="B3" s="2034"/>
      <c r="C3" s="2035" t="s">
        <v>1774</v>
      </c>
      <c r="D3" s="2034">
        <v>43782</v>
      </c>
      <c r="E3" s="2024"/>
      <c r="F3" s="2024"/>
      <c r="G3" s="2024"/>
      <c r="H3" s="2024"/>
      <c r="I3" s="2024"/>
      <c r="J3" s="2024"/>
      <c r="K3" s="2025"/>
      <c r="L3" s="2026"/>
      <c r="M3" s="2026"/>
      <c r="N3" s="2027"/>
      <c r="O3" s="2028"/>
      <c r="P3" s="2027"/>
      <c r="Q3" s="2027"/>
      <c r="R3" s="2027"/>
      <c r="S3" s="2029"/>
    </row>
    <row r="4" spans="1:19" ht="18" customHeight="1" thickBot="1">
      <c r="A4" s="2036" t="s">
        <v>1775</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3057</v>
      </c>
      <c r="C8" s="2054"/>
      <c r="D8" s="3035" t="s">
        <v>1780</v>
      </c>
      <c r="E8" s="2055" t="s">
        <v>3058</v>
      </c>
      <c r="F8" s="2056"/>
      <c r="G8" s="2024"/>
      <c r="H8" s="2024"/>
      <c r="I8" s="2024"/>
      <c r="J8" s="2040"/>
      <c r="K8" s="2041"/>
      <c r="L8" s="2026"/>
      <c r="M8" s="2026"/>
      <c r="N8" s="2027"/>
      <c r="O8" s="2028"/>
      <c r="P8" s="2027"/>
      <c r="Q8" s="2027"/>
      <c r="R8" s="2027"/>
    </row>
    <row r="9" spans="1:19" ht="18" customHeight="1" thickBot="1">
      <c r="A9" s="2038" t="s">
        <v>1781</v>
      </c>
      <c r="B9" s="2057" t="s">
        <v>3058</v>
      </c>
      <c r="C9" s="2058"/>
      <c r="D9" s="3036"/>
      <c r="E9" s="2057"/>
      <c r="F9" s="2059"/>
      <c r="G9" s="2060"/>
      <c r="H9" s="2060"/>
      <c r="I9" s="2060"/>
      <c r="J9" s="2040"/>
      <c r="K9" s="2052"/>
      <c r="L9" s="2026"/>
      <c r="M9" s="2026"/>
      <c r="N9" s="2027"/>
      <c r="O9" s="2028"/>
      <c r="P9" s="2027"/>
      <c r="Q9" s="2027"/>
      <c r="R9" s="2027"/>
    </row>
    <row r="10" spans="1:19" ht="18" customHeight="1" thickTop="1">
      <c r="A10" s="2061" t="s">
        <v>1782</v>
      </c>
      <c r="B10" s="2062" t="s">
        <v>3059</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3060</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3061</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v>56018</v>
      </c>
      <c r="F13" s="2078">
        <v>59670</v>
      </c>
      <c r="G13" s="2078">
        <v>59670</v>
      </c>
      <c r="H13" s="2078"/>
      <c r="I13" s="1047"/>
      <c r="J13" s="2040"/>
      <c r="K13" s="2052"/>
      <c r="L13" s="2026"/>
      <c r="M13" s="2026"/>
      <c r="N13" s="2027"/>
      <c r="O13" s="2028"/>
      <c r="P13" s="2027"/>
      <c r="Q13" s="2027"/>
      <c r="R13" s="2027"/>
    </row>
    <row r="14" spans="1:19" ht="18" customHeight="1">
      <c r="A14" s="2075"/>
      <c r="B14" s="2076"/>
      <c r="C14" s="2077" t="s">
        <v>1794</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1795</v>
      </c>
      <c r="D15" s="1049" t="str">
        <f>IF(B12="出让",IF(D13="","",ROUNDDOWN(MIN((D13-$D$3)/365,D14),2)),D14)</f>
        <v/>
      </c>
      <c r="E15" s="1049">
        <f>IF(B12="出让",IF(E13="","",ROUNDDOWN(MIN((E13-$D$3)/365,E14),2)),E14)</f>
        <v>33.520000000000003</v>
      </c>
      <c r="F15" s="1049">
        <f>IF(B12="出让",IF(F13="","",ROUNDDOWN(MIN((F13-$D$3)/365,F14),2)),F14)</f>
        <v>43.52</v>
      </c>
      <c r="G15" s="1049">
        <f>IF(B12="出让",IF(G13="","",ROUNDDOWN(MIN((G13-$D$3)/365,G14),2)),G14)</f>
        <v>43.52</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42"/>
      <c r="C16" s="3043"/>
      <c r="D16" s="3044"/>
      <c r="E16" s="2084" t="s">
        <v>1797</v>
      </c>
      <c r="F16" s="3045"/>
      <c r="G16" s="3046"/>
      <c r="H16" s="3046"/>
      <c r="I16" s="3047"/>
      <c r="J16" s="2027"/>
      <c r="K16" s="2081"/>
      <c r="L16" s="2082"/>
      <c r="M16" s="2082"/>
      <c r="N16" s="2083"/>
      <c r="O16" s="2082"/>
      <c r="P16" s="2083"/>
      <c r="Q16" s="2027"/>
      <c r="R16" s="2027"/>
    </row>
    <row r="17" spans="1:22" ht="18" customHeight="1">
      <c r="A17" s="2085" t="s">
        <v>1798</v>
      </c>
      <c r="B17" s="2033" t="s">
        <v>1799</v>
      </c>
      <c r="C17" s="1054">
        <f>'数据-汇总表'!E3</f>
        <v>95896.06</v>
      </c>
      <c r="D17" s="2086" t="s">
        <v>1800</v>
      </c>
      <c r="E17" s="3048" t="s">
        <v>1801</v>
      </c>
      <c r="F17" s="3049"/>
      <c r="G17" s="3049"/>
      <c r="H17" s="3049"/>
      <c r="I17" s="3050"/>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4">
        <f>'数据-汇总表'!D3</f>
        <v>15644.81</v>
      </c>
      <c r="D18" s="2089" t="s">
        <v>1800</v>
      </c>
      <c r="E18" s="3051" t="s">
        <v>1804</v>
      </c>
      <c r="F18" s="3052"/>
      <c r="G18" s="3052"/>
      <c r="H18" s="3052"/>
      <c r="I18" s="3053"/>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38" t="s">
        <v>1809</v>
      </c>
      <c r="C20" s="3039"/>
      <c r="D20" s="3040" t="s">
        <v>1810</v>
      </c>
      <c r="E20" s="3041"/>
      <c r="F20" s="2096" t="s">
        <v>1811</v>
      </c>
      <c r="G20" s="2040"/>
      <c r="H20" s="2040"/>
      <c r="I20" s="2040"/>
      <c r="J20" s="2040"/>
      <c r="K20" s="303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25"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25"/>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25"/>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26"/>
      <c r="B30" s="2033" t="s">
        <v>1828</v>
      </c>
      <c r="C30" s="3027"/>
      <c r="D30" s="302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29"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24" t="s">
        <v>1838</v>
      </c>
      <c r="T34" s="2133" t="str">
        <f>NUMBERSTRING(7-K34,1)&amp;"通"</f>
        <v>七通</v>
      </c>
      <c r="U34" s="2027"/>
      <c r="V34" s="2027"/>
    </row>
    <row r="35" spans="1:22" ht="18" customHeight="1">
      <c r="A35" s="2134"/>
      <c r="B35" s="3031" t="s">
        <v>1839</v>
      </c>
      <c r="C35" s="3031"/>
      <c r="D35" s="3031"/>
      <c r="E35" s="3031"/>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t="s">
        <v>3062</v>
      </c>
      <c r="C38" s="2141" t="s">
        <v>3062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K3" sqref="K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16160</v>
      </c>
      <c r="B3" s="14">
        <f>IF(C3="否",G5-AT5,G5)</f>
        <v>99053.95</v>
      </c>
      <c r="C3" s="2167" t="s">
        <v>3063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1"/>
      <c r="AV5" s="15" t="s">
        <v>1874</v>
      </c>
      <c r="AW5" s="1802"/>
      <c r="AX5" s="1802"/>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6" customFormat="1" ht="12.75">
      <c r="A6" s="15" t="s">
        <v>1875</v>
      </c>
      <c r="B6" s="2173"/>
      <c r="C6" s="2173"/>
      <c r="D6" s="2174"/>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5"/>
      <c r="AV6" s="15" t="s">
        <v>1875</v>
      </c>
      <c r="AW6" s="2173"/>
      <c r="AX6" s="2173"/>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3064</v>
      </c>
      <c r="J9" s="981"/>
      <c r="K9" s="2190" t="s">
        <v>3064</v>
      </c>
      <c r="L9" s="981"/>
      <c r="M9" s="2190" t="s">
        <v>3067</v>
      </c>
      <c r="N9" s="981"/>
      <c r="O9" s="2190" t="s">
        <v>3067</v>
      </c>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1373</v>
      </c>
      <c r="L10" s="981"/>
      <c r="M10" s="2196" t="s">
        <v>1373</v>
      </c>
      <c r="N10" s="981"/>
      <c r="O10" s="2196" t="s">
        <v>3068</v>
      </c>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3065</v>
      </c>
      <c r="J11" s="2202"/>
      <c r="K11" s="2201" t="s">
        <v>3066</v>
      </c>
      <c r="L11" s="2202"/>
      <c r="M11" s="2201" t="s">
        <v>3066</v>
      </c>
      <c r="N11" s="2202"/>
      <c r="O11" s="2201" t="s">
        <v>3069</v>
      </c>
      <c r="P11" s="2202"/>
      <c r="Q11" s="2201"/>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t="str">
        <f>K11</f>
        <v>底商</v>
      </c>
      <c r="BD12" s="2211" t="str">
        <f>M11</f>
        <v>底商</v>
      </c>
      <c r="BE12" s="2186" t="str">
        <f>O11</f>
        <v>车库</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3063</v>
      </c>
      <c r="E13" s="16">
        <f>IF($C$3="是",ROUND($A$3*G13/$B$3,2),ROUND($A$3*(G13-AT13)/$B$3,2))</f>
        <v>16160</v>
      </c>
      <c r="F13" s="32"/>
      <c r="G13" s="33">
        <f>H13+AC13+AT13</f>
        <v>99053.95</v>
      </c>
      <c r="H13" s="20">
        <f>SUMIF(I$12:AB$12,"总值",I13:AB13)</f>
        <v>86430.56</v>
      </c>
      <c r="I13" s="2213">
        <v>28977.16</v>
      </c>
      <c r="J13" s="2213"/>
      <c r="K13" s="2213">
        <v>25665.52</v>
      </c>
      <c r="L13" s="2213"/>
      <c r="M13" s="2213">
        <v>13156.32</v>
      </c>
      <c r="N13" s="2213"/>
      <c r="O13" s="2213">
        <v>18631.560000000001</v>
      </c>
      <c r="P13" s="2213"/>
      <c r="Q13" s="2213"/>
      <c r="R13" s="2213"/>
      <c r="S13" s="2213"/>
      <c r="T13" s="2213"/>
      <c r="U13" s="2213"/>
      <c r="V13" s="2213"/>
      <c r="W13" s="2213"/>
      <c r="X13" s="2213"/>
      <c r="Y13" s="2213"/>
      <c r="Z13" s="2213"/>
      <c r="AA13" s="2213"/>
      <c r="AB13" s="2213"/>
      <c r="AC13" s="16">
        <f>SUMIF(AD$12:AS$12,"总值",AD13:AS13)</f>
        <v>9465.5</v>
      </c>
      <c r="AD13" s="2214"/>
      <c r="AE13" s="2214"/>
      <c r="AF13" s="2214"/>
      <c r="AG13" s="2214"/>
      <c r="AH13" s="2214"/>
      <c r="AI13" s="2214"/>
      <c r="AJ13" s="2214"/>
      <c r="AK13" s="2214"/>
      <c r="AL13" s="2214">
        <v>1966.19</v>
      </c>
      <c r="AM13" s="2214"/>
      <c r="AN13" s="2214">
        <v>7499.31</v>
      </c>
      <c r="AO13" s="2214"/>
      <c r="AP13" s="2214"/>
      <c r="AQ13" s="2214"/>
      <c r="AR13" s="2214"/>
      <c r="AS13" s="2214"/>
      <c r="AT13" s="2215">
        <v>3157.89</v>
      </c>
      <c r="AU13" s="2216"/>
      <c r="AV13" s="11">
        <f t="shared" ref="AV13:AX17" si="6">A13</f>
        <v>0</v>
      </c>
      <c r="AW13" s="11">
        <f t="shared" si="6"/>
        <v>0</v>
      </c>
      <c r="AX13" s="11">
        <f t="shared" si="6"/>
        <v>0</v>
      </c>
      <c r="AY13" s="1805">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F22" sqref="F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65" t="s">
        <v>1934</v>
      </c>
      <c r="B2" s="3065"/>
      <c r="C2" s="3065"/>
      <c r="D2" s="967" t="s">
        <v>1910</v>
      </c>
      <c r="E2" s="2226" t="s">
        <v>1911</v>
      </c>
      <c r="F2" s="1392"/>
      <c r="G2" s="2227"/>
      <c r="H2" s="2228"/>
      <c r="I2" s="2229" t="s">
        <v>1935</v>
      </c>
      <c r="J2" s="1392"/>
      <c r="K2" s="1392"/>
      <c r="L2" s="1392"/>
      <c r="M2" s="1392"/>
      <c r="N2" s="1427"/>
      <c r="O2" s="1392"/>
      <c r="P2" s="1392"/>
    </row>
    <row r="3" spans="1:16" ht="15.75" thickBot="1">
      <c r="A3" s="3066" t="s">
        <v>1908</v>
      </c>
      <c r="B3" s="3066"/>
      <c r="C3" s="3066"/>
      <c r="D3" s="46">
        <f>'数据-基础表'!AY6</f>
        <v>15644.81</v>
      </c>
      <c r="E3" s="46">
        <f>'数据-基础表'!AZ5</f>
        <v>95896.06</v>
      </c>
      <c r="F3" s="1392"/>
      <c r="G3" s="1399"/>
      <c r="H3" s="1247" t="s">
        <v>1909</v>
      </c>
      <c r="I3" s="55">
        <f>ROUND('数据-基础表'!B3/'数据-基础表'!A3,2)</f>
        <v>6.13</v>
      </c>
      <c r="J3" s="1392"/>
      <c r="K3" s="1392"/>
      <c r="L3" s="1392"/>
      <c r="M3" s="1392"/>
      <c r="N3" s="1427"/>
      <c r="O3" s="1392"/>
      <c r="P3" s="1392"/>
    </row>
    <row r="4" spans="1:16" ht="15">
      <c r="A4" s="3067"/>
      <c r="B4" s="3068"/>
      <c r="C4" s="3069"/>
      <c r="D4" s="2230" t="s">
        <v>1910</v>
      </c>
      <c r="E4" s="2231" t="s">
        <v>1911</v>
      </c>
      <c r="F4" s="1392"/>
      <c r="G4" s="2232" t="s">
        <v>1936</v>
      </c>
      <c r="H4" s="1247" t="s">
        <v>1916</v>
      </c>
      <c r="I4" s="55">
        <f>ROUND(SUMIF('数据-基础表'!I9:AS9,"地上",'数据-基础表'!I5:AS5)/'数据-基础表'!A3,2)</f>
        <v>3.5</v>
      </c>
      <c r="J4" s="1392"/>
      <c r="K4" s="1392"/>
      <c r="L4" s="1392"/>
      <c r="M4" s="1392"/>
      <c r="N4" s="1427"/>
      <c r="O4" s="1392"/>
      <c r="P4" s="1392"/>
    </row>
    <row r="5" spans="1:16">
      <c r="A5" s="47" t="s">
        <v>1912</v>
      </c>
      <c r="B5" s="3070" t="s">
        <v>1913</v>
      </c>
      <c r="C5" s="3070"/>
      <c r="D5" s="48">
        <f>ROUND($D$3*E5/$E$3,2)</f>
        <v>0</v>
      </c>
      <c r="E5" s="49">
        <f>SUMIF('数据-基础表'!$11:$11,"住宅",'数据-基础表'!$5:$5)</f>
        <v>0</v>
      </c>
      <c r="F5" s="1392"/>
      <c r="G5" s="1399"/>
      <c r="H5" s="1247" t="s">
        <v>1909</v>
      </c>
      <c r="I5" s="55">
        <f>ROUND(E31/D31,2)</f>
        <v>6.13</v>
      </c>
      <c r="J5" s="1392"/>
      <c r="K5" s="1392"/>
      <c r="L5" s="1392"/>
      <c r="M5" s="1392"/>
      <c r="N5" s="1392"/>
      <c r="O5" s="1392"/>
      <c r="P5" s="1392"/>
    </row>
    <row r="6" spans="1:16" ht="15" thickBot="1">
      <c r="A6" s="2233"/>
      <c r="B6" s="3070" t="s">
        <v>1914</v>
      </c>
      <c r="C6" s="3070"/>
      <c r="D6" s="48">
        <f>ROUND($D$3*E6/$E$3,2)</f>
        <v>15644.81</v>
      </c>
      <c r="E6" s="49">
        <f>E3-E5</f>
        <v>95896.06</v>
      </c>
      <c r="F6" s="1392"/>
      <c r="G6" s="2234" t="s">
        <v>1915</v>
      </c>
      <c r="H6" s="1399" t="s">
        <v>1916</v>
      </c>
      <c r="I6" s="939">
        <f>ROUND(F31/D31,2)</f>
        <v>3.62</v>
      </c>
      <c r="J6" s="1392"/>
      <c r="K6" s="1392"/>
      <c r="L6" s="1392"/>
      <c r="M6" s="1392"/>
      <c r="N6" s="1392"/>
      <c r="O6" s="1392"/>
      <c r="P6" s="1392"/>
    </row>
    <row r="7" spans="1:16" ht="15">
      <c r="A7" s="3062"/>
      <c r="B7" s="3063"/>
      <c r="C7" s="3064"/>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8914.59</v>
      </c>
      <c r="E8" s="51">
        <f>SUMIF('数据-基础表'!BB10:BK10,"地上",'数据-基础表'!BB5:BK5)</f>
        <v>54642.68</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2146.37</v>
      </c>
      <c r="E10" s="51">
        <f>SUMPRODUCT(('数据-基础表'!BB10:BK10="地下")*('数据-基础表'!BB11:BK11="商业")*('数据-基础表'!BB5:BK5))</f>
        <v>13156.32</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3039.62</v>
      </c>
      <c r="E15" s="51">
        <f>SUMPRODUCT(('数据-基础表'!BB10:BK10="地下")*('数据-基础表'!BB11:BK11="车库—办公")*('数据-基础表'!BB5:BK5))</f>
        <v>18631.560000000001</v>
      </c>
      <c r="F15" s="1392"/>
      <c r="G15" s="2236"/>
      <c r="H15" s="2236"/>
      <c r="I15" s="1392"/>
      <c r="J15" s="1392"/>
      <c r="K15" s="1392"/>
      <c r="L15" s="1392"/>
      <c r="M15" s="1392"/>
      <c r="N15" s="1392"/>
      <c r="O15" s="1392"/>
      <c r="P15" s="1392"/>
    </row>
    <row r="16" spans="1:16" ht="15.75" thickBot="1">
      <c r="A16" s="2233"/>
      <c r="B16" s="2238"/>
      <c r="C16" s="50" t="s">
        <v>1926</v>
      </c>
      <c r="D16" s="50">
        <f>SUM(D8:D15)</f>
        <v>14100.579999999998</v>
      </c>
      <c r="E16" s="53">
        <f>SUM(E8:E15)</f>
        <v>86430.56</v>
      </c>
      <c r="F16" s="1392"/>
      <c r="G16" s="2236"/>
      <c r="H16" s="2239" t="s">
        <v>1938</v>
      </c>
      <c r="I16" s="2240"/>
      <c r="J16" s="1392"/>
      <c r="K16" s="3059" t="s">
        <v>1938</v>
      </c>
      <c r="L16" s="3060"/>
      <c r="M16" s="3060"/>
      <c r="N16" s="3060"/>
      <c r="O16" s="3060"/>
      <c r="P16" s="3061"/>
    </row>
    <row r="17" spans="1:19" ht="15">
      <c r="A17" s="2241" t="s">
        <v>1939</v>
      </c>
      <c r="B17" s="2242" t="s">
        <v>1940</v>
      </c>
      <c r="C17" s="2243" t="s">
        <v>1941</v>
      </c>
      <c r="D17" s="2244" t="s">
        <v>1929</v>
      </c>
      <c r="E17" s="2245" t="s">
        <v>1930</v>
      </c>
      <c r="F17" s="2246"/>
      <c r="G17" s="2247"/>
      <c r="H17" s="2248" t="s">
        <v>1942</v>
      </c>
      <c r="I17" s="2249" t="s">
        <v>1927</v>
      </c>
      <c r="J17" s="1392"/>
      <c r="K17" s="3056" t="s">
        <v>1943</v>
      </c>
      <c r="L17" s="3057"/>
      <c r="M17" s="3058"/>
      <c r="N17" s="3056" t="s">
        <v>1944</v>
      </c>
      <c r="O17" s="3057"/>
      <c r="P17" s="3058"/>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1" t="s">
        <v>3070</v>
      </c>
      <c r="D19" s="48">
        <f>ROUND($D$3*E19/$E$3,2)</f>
        <v>4727.43</v>
      </c>
      <c r="E19" s="56">
        <f t="shared" ref="E19:E26" si="1">SUM(F19:G19)</f>
        <v>28977.16</v>
      </c>
      <c r="F19" s="57">
        <f>'数据-基础表'!I13</f>
        <v>28977.16</v>
      </c>
      <c r="G19" s="58"/>
      <c r="H19" s="723">
        <f>ROUND($D$3*I19/$E$3,2)</f>
        <v>517.73</v>
      </c>
      <c r="I19" s="51">
        <f t="shared" ref="I19:I26" si="2">IF($I$17="自定义",P19,M19)</f>
        <v>3173.45</v>
      </c>
      <c r="J19" s="1392"/>
      <c r="K19" s="1391">
        <f t="shared" ref="K19:K26" si="3">ROUND(E$28*E19/E$27,2)</f>
        <v>3173.45</v>
      </c>
      <c r="L19" s="1247">
        <f t="shared" ref="L19:L26" si="4">ROUND(IF(COUNTIF(C19,"*住宅*")&gt;0,E$29*E19/E$32,0),2)</f>
        <v>0</v>
      </c>
      <c r="M19" s="1403">
        <f>K19+L19</f>
        <v>3173.45</v>
      </c>
      <c r="N19" s="2259"/>
      <c r="O19" s="2260"/>
      <c r="P19" s="1403">
        <f>N19+O19</f>
        <v>0</v>
      </c>
      <c r="R19" s="1247">
        <f t="shared" ref="R19:S26" si="5">D19+H19</f>
        <v>5245.16</v>
      </c>
      <c r="S19" s="1248">
        <f t="shared" si="5"/>
        <v>32150.61</v>
      </c>
    </row>
    <row r="20" spans="1:19">
      <c r="A20" s="2261"/>
      <c r="B20" s="50" t="s">
        <v>1956</v>
      </c>
      <c r="C20" s="2961" t="s">
        <v>3071</v>
      </c>
      <c r="D20" s="48">
        <f t="shared" ref="D20:D26" si="6">ROUND($D$3*E20/$E$3,2)</f>
        <v>6333.53</v>
      </c>
      <c r="E20" s="56">
        <f t="shared" si="1"/>
        <v>38821.839999999997</v>
      </c>
      <c r="F20" s="57">
        <f>'数据-基础表'!K13</f>
        <v>25665.52</v>
      </c>
      <c r="G20" s="58">
        <f>'数据-基础表'!M13</f>
        <v>13156.32</v>
      </c>
      <c r="H20" s="723">
        <f t="shared" ref="H20:H26" si="7">ROUND($D$3*I20/$E$3,2)</f>
        <v>693.62</v>
      </c>
      <c r="I20" s="51">
        <f t="shared" si="2"/>
        <v>4251.6000000000004</v>
      </c>
      <c r="J20" s="1392"/>
      <c r="K20" s="1391">
        <f t="shared" si="3"/>
        <v>4251.6000000000004</v>
      </c>
      <c r="L20" s="1247">
        <f t="shared" si="4"/>
        <v>0</v>
      </c>
      <c r="M20" s="1403">
        <f t="shared" ref="M20:M26" si="8">K20+L20</f>
        <v>4251.6000000000004</v>
      </c>
      <c r="N20" s="2259"/>
      <c r="O20" s="2260"/>
      <c r="P20" s="1403">
        <f t="shared" ref="P20:P26" si="9">N20+O20</f>
        <v>0</v>
      </c>
      <c r="R20" s="1247">
        <f t="shared" si="5"/>
        <v>7027.15</v>
      </c>
      <c r="S20" s="1248">
        <f t="shared" si="5"/>
        <v>43073.439999999995</v>
      </c>
    </row>
    <row r="21" spans="1:19">
      <c r="A21" s="2261"/>
      <c r="B21" s="50" t="s">
        <v>1956</v>
      </c>
      <c r="C21" s="2961" t="s">
        <v>3072</v>
      </c>
      <c r="D21" s="48">
        <f t="shared" si="6"/>
        <v>3039.62</v>
      </c>
      <c r="E21" s="56">
        <f t="shared" si="1"/>
        <v>18631.560000000001</v>
      </c>
      <c r="F21" s="57"/>
      <c r="G21" s="58">
        <f>'数据-基础表'!O13</f>
        <v>18631.560000000001</v>
      </c>
      <c r="H21" s="723">
        <f t="shared" si="7"/>
        <v>332.89</v>
      </c>
      <c r="I21" s="51">
        <f t="shared" si="2"/>
        <v>2040.45</v>
      </c>
      <c r="J21" s="1392"/>
      <c r="K21" s="1391">
        <f t="shared" si="3"/>
        <v>2040.45</v>
      </c>
      <c r="L21" s="1247">
        <f t="shared" si="4"/>
        <v>0</v>
      </c>
      <c r="M21" s="1403">
        <f t="shared" si="8"/>
        <v>2040.45</v>
      </c>
      <c r="N21" s="2259"/>
      <c r="O21" s="2260"/>
      <c r="P21" s="1403">
        <f t="shared" si="9"/>
        <v>0</v>
      </c>
      <c r="R21" s="1247">
        <f t="shared" si="5"/>
        <v>3372.5099999999998</v>
      </c>
      <c r="S21" s="1248">
        <f t="shared" si="5"/>
        <v>20672.010000000002</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1957</v>
      </c>
      <c r="D27" s="1393">
        <f>SUM(D19:D26)</f>
        <v>14100.579999999998</v>
      </c>
      <c r="E27" s="1394">
        <f>IF(SUM(E19:E26)='数据-基础表'!BA5,SUM(E19:E26),IF(F27="地上面积有误","面积有误","地下面积有误"))</f>
        <v>86430.56</v>
      </c>
      <c r="F27" s="1393">
        <f>IF(SUM(F19:F26)=E8,SUM(F19:F26),"地上面积有误")</f>
        <v>54642.68</v>
      </c>
      <c r="G27" s="1395">
        <f>SUM(G19:G26)</f>
        <v>31787.88</v>
      </c>
      <c r="H27" s="1396">
        <f>SUM(H19:H26)</f>
        <v>1544.2399999999998</v>
      </c>
      <c r="I27" s="1397">
        <f>SUM(I19:I26)</f>
        <v>9465.5</v>
      </c>
      <c r="J27" s="1392"/>
      <c r="K27" s="1400">
        <f>SUM(K19:K26)</f>
        <v>9465.5</v>
      </c>
      <c r="L27" s="1401">
        <f>SUM(L19:L26)</f>
        <v>0</v>
      </c>
      <c r="M27" s="1404">
        <f>SUM(M19:M26)</f>
        <v>9465.5</v>
      </c>
      <c r="N27" s="1400">
        <f t="shared" ref="N27:O27" si="10">SUM(N19:N26)</f>
        <v>0</v>
      </c>
      <c r="O27" s="1401">
        <f t="shared" si="10"/>
        <v>0</v>
      </c>
      <c r="P27" s="1402">
        <f>SUM(P19:P26)</f>
        <v>0</v>
      </c>
      <c r="R27" s="1249" t="str">
        <f>IF(SUM(R19:R26)=$D$3,SUM(R19:R26),SUM(R19:R26)&amp;"误差"&amp;ROUND(SUM(R19:R26)-$D$3,2))</f>
        <v>15644.82误差0.01</v>
      </c>
      <c r="S27" s="1247">
        <f>IF(SUM(S19:S26)=$E$3,SUM(S19:S26),SUM(S19:S26)&amp;"误差"&amp;ROUND(SUM(S19:S26)-E3,2))</f>
        <v>95896.06</v>
      </c>
    </row>
    <row r="28" spans="1:19">
      <c r="A28" s="2261"/>
      <c r="B28" s="50" t="s">
        <v>1958</v>
      </c>
      <c r="C28" s="1259" t="s">
        <v>1959</v>
      </c>
      <c r="D28" s="48">
        <f>ROUND($D$3*E28/$E$3,2)</f>
        <v>1544.23</v>
      </c>
      <c r="E28" s="56">
        <f>SUM(F28:G28)</f>
        <v>9465.5</v>
      </c>
      <c r="F28" s="64">
        <f>'数据-基础表'!BQ5+'数据-基础表'!BS5</f>
        <v>1966.19</v>
      </c>
      <c r="G28" s="65">
        <f>'数据-基础表'!BR5+'数据-基础表'!BT5</f>
        <v>7499.31</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1544.23</v>
      </c>
      <c r="E30" s="1393">
        <f>SUM(E28:E29)</f>
        <v>9465.5</v>
      </c>
      <c r="F30" s="1393">
        <f>SUM(F28:F29)</f>
        <v>1966.19</v>
      </c>
      <c r="G30" s="1395">
        <f>SUM(G28:G29)</f>
        <v>7499.31</v>
      </c>
      <c r="H30" s="1392"/>
      <c r="I30" s="1392"/>
      <c r="J30" s="1392"/>
      <c r="K30" s="1392"/>
      <c r="L30" s="1392"/>
      <c r="M30" s="1392"/>
      <c r="N30" s="1392"/>
      <c r="O30" s="1392"/>
      <c r="P30" s="1392"/>
    </row>
    <row r="31" spans="1:19" ht="15.75" thickBot="1">
      <c r="A31" s="2267"/>
      <c r="B31" s="2268"/>
      <c r="C31" s="1007" t="s">
        <v>1961</v>
      </c>
      <c r="D31" s="729">
        <f>D27+D30</f>
        <v>15644.809999999998</v>
      </c>
      <c r="E31" s="729">
        <f>E27+E30</f>
        <v>95896.06</v>
      </c>
      <c r="F31" s="730">
        <f>F27+F30</f>
        <v>56608.87</v>
      </c>
      <c r="G31" s="731">
        <f>G27+G30</f>
        <v>39287.19</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1964</v>
      </c>
      <c r="B2" s="1266">
        <f>项目基本情况!D3</f>
        <v>43782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59670</v>
      </c>
      <c r="F6" s="72">
        <f>SUMIF(项目基本情况!D$12:I$12,C6,项目基本情况!D$15:I$15)</f>
        <v>43.52</v>
      </c>
      <c r="G6" s="73">
        <f>IF(ISERROR(ROUND(POWER(1+H6,D6-F6)*(POWER(1+H6,F6)-1)/(POWER(1+H6,D6)-1),3)),0,ROUND(POWER(1+H6,D6-F6)*(POWER(1+H6,F6)-1)/(POWER(1+H6,D6)-1),3))</f>
        <v>0.96399999999999997</v>
      </c>
      <c r="H6" s="802">
        <v>0.05</v>
      </c>
      <c r="I6" s="802">
        <v>0.06</v>
      </c>
      <c r="J6" s="74">
        <v>8.5000000000000006E-2</v>
      </c>
      <c r="K6" s="1251">
        <f>SUMIF('数据-汇总表'!C$19:C$33,A6,'数据-汇总表'!E$19:E$33)</f>
        <v>28977.16</v>
      </c>
      <c r="L6" s="803">
        <v>4500</v>
      </c>
      <c r="M6" s="75">
        <f t="shared" ref="M6:M14" si="0">ROUND(K6*L6/10000,0)</f>
        <v>13040</v>
      </c>
      <c r="N6" s="801">
        <v>0.45</v>
      </c>
      <c r="O6" s="75">
        <f>IF($N$5="成新度","——",ROUND(M6*N6,0))</f>
        <v>5868</v>
      </c>
      <c r="P6" s="76">
        <f>IF($N$5="成新度","——",M6-O6)</f>
        <v>7172</v>
      </c>
      <c r="Q6" s="804">
        <v>0.2</v>
      </c>
      <c r="R6" s="77">
        <f ca="1">SUMIF('数据-汇总表'!C$19:C$33,A6,'数据-汇总表'!R$19:R$27)</f>
        <v>5245.16</v>
      </c>
      <c r="S6" s="54">
        <f>IF('数据-汇总表'!$I$17="按面积比例",SUMIF('数据-汇总表'!C$19:C$33,A6,'数据-汇总表'!K$19:K$33),SUMIF('数据-汇总表'!C$19:C$33,A6,'数据-汇总表'!N$19:N$33))</f>
        <v>3173.45</v>
      </c>
      <c r="T6" s="1443">
        <f>ROUND($L$14*S6/10000,0)</f>
        <v>793</v>
      </c>
      <c r="U6" s="78">
        <v>5</v>
      </c>
      <c r="V6" s="79">
        <v>2.5000000000000001E-2</v>
      </c>
      <c r="W6" s="79">
        <v>0.1</v>
      </c>
      <c r="X6" s="1261"/>
      <c r="Y6" s="80">
        <v>1</v>
      </c>
      <c r="Z6" s="81"/>
      <c r="AA6" s="74"/>
      <c r="AB6" s="74"/>
      <c r="AC6" s="1261"/>
      <c r="AD6" s="82"/>
      <c r="AE6" s="1262">
        <f ca="1">IF(AN6="",0,SUMIF(INDIRECT("'"&amp;AN6&amp;"'"&amp;"!E:E"),$AE$5,INDIRECT("'"&amp;AN6&amp;"'"&amp;"!F:F")))</f>
        <v>41.870000000000005</v>
      </c>
      <c r="AF6" s="1803"/>
      <c r="AG6" s="147">
        <f>IF(AF6="",0,AE6-AF6)</f>
        <v>0</v>
      </c>
      <c r="AH6" s="83"/>
      <c r="AI6" s="85">
        <v>365</v>
      </c>
      <c r="AJ6" s="86"/>
      <c r="AK6" s="87">
        <v>1.4999999999999999E-2</v>
      </c>
      <c r="AL6" s="88">
        <v>2E-3</v>
      </c>
      <c r="AM6" s="89">
        <v>0.02</v>
      </c>
      <c r="AN6" s="2307" t="s">
        <v>3083</v>
      </c>
      <c r="AO6" s="55">
        <f ca="1">SUMIF(INDIRECT("'"&amp;AN6&amp;"'"&amp;"!A:A"),"总价",INDIRECT("'"&amp;AN6&amp;"'"&amp;"!B:B"))</f>
        <v>75807</v>
      </c>
      <c r="AP6" s="2308">
        <f>IF(C6="住宅",K6*L6,0)</f>
        <v>0</v>
      </c>
      <c r="AQ6" s="55">
        <f>ROUND($L$14*$N$14*S6/10000,0)</f>
        <v>357</v>
      </c>
      <c r="AR6" s="55">
        <f>ROUND($L$14*(1-$N$14)*S6/10000,0)</f>
        <v>436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56018</v>
      </c>
      <c r="F7" s="72">
        <f>SUMIF(项目基本情况!D$12:I$12,C7,项目基本情况!D$15:I$15)</f>
        <v>33.520000000000003</v>
      </c>
      <c r="G7" s="73">
        <f t="shared" ref="G7:G11" si="2">IF(ISERROR(ROUND(POWER(1+H7,D7-F7)*(POWER(1+H7,F7)-1)/(POWER(1+H7,D7)-1),3)),0,ROUND(POWER(1+H7,D7-F7)*(POWER(1+H7,F7)-1)/(POWER(1+H7,D7)-1),3))</f>
        <v>0.94499999999999995</v>
      </c>
      <c r="H7" s="802">
        <v>5.5E-2</v>
      </c>
      <c r="I7" s="802">
        <v>6.5000000000000002E-2</v>
      </c>
      <c r="J7" s="74">
        <v>8.5000000000000006E-2</v>
      </c>
      <c r="K7" s="1251">
        <f>SUMIF('数据-汇总表'!C$19:C$33,A7,'数据-汇总表'!E$19:E$33)</f>
        <v>38821.839999999997</v>
      </c>
      <c r="L7" s="803">
        <v>4000</v>
      </c>
      <c r="M7" s="75">
        <f t="shared" si="0"/>
        <v>15529</v>
      </c>
      <c r="N7" s="801">
        <v>0.45</v>
      </c>
      <c r="O7" s="75">
        <f t="shared" ref="O7:O14" si="3">IF($N$5="成新度","——",ROUND(M7*N7,0))</f>
        <v>6988</v>
      </c>
      <c r="P7" s="76">
        <f t="shared" ref="P7:P14" si="4">IF($N$5="成新度","——",M7-O7)</f>
        <v>8541</v>
      </c>
      <c r="Q7" s="804">
        <v>0.25</v>
      </c>
      <c r="R7" s="77">
        <f ca="1">SUMIF('数据-汇总表'!C$19:C$33,A7,'数据-汇总表'!R$19:R$27)</f>
        <v>7027.15</v>
      </c>
      <c r="S7" s="54">
        <f>IF('数据-汇总表'!$I$17="按面积比例",SUMIF('数据-汇总表'!C$19:C$33,A7,'数据-汇总表'!K$19:K$33),SUMIF('数据-汇总表'!C$19:C$33,A7,'数据-汇总表'!N$19:N$33))</f>
        <v>4251.6000000000004</v>
      </c>
      <c r="T7" s="1443">
        <f t="shared" ref="T7:T13" si="5">ROUND($L$14*S7/10000,0)</f>
        <v>1063</v>
      </c>
      <c r="U7" s="78">
        <v>6.1</v>
      </c>
      <c r="V7" s="79">
        <v>2.5000000000000001E-2</v>
      </c>
      <c r="W7" s="79">
        <v>0.1</v>
      </c>
      <c r="X7" s="1261"/>
      <c r="Y7" s="80">
        <v>1</v>
      </c>
      <c r="Z7" s="81"/>
      <c r="AA7" s="74"/>
      <c r="AB7" s="74"/>
      <c r="AC7" s="1261"/>
      <c r="AD7" s="82"/>
      <c r="AE7" s="1262">
        <f t="shared" ref="AE7:AE13" ca="1" si="6">IF(AN7="",0,SUMIF(INDIRECT("'"&amp;AN7&amp;"'"&amp;"!E:E"),$AE$5,INDIRECT("'"&amp;AN7&amp;"'"&amp;"!F:F")))</f>
        <v>31.870000000000005</v>
      </c>
      <c r="AF7" s="1803"/>
      <c r="AG7" s="147">
        <f t="shared" ref="AG7:AG13" si="7">IF(AF7="",0,AE7-AF7)</f>
        <v>0</v>
      </c>
      <c r="AH7" s="83"/>
      <c r="AI7" s="85">
        <v>365</v>
      </c>
      <c r="AJ7" s="86"/>
      <c r="AK7" s="87">
        <v>1.4999999999999999E-2</v>
      </c>
      <c r="AL7" s="88">
        <v>2E-3</v>
      </c>
      <c r="AM7" s="89">
        <v>0.02</v>
      </c>
      <c r="AN7" s="2307" t="s">
        <v>3085</v>
      </c>
      <c r="AO7" s="55">
        <f t="shared" ref="AO7:AO13" ca="1" si="8">SUMIF(INDIRECT("'"&amp;AN7&amp;"'"&amp;"!A:A"),"总价",INDIRECT("'"&amp;AN7&amp;"'"&amp;"!B:B"))</f>
        <v>103656</v>
      </c>
      <c r="AP7" s="2308">
        <f t="shared" ref="AP7:AP13" si="9">IF(C7="住宅",K7*L7,0)</f>
        <v>0</v>
      </c>
      <c r="AQ7" s="55">
        <f t="shared" ref="AQ7:AQ13" si="10">ROUND($L$14*$N$14*S7/10000,0)</f>
        <v>478</v>
      </c>
      <c r="AR7" s="55">
        <f t="shared" ref="AR7:AR13" si="11">ROUND($L$14*(1-$N$14)*S7/10000,0)</f>
        <v>585</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车库</v>
      </c>
      <c r="B8" s="2305" t="str">
        <f t="shared" si="1"/>
        <v>经营性</v>
      </c>
      <c r="C8" s="2306" t="s">
        <v>3069</v>
      </c>
      <c r="D8" s="1051">
        <f>SUMIF(项目基本情况!D$12:I$12,C8,项目基本情况!D$14:I$14)</f>
        <v>50</v>
      </c>
      <c r="E8" s="1048">
        <f>IF(B8="","",SUMIF(项目基本情况!D$12:I$12,C8,项目基本情况!D$13:I$13))</f>
        <v>59670</v>
      </c>
      <c r="F8" s="72">
        <f>SUMIF(项目基本情况!D$12:I$12,C8,项目基本情况!D$15:I$15)</f>
        <v>43.52</v>
      </c>
      <c r="G8" s="73">
        <f t="shared" si="2"/>
        <v>0.95899999999999996</v>
      </c>
      <c r="H8" s="802">
        <v>4.4999999999999998E-2</v>
      </c>
      <c r="I8" s="802">
        <v>0.05</v>
      </c>
      <c r="J8" s="74">
        <v>8.5000000000000006E-2</v>
      </c>
      <c r="K8" s="1251">
        <f>SUMIF('数据-汇总表'!C$19:C$33,A8,'数据-汇总表'!E$19:E$33)</f>
        <v>18631.560000000001</v>
      </c>
      <c r="L8" s="803">
        <v>3000</v>
      </c>
      <c r="M8" s="75">
        <f>ROUND(K8*L8/10000,0)</f>
        <v>5589</v>
      </c>
      <c r="N8" s="801">
        <v>0.45</v>
      </c>
      <c r="O8" s="75">
        <f t="shared" si="3"/>
        <v>2515</v>
      </c>
      <c r="P8" s="76">
        <f t="shared" si="4"/>
        <v>3074</v>
      </c>
      <c r="Q8" s="804">
        <v>0.1</v>
      </c>
      <c r="R8" s="77">
        <f ca="1">SUMIF('数据-汇总表'!C$19:C$33,A8,'数据-汇总表'!R$19:R$27)</f>
        <v>3372.5099999999998</v>
      </c>
      <c r="S8" s="54">
        <f>IF('数据-汇总表'!$I$17="按面积比例",SUMIF('数据-汇总表'!C$19:C$33,A8,'数据-汇总表'!K$19:K$33),SUMIF('数据-汇总表'!C$19:C$33,A8,'数据-汇总表'!N$19:N$33))</f>
        <v>2040.45</v>
      </c>
      <c r="T8" s="1443">
        <f t="shared" si="5"/>
        <v>510</v>
      </c>
      <c r="U8" s="805">
        <v>800</v>
      </c>
      <c r="V8" s="806">
        <v>0</v>
      </c>
      <c r="W8" s="806">
        <v>0.05</v>
      </c>
      <c r="X8" s="1261"/>
      <c r="Y8" s="807">
        <v>1</v>
      </c>
      <c r="Z8" s="81"/>
      <c r="AA8" s="74"/>
      <c r="AB8" s="74"/>
      <c r="AC8" s="1261"/>
      <c r="AD8" s="82"/>
      <c r="AE8" s="1262">
        <f t="shared" ca="1" si="6"/>
        <v>41.870000000000005</v>
      </c>
      <c r="AF8" s="1803"/>
      <c r="AG8" s="147">
        <f t="shared" si="7"/>
        <v>0</v>
      </c>
      <c r="AH8" s="808">
        <v>532</v>
      </c>
      <c r="AI8" s="85">
        <v>12</v>
      </c>
      <c r="AJ8" s="86"/>
      <c r="AK8" s="809">
        <v>1.4999999999999999E-2</v>
      </c>
      <c r="AL8" s="810">
        <v>1.5E-3</v>
      </c>
      <c r="AM8" s="811">
        <v>1.4999999999999999E-2</v>
      </c>
      <c r="AN8" s="2307" t="s">
        <v>3087</v>
      </c>
      <c r="AO8" s="55">
        <f t="shared" ca="1" si="8"/>
        <v>4369</v>
      </c>
      <c r="AP8" s="2308">
        <f t="shared" si="9"/>
        <v>0</v>
      </c>
      <c r="AQ8" s="55">
        <f t="shared" si="10"/>
        <v>230</v>
      </c>
      <c r="AR8" s="55">
        <f t="shared" si="11"/>
        <v>281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2009</v>
      </c>
      <c r="B14" s="2305" t="s">
        <v>2010</v>
      </c>
      <c r="C14" s="2310" t="s">
        <v>2009</v>
      </c>
      <c r="D14" s="1051"/>
      <c r="E14" s="1048"/>
      <c r="F14" s="72"/>
      <c r="G14" s="73"/>
      <c r="H14" s="1250"/>
      <c r="I14" s="1250"/>
      <c r="J14" s="1250"/>
      <c r="K14" s="1251">
        <f>SUMIF('数据-汇总表'!C$19:C$33,A14,'数据-汇总表'!E$19:E$33)</f>
        <v>9465.5</v>
      </c>
      <c r="L14" s="91">
        <v>2500</v>
      </c>
      <c r="M14" s="75">
        <f t="shared" si="0"/>
        <v>2366</v>
      </c>
      <c r="N14" s="92">
        <v>0.45</v>
      </c>
      <c r="O14" s="75">
        <f t="shared" si="3"/>
        <v>1065</v>
      </c>
      <c r="P14" s="76">
        <f t="shared" si="4"/>
        <v>1301</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2013</v>
      </c>
      <c r="B16" s="97"/>
      <c r="C16" s="1005"/>
      <c r="D16" s="2312"/>
      <c r="E16" s="97"/>
      <c r="F16" s="97"/>
      <c r="G16" s="98">
        <f>ROUND(SUMPRODUCT(G6:G13,K6:K13)/SUMPRODUCT((G6:G13&gt;0)*(K6:K13)),3)</f>
        <v>0.95399999999999996</v>
      </c>
      <c r="H16" s="99">
        <f>ROUND(SUMPRODUCT(H6:H13,K6:K13)/SUMPRODUCT((H6:H13&gt;0)*(K6:K13)),3)</f>
        <v>5.0999999999999997E-2</v>
      </c>
      <c r="I16" s="100"/>
      <c r="J16" s="100"/>
      <c r="K16" s="101">
        <f>SUM(K6:K15)</f>
        <v>95896.06</v>
      </c>
      <c r="L16" s="102">
        <f>ROUND(M16*10000/SUM(K6:K14),0)</f>
        <v>3809</v>
      </c>
      <c r="M16" s="102">
        <f>SUM(M6:M14)</f>
        <v>36524</v>
      </c>
      <c r="N16" s="103">
        <f>ROUND(SUMPRODUCT(M6:M14,N6:N14)/M16,3)</f>
        <v>0.45</v>
      </c>
      <c r="O16" s="102">
        <f>SUM(O6:O14)</f>
        <v>16436</v>
      </c>
      <c r="P16" s="102">
        <f>SUM(P6:P14)</f>
        <v>20088</v>
      </c>
      <c r="Q16" s="104">
        <f>ROUND(SUMPRODUCT(Q6:Q13,K6:K13)/SUMPRODUCT((Q6:Q13&gt;0)*(K6:K13)),2)</f>
        <v>0.2</v>
      </c>
      <c r="R16" s="1255">
        <f ca="1">SUM(R6:R13)</f>
        <v>15644.82</v>
      </c>
      <c r="S16" s="105">
        <f>SUM(S6:S13)</f>
        <v>9465.5</v>
      </c>
      <c r="T16" s="106">
        <f>IF(SUMIF(T6:T13,"&lt;9E307")=M14,SUMIF(T6:T13,"&lt;9E307"),"有误，请检查")</f>
        <v>2366</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2015</v>
      </c>
      <c r="B19" s="112">
        <v>0</v>
      </c>
      <c r="C19" s="2275" t="s">
        <v>2016</v>
      </c>
      <c r="D19" s="2276"/>
      <c r="E19" s="2275"/>
      <c r="F19" s="2275"/>
      <c r="G19" s="2275"/>
      <c r="H19" s="2275"/>
      <c r="I19" s="2275"/>
      <c r="J19" s="2275"/>
      <c r="K19" s="168"/>
      <c r="L19" s="168"/>
      <c r="M19" s="1580"/>
      <c r="N19" s="1580"/>
      <c r="O19" s="1580"/>
      <c r="P19" s="1580"/>
      <c r="Q19" s="1580"/>
      <c r="R19" s="1580"/>
      <c r="S19" s="1580"/>
      <c r="T19" s="1580"/>
      <c r="U19" s="2962" t="s">
        <v>3073</v>
      </c>
      <c r="V19" s="2962" t="s">
        <v>3074</v>
      </c>
      <c r="W19" s="2962" t="s">
        <v>3075</v>
      </c>
      <c r="X19" s="2962" t="s">
        <v>3076</v>
      </c>
      <c r="Y19" s="1580"/>
      <c r="Z19" s="1580"/>
      <c r="AA19" s="1580"/>
      <c r="AB19" s="1580"/>
      <c r="AC19" s="1580"/>
      <c r="AD19" s="1580"/>
      <c r="AE19" s="1580"/>
      <c r="AF19" s="1580"/>
      <c r="AG19" s="1580"/>
      <c r="AH19" s="1580"/>
      <c r="AI19" s="1580"/>
      <c r="AJ19" s="1580"/>
      <c r="AK19" s="1580"/>
      <c r="AL19" s="1580"/>
      <c r="AM19" s="1580"/>
    </row>
    <row r="20" spans="1:67" ht="14.25">
      <c r="A20" s="2315" t="s">
        <v>2017</v>
      </c>
      <c r="B20" s="113">
        <v>3</v>
      </c>
      <c r="C20" s="2275" t="s">
        <v>2018</v>
      </c>
      <c r="D20" s="2276"/>
      <c r="E20" s="2275"/>
      <c r="F20" s="2275"/>
      <c r="G20" s="2275"/>
      <c r="H20" s="2275"/>
      <c r="I20" s="2275"/>
      <c r="J20" s="2275"/>
      <c r="K20" s="168"/>
      <c r="L20" s="168"/>
      <c r="M20" s="1580"/>
      <c r="N20" s="1580"/>
      <c r="O20" s="1580"/>
      <c r="P20" s="1580"/>
      <c r="Q20" s="1580"/>
      <c r="R20" s="1580"/>
      <c r="S20" s="1580"/>
      <c r="T20" s="1580">
        <v>3</v>
      </c>
      <c r="U20" s="2271">
        <f>'数据-汇总表'!F20-'数据-取费表'!U22-'数据-取费表'!U21</f>
        <v>8555.1799999999985</v>
      </c>
      <c r="V20" s="1580">
        <v>0.55000000000000004</v>
      </c>
      <c r="W20" s="1580">
        <f>W22*V20</f>
        <v>5.2250000000000005</v>
      </c>
      <c r="X20" s="1580">
        <f>X22</f>
        <v>0.22</v>
      </c>
      <c r="Y20" s="1580"/>
      <c r="Z20" s="1580"/>
      <c r="AA20" s="1580"/>
      <c r="AB20" s="1580"/>
      <c r="AC20" s="1580"/>
      <c r="AD20" s="1580"/>
      <c r="AE20" s="1580"/>
      <c r="AF20" s="1580"/>
      <c r="AG20" s="1580"/>
      <c r="AH20" s="1580"/>
      <c r="AI20" s="1580"/>
      <c r="AJ20" s="1580"/>
      <c r="AK20" s="1580"/>
      <c r="AL20" s="1580"/>
      <c r="AM20" s="1580"/>
    </row>
    <row r="21" spans="1:67" ht="14.25">
      <c r="A21" s="2316" t="s">
        <v>2019</v>
      </c>
      <c r="B21" s="113">
        <f>B20*N16</f>
        <v>1.35</v>
      </c>
      <c r="C21" s="2275"/>
      <c r="D21" s="2276"/>
      <c r="E21" s="2275"/>
      <c r="F21" s="2275"/>
      <c r="G21" s="2275"/>
      <c r="H21" s="2275"/>
      <c r="I21" s="2275"/>
      <c r="J21" s="2275"/>
      <c r="K21" s="168"/>
      <c r="L21" s="168"/>
      <c r="M21" s="1580"/>
      <c r="N21" s="1580"/>
      <c r="O21" s="1580"/>
      <c r="P21" s="1580"/>
      <c r="Q21" s="1580"/>
      <c r="R21" s="1580"/>
      <c r="S21" s="1580"/>
      <c r="T21" s="1580">
        <v>2</v>
      </c>
      <c r="U21" s="2271">
        <f>U22</f>
        <v>8555.17</v>
      </c>
      <c r="V21" s="1580">
        <v>0.6</v>
      </c>
      <c r="W21" s="1580">
        <f>W22*V21</f>
        <v>5.7</v>
      </c>
      <c r="X21" s="1580">
        <f>X22</f>
        <v>0.22</v>
      </c>
      <c r="Y21" s="1580"/>
      <c r="Z21" s="1580"/>
      <c r="AA21" s="1580"/>
      <c r="AB21" s="1580"/>
      <c r="AC21" s="1580"/>
      <c r="AD21" s="1580"/>
      <c r="AE21" s="1580"/>
      <c r="AF21" s="1580"/>
      <c r="AG21" s="1580"/>
      <c r="AH21" s="1580"/>
      <c r="AI21" s="1580"/>
      <c r="AJ21" s="1580"/>
      <c r="AK21" s="1580"/>
      <c r="AL21" s="1580"/>
      <c r="AM21" s="1580"/>
    </row>
    <row r="22" spans="1:67" ht="14.25">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v>1</v>
      </c>
      <c r="U22" s="2271">
        <f>ROUND('数据-汇总表'!F20/3,2)</f>
        <v>8555.17</v>
      </c>
      <c r="V22" s="1580">
        <v>1</v>
      </c>
      <c r="W22" s="1580">
        <v>9.5</v>
      </c>
      <c r="X22" s="1580">
        <f>ROUND(U22/U24,2)</f>
        <v>0.22</v>
      </c>
      <c r="Y22" s="1580"/>
      <c r="Z22" s="1580"/>
      <c r="AA22" s="1580"/>
      <c r="AB22" s="1580"/>
      <c r="AC22" s="1580"/>
      <c r="AD22" s="1580"/>
      <c r="AE22" s="1580"/>
      <c r="AF22" s="1580"/>
      <c r="AG22" s="1580"/>
      <c r="AH22" s="1580"/>
      <c r="AI22" s="1580"/>
      <c r="AJ22" s="1580"/>
      <c r="AK22" s="1580"/>
      <c r="AL22" s="1580"/>
      <c r="AM22" s="1580"/>
    </row>
    <row r="23" spans="1:67" ht="14.25">
      <c r="A23" s="2316" t="s">
        <v>2021</v>
      </c>
      <c r="B23" s="114">
        <f>B19+B21</f>
        <v>1.35</v>
      </c>
      <c r="C23" s="2275"/>
      <c r="D23" s="2276"/>
      <c r="E23" s="2275"/>
      <c r="F23" s="2275"/>
      <c r="G23" s="2275"/>
      <c r="H23" s="2275"/>
      <c r="I23" s="2275"/>
      <c r="J23" s="2275"/>
      <c r="K23" s="168"/>
      <c r="L23" s="168"/>
      <c r="M23" s="1580"/>
      <c r="N23" s="1580"/>
      <c r="O23" s="1580"/>
      <c r="P23" s="1580"/>
      <c r="Q23" s="1580"/>
      <c r="R23" s="1580"/>
      <c r="S23" s="1580"/>
      <c r="T23" s="1580">
        <v>-1</v>
      </c>
      <c r="U23" s="1580">
        <f>'数据-汇总表'!G20</f>
        <v>13156.32</v>
      </c>
      <c r="V23" s="1580">
        <v>0.5</v>
      </c>
      <c r="W23" s="1580">
        <f>W22*V23</f>
        <v>4.75</v>
      </c>
      <c r="X23" s="1580">
        <f>ROUND(U23/U24,2)</f>
        <v>0.34</v>
      </c>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1.65</v>
      </c>
      <c r="C24" s="2275"/>
      <c r="D24" s="2276"/>
      <c r="E24" s="2275"/>
      <c r="F24" s="2275"/>
      <c r="G24" s="2275"/>
      <c r="H24" s="2275"/>
      <c r="I24" s="2275"/>
      <c r="J24" s="2275"/>
      <c r="K24" s="168"/>
      <c r="L24" s="168"/>
      <c r="M24" s="1580"/>
      <c r="N24" s="1580"/>
      <c r="O24" s="1580"/>
      <c r="P24" s="1580"/>
      <c r="Q24" s="1580"/>
      <c r="R24" s="1580"/>
      <c r="S24" s="1580"/>
      <c r="T24" s="1580"/>
      <c r="U24" s="2271">
        <f>U20+U21+U22+U23</f>
        <v>38821.839999999997</v>
      </c>
      <c r="V24" s="1580"/>
      <c r="W24" s="1580">
        <f>ROUND(W20*X20+W21*X21+W22*X22+W23*X23,1)</f>
        <v>6.1</v>
      </c>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2026</v>
      </c>
      <c r="B27" s="116"/>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v>1918</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1" t="s">
        <v>2080</v>
      </c>
      <c r="B1" s="3072"/>
      <c r="C1" s="3072"/>
      <c r="D1" s="3072"/>
      <c r="E1" s="3072"/>
      <c r="F1" s="3072"/>
      <c r="G1" s="307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4" t="s">
        <v>2097</v>
      </c>
      <c r="C8" s="2373" t="s">
        <v>2098</v>
      </c>
      <c r="D8" s="2374"/>
      <c r="E8" s="2374"/>
      <c r="F8" s="1133"/>
      <c r="G8" s="1133"/>
      <c r="H8" s="2365"/>
      <c r="I8" s="2365"/>
      <c r="J8" s="2365"/>
      <c r="K8" s="2365"/>
      <c r="L8" s="2365"/>
      <c r="M8" s="2365"/>
      <c r="N8" s="2365"/>
      <c r="O8" s="2365"/>
      <c r="P8" s="2365"/>
      <c r="Q8" s="2365"/>
      <c r="R8" s="2365"/>
    </row>
    <row r="9" spans="1:29" ht="27">
      <c r="A9" s="431"/>
      <c r="B9" s="1794"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8"/>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8"/>
      <c r="D19" s="2368"/>
      <c r="E19" s="2404"/>
      <c r="F19" s="1794"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4" t="s">
        <v>2113</v>
      </c>
      <c r="G20" s="136" t="str">
        <f>G6</f>
        <v>估价对象所在区域基础设施水平</v>
      </c>
    </row>
    <row r="21" spans="1:18" ht="28.5">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95896.06</v>
      </c>
      <c r="C1" s="1741"/>
      <c r="D1" s="1741"/>
      <c r="E1" s="1741"/>
      <c r="F1" s="1741"/>
      <c r="G1" s="1739"/>
    </row>
    <row r="2" spans="1:10" ht="16.5">
      <c r="A2" s="1742" t="s">
        <v>1349</v>
      </c>
      <c r="B2" s="1742">
        <f>SUM(C14:C23)</f>
        <v>15644.81</v>
      </c>
      <c r="C2" s="1741"/>
      <c r="D2" s="1741"/>
      <c r="E2" s="1741"/>
      <c r="F2" s="1741"/>
      <c r="G2" s="1739"/>
    </row>
    <row r="3" spans="1:10" ht="16.5">
      <c r="A3" s="1742" t="s">
        <v>1358</v>
      </c>
      <c r="B3" s="1743">
        <f>项目基本情况!D3</f>
        <v>43782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134635</v>
      </c>
      <c r="C5" s="1742">
        <f ca="1">ROUND(B5*10000/$B$1,0)</f>
        <v>14040</v>
      </c>
      <c r="D5" s="1742">
        <f ca="1">ROUND(B5*10000/$B$2,0)</f>
        <v>86057</v>
      </c>
      <c r="E5" s="1741"/>
      <c r="F5" s="1739"/>
      <c r="G5" s="1739"/>
    </row>
    <row r="6" spans="1:10" ht="16.5">
      <c r="A6" s="1742" t="s">
        <v>1352</v>
      </c>
      <c r="B6" s="1742">
        <f ca="1">SUM(G14:G23)</f>
        <v>134635</v>
      </c>
      <c r="C6" s="1742">
        <f ca="1">ROUND(B6*10000/$B$1,0)</f>
        <v>14040</v>
      </c>
      <c r="D6" s="1742">
        <f ca="1">ROUND(B6*10000/$B$2,0)</f>
        <v>86057</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95896.06</v>
      </c>
      <c r="C14" s="1740">
        <f>结果表!C118</f>
        <v>15644.81</v>
      </c>
      <c r="D14" s="1740">
        <f ca="1">结果表!H118</f>
        <v>134635</v>
      </c>
      <c r="E14" s="1740">
        <f ca="1">ROUND(D14*10000/B14,0)</f>
        <v>14040</v>
      </c>
      <c r="F14" s="1740">
        <f ca="1">ROUND(D14*10000/C14,0)</f>
        <v>86057</v>
      </c>
      <c r="G14" s="1740">
        <f ca="1">结果表!D122</f>
        <v>134635</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Normal="100" zoomScaleSheetLayoutView="100" zoomScalePageLayoutView="80" workbookViewId="0">
      <selection activeCell="D110" sqref="D11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06" t="str">
        <f>项目基本情况!S2</f>
        <v>北京市出让国有建设用地使用权及在建建筑物房地产</v>
      </c>
      <c r="B2" s="3107"/>
      <c r="C2" s="3107"/>
      <c r="D2" s="3107"/>
      <c r="E2" s="3107"/>
      <c r="F2" s="3107"/>
      <c r="G2" s="3107"/>
      <c r="H2" s="3107"/>
      <c r="I2" s="3108"/>
    </row>
    <row r="3" spans="1:12" ht="12.75">
      <c r="A3" s="3110" t="s">
        <v>2120</v>
      </c>
      <c r="B3" s="3111"/>
      <c r="C3" s="3111"/>
      <c r="D3" s="3111"/>
      <c r="E3" s="3111"/>
      <c r="F3" s="3111"/>
      <c r="G3" s="3111"/>
      <c r="H3" s="3111"/>
      <c r="I3" s="3111"/>
    </row>
    <row r="4" spans="1:12" ht="14.25">
      <c r="A4" s="2423" t="s">
        <v>2121</v>
      </c>
      <c r="B4" s="2424" t="s">
        <v>2122</v>
      </c>
      <c r="C4" s="2425" t="s">
        <v>3161</v>
      </c>
      <c r="D4" s="2425" t="s">
        <v>3162</v>
      </c>
      <c r="E4" s="3103" t="s">
        <v>2123</v>
      </c>
      <c r="F4" s="3104"/>
      <c r="G4" s="3104"/>
      <c r="H4" s="3104"/>
      <c r="I4" s="311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86" t="s">
        <v>2124</v>
      </c>
      <c r="B5" s="3024">
        <v>25</v>
      </c>
      <c r="C5" s="3089"/>
      <c r="D5" s="3109"/>
      <c r="E5" s="140" t="s">
        <v>2125</v>
      </c>
      <c r="F5" s="2427"/>
      <c r="G5" s="2427"/>
      <c r="H5" s="2427"/>
      <c r="I5" s="1830"/>
    </row>
    <row r="6" spans="1:12" ht="12.75">
      <c r="A6" s="3086"/>
      <c r="B6" s="3024"/>
      <c r="C6" s="3090"/>
      <c r="D6" s="3109"/>
      <c r="E6" s="140" t="s">
        <v>2126</v>
      </c>
      <c r="F6" s="2427"/>
      <c r="G6" s="2427"/>
      <c r="H6" s="2427"/>
      <c r="I6" s="1830"/>
    </row>
    <row r="7" spans="1:12" ht="12.75">
      <c r="A7" s="3086"/>
      <c r="B7" s="3024"/>
      <c r="C7" s="3091"/>
      <c r="D7" s="3109"/>
      <c r="E7" s="140" t="s">
        <v>2127</v>
      </c>
      <c r="F7" s="2427"/>
      <c r="G7" s="2427"/>
      <c r="H7" s="2427"/>
      <c r="I7" s="1830"/>
    </row>
    <row r="8" spans="1:12" ht="12.75">
      <c r="A8" s="3086" t="s">
        <v>2128</v>
      </c>
      <c r="B8" s="3024">
        <v>15</v>
      </c>
      <c r="C8" s="3089"/>
      <c r="D8" s="3109"/>
      <c r="E8" s="140" t="s">
        <v>2129</v>
      </c>
      <c r="F8" s="2427"/>
      <c r="G8" s="2427"/>
      <c r="H8" s="2427"/>
      <c r="I8" s="1830"/>
    </row>
    <row r="9" spans="1:12" ht="12.75">
      <c r="A9" s="3086"/>
      <c r="B9" s="3024"/>
      <c r="C9" s="3091"/>
      <c r="D9" s="3109"/>
      <c r="E9" s="140" t="s">
        <v>2130</v>
      </c>
      <c r="F9" s="2427"/>
      <c r="G9" s="2427"/>
      <c r="H9" s="2427"/>
      <c r="I9" s="1830"/>
    </row>
    <row r="10" spans="1:12" ht="12.75">
      <c r="A10" s="3086" t="s">
        <v>2131</v>
      </c>
      <c r="B10" s="3024">
        <v>15</v>
      </c>
      <c r="C10" s="3089"/>
      <c r="D10" s="3109"/>
      <c r="E10" s="140" t="s">
        <v>2132</v>
      </c>
      <c r="F10" s="2427"/>
      <c r="G10" s="2427"/>
      <c r="H10" s="2427"/>
      <c r="I10" s="1830"/>
    </row>
    <row r="11" spans="1:12" ht="12.75">
      <c r="A11" s="3086"/>
      <c r="B11" s="3024"/>
      <c r="C11" s="3091"/>
      <c r="D11" s="3109"/>
      <c r="E11" s="140" t="s">
        <v>2133</v>
      </c>
      <c r="F11" s="2427"/>
      <c r="G11" s="2427"/>
      <c r="H11" s="2427"/>
      <c r="I11" s="1830"/>
    </row>
    <row r="12" spans="1:12" ht="12.75">
      <c r="A12" s="3086" t="s">
        <v>2134</v>
      </c>
      <c r="B12" s="3024">
        <v>15</v>
      </c>
      <c r="C12" s="3089"/>
      <c r="D12" s="3109"/>
      <c r="E12" s="140" t="s">
        <v>2135</v>
      </c>
      <c r="F12" s="2427"/>
      <c r="G12" s="2427"/>
      <c r="H12" s="2427"/>
      <c r="I12" s="1830"/>
    </row>
    <row r="13" spans="1:12" ht="12.75">
      <c r="A13" s="3086"/>
      <c r="B13" s="3024"/>
      <c r="C13" s="3091"/>
      <c r="D13" s="3109"/>
      <c r="E13" s="140" t="s">
        <v>2136</v>
      </c>
      <c r="F13" s="2427"/>
      <c r="G13" s="2427"/>
      <c r="H13" s="2427"/>
      <c r="I13" s="1830"/>
    </row>
    <row r="14" spans="1:12" ht="12.75">
      <c r="A14" s="3086" t="s">
        <v>2137</v>
      </c>
      <c r="B14" s="3024">
        <v>30</v>
      </c>
      <c r="C14" s="3089">
        <v>7</v>
      </c>
      <c r="D14" s="3109">
        <v>3</v>
      </c>
      <c r="E14" s="140" t="s">
        <v>2138</v>
      </c>
      <c r="F14" s="2427"/>
      <c r="G14" s="2427"/>
      <c r="H14" s="2427"/>
      <c r="I14" s="1830"/>
    </row>
    <row r="15" spans="1:12" ht="12.75">
      <c r="A15" s="3086"/>
      <c r="B15" s="3024"/>
      <c r="C15" s="3090"/>
      <c r="D15" s="3109"/>
      <c r="E15" s="140" t="s">
        <v>2139</v>
      </c>
      <c r="F15" s="2427"/>
      <c r="G15" s="2427"/>
      <c r="H15" s="2427"/>
      <c r="I15" s="1830"/>
    </row>
    <row r="16" spans="1:12" ht="12.75">
      <c r="A16" s="3086"/>
      <c r="B16" s="3024"/>
      <c r="C16" s="3091"/>
      <c r="D16" s="3109"/>
      <c r="E16" s="140" t="s">
        <v>2140</v>
      </c>
      <c r="F16" s="2427"/>
      <c r="G16" s="2427"/>
      <c r="H16" s="2427"/>
      <c r="I16" s="1830"/>
    </row>
    <row r="17" spans="1:35" ht="15">
      <c r="A17" s="2428" t="s">
        <v>2141</v>
      </c>
      <c r="B17" s="64"/>
      <c r="C17" s="141">
        <f>SUM(C5:C16)</f>
        <v>7</v>
      </c>
      <c r="D17" s="141">
        <f>SUM(D5:D16)</f>
        <v>3</v>
      </c>
      <c r="E17" s="138"/>
      <c r="F17" s="138"/>
      <c r="G17" s="138"/>
      <c r="H17" s="138"/>
      <c r="I17" s="138"/>
      <c r="K17" s="2426"/>
      <c r="L17" s="2429" t="s">
        <v>2142</v>
      </c>
      <c r="M17" s="2429" t="s">
        <v>2143</v>
      </c>
    </row>
    <row r="18" spans="1:35" ht="15.75" thickBot="1">
      <c r="A18" s="2430" t="s">
        <v>2144</v>
      </c>
      <c r="B18" s="2431"/>
      <c r="C18" s="142">
        <f>ROUND(C17/SUM(C17:D17),2)</f>
        <v>0.7</v>
      </c>
      <c r="D18" s="142">
        <f>1-C18</f>
        <v>0.30000000000000004</v>
      </c>
      <c r="E18" s="138"/>
      <c r="F18" s="138"/>
      <c r="G18" s="138"/>
      <c r="H18" s="138"/>
      <c r="I18" s="138"/>
      <c r="K18" s="2426" t="s">
        <v>2145</v>
      </c>
      <c r="L18" s="2426">
        <f>IF(C1="",'数据-汇总表'!E3,SUMIF(项目类型,C1,'数据-汇总表'!E17:E26)+SUMIF(项目类型,C1,'数据-汇总表'!I17:I26))</f>
        <v>95896.06</v>
      </c>
      <c r="M18" s="2426">
        <f>IF(C1="",'数据-汇总表'!E3,SUMIF(项目类型,C1,'数据-汇总表'!E17:E26))</f>
        <v>95896.06</v>
      </c>
    </row>
    <row r="19" spans="1:35" ht="15">
      <c r="A19" s="2432" t="s">
        <v>2146</v>
      </c>
      <c r="B19" s="2433" t="s">
        <v>2147</v>
      </c>
      <c r="C19" s="143">
        <f ca="1">SUMIF(INDIRECT("'"&amp;C4&amp;"'"&amp;"!A:A"),结果表!B19,INDIRECT("'"&amp;C4&amp;"'"&amp;"!B:B"))</f>
        <v>141978</v>
      </c>
      <c r="D19" s="144">
        <f ca="1">SUMIF(INDIRECT("'"&amp;D4&amp;"'"&amp;"!A:A"),结果表!B19,INDIRECT("'"&amp;D4&amp;"'"&amp;"!B:B"))</f>
        <v>117502</v>
      </c>
      <c r="E19" s="2432" t="s">
        <v>2148</v>
      </c>
      <c r="F19" s="2433" t="s">
        <v>2147</v>
      </c>
      <c r="G19" s="145">
        <f ca="1">ROUND(C19*$C$18+D19*$D$18,0)</f>
        <v>134635</v>
      </c>
      <c r="H19" s="2434" t="s">
        <v>2149</v>
      </c>
      <c r="I19" s="138"/>
      <c r="K19" s="2426" t="s">
        <v>2150</v>
      </c>
      <c r="L19" s="2426">
        <f>IF(C1="",'数据-汇总表'!D3,SUMIF(项目类型,C1,'数据-汇总表'!D17:D26)+SUMIF(项目类型,C1,'数据-汇总表'!H17:H27))</f>
        <v>15644.81</v>
      </c>
      <c r="M19" s="2426">
        <f>IF(C1="",'数据-汇总表'!D3,SUMIF(项目类型,C1,'数据-汇总表'!D17:D26))</f>
        <v>15644.81</v>
      </c>
    </row>
    <row r="20" spans="1:35" ht="15">
      <c r="A20" s="2435"/>
      <c r="B20" s="1247" t="s">
        <v>2151</v>
      </c>
      <c r="C20" s="146">
        <f ca="1">SUMIF(INDIRECT("'"&amp;C4&amp;"'"&amp;"!A:A"),结果表!B20,INDIRECT("'"&amp;C4&amp;"'"&amp;"!B:B"))</f>
        <v>14805</v>
      </c>
      <c r="D20" s="147">
        <f ca="1">SUMIF(INDIRECT("'"&amp;D4&amp;"'"&amp;"!A:A"),结果表!B20,INDIRECT("'"&amp;D4&amp;"'"&amp;"!B:B"))</f>
        <v>12253</v>
      </c>
      <c r="E20" s="2435"/>
      <c r="F20" s="1247" t="s">
        <v>2151</v>
      </c>
      <c r="G20" s="148">
        <f ca="1">ROUND(C20*$C$18+D20*$D$18,0)</f>
        <v>14039</v>
      </c>
      <c r="H20" s="980" t="s">
        <v>2152</v>
      </c>
      <c r="I20" s="138"/>
    </row>
    <row r="21" spans="1:35" ht="15" customHeight="1" thickBot="1">
      <c r="A21" s="1000"/>
      <c r="B21" s="2436" t="s">
        <v>2153</v>
      </c>
      <c r="C21" s="789">
        <f ca="1">ROUND(C19*10000/L19,0)</f>
        <v>90751</v>
      </c>
      <c r="D21" s="790">
        <f ca="1">ROUND(D19*10000/L19,0)</f>
        <v>75106</v>
      </c>
      <c r="E21" s="1000"/>
      <c r="F21" s="2436" t="s">
        <v>2153</v>
      </c>
      <c r="G21" s="149">
        <f ca="1">ROUND(G19*10000/L19,0)</f>
        <v>86057</v>
      </c>
      <c r="H21" s="2437" t="s">
        <v>2152</v>
      </c>
      <c r="I21" s="138"/>
    </row>
    <row r="22" spans="1:35" ht="15" thickBot="1">
      <c r="A22" s="2279" t="s">
        <v>2154</v>
      </c>
      <c r="B22" s="2438"/>
      <c r="C22" s="2439"/>
      <c r="D22" s="791">
        <f ca="1">IF(C19&lt;D19,D19/C19-1,C19/D19-1)</f>
        <v>0.2083028373985123</v>
      </c>
      <c r="E22" s="138"/>
      <c r="F22" s="138"/>
      <c r="G22" s="138"/>
      <c r="H22" s="138"/>
      <c r="I22" s="138"/>
    </row>
    <row r="23" spans="1:35" ht="13.5" thickBot="1">
      <c r="A23" s="2416"/>
      <c r="B23" s="2416"/>
      <c r="C23" s="2416"/>
      <c r="D23" s="2416"/>
      <c r="E23" s="138"/>
      <c r="F23" s="138"/>
      <c r="G23" s="138"/>
      <c r="H23" s="138"/>
      <c r="I23" s="138"/>
    </row>
    <row r="24" spans="1:35" ht="14.25">
      <c r="A24" s="3080" t="s">
        <v>2155</v>
      </c>
      <c r="B24" s="2433" t="s">
        <v>2147</v>
      </c>
      <c r="C24" s="145">
        <f>IF(B30=0,0,D30)</f>
        <v>0</v>
      </c>
      <c r="D24" s="2440"/>
      <c r="E24" s="138"/>
      <c r="F24" s="138"/>
      <c r="G24" s="138"/>
      <c r="H24" s="138"/>
      <c r="I24" s="138"/>
    </row>
    <row r="25" spans="1:35" ht="14.25">
      <c r="A25" s="3081"/>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134635</v>
      </c>
      <c r="D32" s="2447" t="s">
        <v>2162</v>
      </c>
      <c r="E32" s="138"/>
      <c r="F32" s="138"/>
      <c r="G32" s="138"/>
      <c r="H32" s="138"/>
      <c r="I32" s="138"/>
    </row>
    <row r="33" spans="1:15" ht="15">
      <c r="A33" s="957" t="s">
        <v>2163</v>
      </c>
      <c r="B33" s="2448"/>
      <c r="C33" s="2449" t="s">
        <v>3166</v>
      </c>
      <c r="D33" s="2450" t="s">
        <v>3161</v>
      </c>
      <c r="E33" s="2451" t="s">
        <v>2164</v>
      </c>
      <c r="F33" s="2452" t="str">
        <f>IF(D32="楼面单价","取值（单价）","取值（总价）")</f>
        <v>取值（总价）</v>
      </c>
      <c r="G33" s="138"/>
      <c r="H33" s="138"/>
      <c r="I33" s="138"/>
    </row>
    <row r="34" spans="1:15" ht="15">
      <c r="A34" s="2453"/>
      <c r="B34" s="2454" t="s">
        <v>2165</v>
      </c>
      <c r="C34" s="157">
        <f ca="1">IF(C33="自定义",F34,C32-C35)</f>
        <v>111343</v>
      </c>
      <c r="D34" s="1055">
        <f ca="1">IF(C33="自定义",ROUND(C34/C32,3),IF(C33="收益比率",SUMIF(INDIRECT("'"&amp;D33&amp;"'"&amp;"!b:b"),"土地收益比率",INDIRECT("'"&amp;D33&amp;"'"&amp;"!c:c")),SUMIF(INDIRECT("'"&amp;D33&amp;"'"&amp;"!b:b"),"土地成本比率",INDIRECT("'"&amp;D33&amp;"'"&amp;"!c:c"))))</f>
        <v>0.82699999999999996</v>
      </c>
      <c r="E34" s="2455" t="s">
        <v>2166</v>
      </c>
      <c r="F34" s="1735"/>
      <c r="G34" s="138"/>
      <c r="H34" s="138"/>
      <c r="I34" s="138"/>
    </row>
    <row r="35" spans="1:15" ht="15.75" thickBot="1">
      <c r="A35" s="2456"/>
      <c r="B35" s="2457" t="s">
        <v>2167</v>
      </c>
      <c r="C35" s="1441">
        <f ca="1">IF(C33="自定义",F35,ROUND(C32*D35,0))</f>
        <v>23292</v>
      </c>
      <c r="D35" s="1442">
        <f ca="1">IF(C33="自定义",ROUND(C35/C32,3),IF(C33="收益比率",SUMIF(INDIRECT("'"&amp;D33&amp;"'"&amp;"!b:b"),"建筑物收益比率",INDIRECT("'"&amp;D33&amp;"'"&amp;"!c:c")),SUMIF(INDIRECT("'"&amp;D33&amp;"'"&amp;"!b:b"),"建筑物成本比率",INDIRECT("'"&amp;D33&amp;"'"&amp;"!c:c"))))</f>
        <v>0.17299999999999999</v>
      </c>
      <c r="E35" s="2458" t="s">
        <v>2168</v>
      </c>
      <c r="F35" s="163"/>
      <c r="G35" s="138"/>
      <c r="H35" s="138"/>
      <c r="I35" s="138"/>
    </row>
    <row r="36" spans="1:15" ht="15.75" thickBot="1">
      <c r="A36" s="3098" t="s">
        <v>2169</v>
      </c>
      <c r="B36" s="2459" t="s">
        <v>2170</v>
      </c>
      <c r="C36" s="154"/>
      <c r="D36" s="2460"/>
      <c r="E36" s="2461"/>
      <c r="F36" s="2462"/>
      <c r="G36" s="138"/>
      <c r="H36" s="138"/>
      <c r="I36" s="138"/>
    </row>
    <row r="37" spans="1:15" ht="15.75" thickBot="1">
      <c r="A37" s="3099"/>
      <c r="B37" s="2265" t="s">
        <v>2171</v>
      </c>
      <c r="C37" s="156"/>
      <c r="D37" s="1392"/>
      <c r="E37" s="1392"/>
      <c r="F37" s="2462"/>
      <c r="G37" s="138"/>
      <c r="H37" s="138"/>
      <c r="I37" s="138"/>
    </row>
    <row r="38" spans="1:15" ht="15.75" thickBot="1">
      <c r="A38" s="3100"/>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77" t="s">
        <v>2183</v>
      </c>
      <c r="B45" s="3078"/>
      <c r="C45" s="3079"/>
      <c r="D45" s="164">
        <f ca="1">ROUND(H101*F45,0)</f>
        <v>134635</v>
      </c>
      <c r="E45" s="165" t="s">
        <v>2184</v>
      </c>
      <c r="F45" s="166">
        <v>1</v>
      </c>
      <c r="G45" s="167" t="s">
        <v>2185</v>
      </c>
      <c r="H45" s="138"/>
      <c r="I45" s="138"/>
      <c r="J45" s="3137" t="s">
        <v>2186</v>
      </c>
      <c r="K45" s="3137"/>
      <c r="L45" s="3137"/>
      <c r="M45" s="3137"/>
      <c r="N45" s="3137"/>
      <c r="O45" s="3137"/>
    </row>
    <row r="46" spans="1:15" ht="14.25" customHeight="1">
      <c r="A46" s="3074" t="s">
        <v>2187</v>
      </c>
      <c r="B46" s="3075"/>
      <c r="C46" s="3075"/>
      <c r="D46" s="3075"/>
      <c r="E46" s="3075"/>
      <c r="F46" s="3075"/>
      <c r="G46" s="3076"/>
      <c r="H46" s="2478"/>
      <c r="I46" s="168"/>
      <c r="J46" s="1808">
        <v>1</v>
      </c>
      <c r="K46" s="3137" t="s">
        <v>2188</v>
      </c>
      <c r="L46" s="3137"/>
      <c r="M46" s="3157"/>
      <c r="N46" s="3157"/>
      <c r="O46" s="3157"/>
    </row>
    <row r="47" spans="1:15" ht="12" customHeight="1">
      <c r="A47" s="169" t="s">
        <v>2189</v>
      </c>
      <c r="B47" s="170"/>
      <c r="C47" s="171"/>
      <c r="D47" s="172" t="s">
        <v>2190</v>
      </c>
      <c r="E47" s="24" t="s">
        <v>2191</v>
      </c>
      <c r="F47" s="173" t="s">
        <v>2192</v>
      </c>
      <c r="G47" s="174" t="s">
        <v>2193</v>
      </c>
      <c r="H47" s="2478"/>
      <c r="I47" s="168"/>
      <c r="J47" s="1808">
        <v>2</v>
      </c>
      <c r="K47" s="3137" t="s">
        <v>2194</v>
      </c>
      <c r="L47" s="3137"/>
      <c r="M47" s="3158">
        <f>'数据-取费表'!B2</f>
        <v>43782</v>
      </c>
      <c r="N47" s="3158"/>
      <c r="O47" s="3158"/>
    </row>
    <row r="48" spans="1:15" ht="25.5">
      <c r="A48" s="3105" t="s">
        <v>2195</v>
      </c>
      <c r="B48" s="3088"/>
      <c r="C48" s="3088"/>
      <c r="D48" s="140">
        <f>IF(H48="情况1",0,IF(H48="情况2",D52,IF(H48="情况3",D53,IF(H48="情况4",D54))))</f>
        <v>0</v>
      </c>
      <c r="E48" s="1797" t="str">
        <f>IF(H48="情况4","(销售额-原购置价)×税（费）率","销售额×税（费）率")</f>
        <v>销售额×税（费）率</v>
      </c>
      <c r="F48" s="175" t="str">
        <f>IF(H48="情况1","免征",'数据-取费表'!B41)</f>
        <v>免征</v>
      </c>
      <c r="G48" s="2479" t="s">
        <v>2196</v>
      </c>
      <c r="H48" s="2480" t="s">
        <v>2197</v>
      </c>
      <c r="I48" s="2478"/>
      <c r="J48" s="1808">
        <v>3</v>
      </c>
      <c r="K48" s="3137" t="s">
        <v>2198</v>
      </c>
      <c r="L48" s="3137"/>
      <c r="M48" s="3159">
        <f ca="1">H101</f>
        <v>134635</v>
      </c>
      <c r="N48" s="3159"/>
      <c r="O48" s="3159"/>
    </row>
    <row r="49" spans="1:35" ht="25.5" customHeight="1">
      <c r="A49" s="176" t="s">
        <v>2199</v>
      </c>
      <c r="B49" s="3073" t="s">
        <v>2200</v>
      </c>
      <c r="C49" s="3073"/>
      <c r="D49" s="177">
        <v>0</v>
      </c>
      <c r="E49" s="23" t="s">
        <v>2201</v>
      </c>
      <c r="F49" s="28" t="s">
        <v>34</v>
      </c>
      <c r="G49" s="3143"/>
      <c r="H49" s="138"/>
      <c r="I49" s="2481"/>
      <c r="J49" s="1808">
        <v>4</v>
      </c>
      <c r="K49" s="3137" t="str">
        <f>IF(项目基本情况!E8="房地产抵押价值","房地产抵押价值","抵押担保权已注销时的房地产抵押价值")</f>
        <v>房地产抵押价值</v>
      </c>
      <c r="L49" s="3137"/>
      <c r="M49" s="3159">
        <f ca="1">IF(项目基本情况!E8="房地产抵押价值",H107,H109)</f>
        <v>134635</v>
      </c>
      <c r="N49" s="3159"/>
      <c r="O49" s="3159"/>
    </row>
    <row r="50" spans="1:35" ht="25.5" customHeight="1">
      <c r="A50" s="178"/>
      <c r="B50" s="3073" t="s">
        <v>2202</v>
      </c>
      <c r="C50" s="3073"/>
      <c r="D50" s="179"/>
      <c r="E50" s="31"/>
      <c r="F50" s="180"/>
      <c r="G50" s="3144"/>
      <c r="H50" s="138"/>
      <c r="I50" s="2481"/>
      <c r="J50" s="3137" t="s">
        <v>2203</v>
      </c>
      <c r="K50" s="3137"/>
      <c r="L50" s="3137"/>
      <c r="M50" s="3137"/>
      <c r="N50" s="3137"/>
      <c r="O50" s="3137"/>
    </row>
    <row r="51" spans="1:35" ht="12" customHeight="1">
      <c r="A51" s="181"/>
      <c r="B51" s="3073" t="s">
        <v>2204</v>
      </c>
      <c r="C51" s="3073"/>
      <c r="D51" s="182"/>
      <c r="E51" s="30"/>
      <c r="F51" s="180"/>
      <c r="G51" s="3145"/>
      <c r="H51" s="138"/>
      <c r="I51" s="2481"/>
      <c r="J51" s="2482" t="s">
        <v>2205</v>
      </c>
      <c r="K51" s="3137" t="s">
        <v>2206</v>
      </c>
      <c r="L51" s="3137"/>
      <c r="M51" s="2482" t="s">
        <v>2207</v>
      </c>
      <c r="N51" s="2482" t="s">
        <v>2208</v>
      </c>
      <c r="O51" s="2482" t="s">
        <v>2209</v>
      </c>
    </row>
    <row r="52" spans="1:35" ht="24" customHeight="1">
      <c r="A52" s="183" t="s">
        <v>2210</v>
      </c>
      <c r="B52" s="3073" t="s">
        <v>2211</v>
      </c>
      <c r="C52" s="3073"/>
      <c r="D52" s="182">
        <f ca="1">ROUND(D45*'数据-取费表'!B41/(1+'数据-取费表'!C42),0)</f>
        <v>7052</v>
      </c>
      <c r="E52" s="11" t="s">
        <v>2212</v>
      </c>
      <c r="F52" s="184">
        <f>'数据-取费表'!B41</f>
        <v>5.5000000000000007E-2</v>
      </c>
      <c r="G52" s="2483"/>
      <c r="H52" s="138"/>
      <c r="I52" s="2481"/>
      <c r="J52" s="1808">
        <v>1</v>
      </c>
      <c r="K52" s="3138" t="s">
        <v>2213</v>
      </c>
      <c r="L52" s="3138"/>
      <c r="M52" s="1750">
        <f>D48</f>
        <v>0</v>
      </c>
      <c r="N52" s="1808" t="str">
        <f>E48</f>
        <v>销售额×税（费）率</v>
      </c>
      <c r="O52" s="1751" t="str">
        <f>F48</f>
        <v>免征</v>
      </c>
    </row>
    <row r="53" spans="1:35" ht="12" customHeight="1">
      <c r="A53" s="183" t="s">
        <v>2214</v>
      </c>
      <c r="B53" s="3096" t="s">
        <v>2215</v>
      </c>
      <c r="C53" s="3097"/>
      <c r="D53" s="182">
        <f ca="1">ROUND(D45*'数据-取费表'!B41/(1+'数据-取费表'!C42),0)</f>
        <v>7052</v>
      </c>
      <c r="E53" s="11" t="s">
        <v>2212</v>
      </c>
      <c r="F53" s="184">
        <f>'数据-取费表'!B41</f>
        <v>5.5000000000000007E-2</v>
      </c>
      <c r="G53" s="2483"/>
      <c r="H53" s="138"/>
      <c r="I53" s="2481"/>
      <c r="J53" s="1808">
        <v>2</v>
      </c>
      <c r="K53" s="3138" t="s">
        <v>2216</v>
      </c>
      <c r="L53" s="3138"/>
      <c r="M53" s="1750">
        <f t="shared" ref="M53:O54" ca="1" si="0">D55</f>
        <v>67</v>
      </c>
      <c r="N53" s="1808" t="str">
        <f t="shared" si="0"/>
        <v>销售额×税（费）率</v>
      </c>
      <c r="O53" s="1751">
        <f t="shared" si="0"/>
        <v>5.0000000000000001E-4</v>
      </c>
    </row>
    <row r="54" spans="1:35" ht="12" customHeight="1">
      <c r="A54" s="183" t="s">
        <v>2217</v>
      </c>
      <c r="B54" s="3096" t="s">
        <v>2218</v>
      </c>
      <c r="C54" s="3097"/>
      <c r="D54" s="182">
        <f ca="1">C68</f>
        <v>7052</v>
      </c>
      <c r="E54" s="30" t="s">
        <v>2219</v>
      </c>
      <c r="F54" s="184">
        <f>'数据-取费表'!B41</f>
        <v>5.5000000000000007E-2</v>
      </c>
      <c r="G54" s="2483"/>
      <c r="H54" s="2484"/>
      <c r="I54" s="2481"/>
      <c r="J54" s="1808">
        <v>3</v>
      </c>
      <c r="K54" s="3138" t="s">
        <v>2220</v>
      </c>
      <c r="L54" s="3138"/>
      <c r="M54" s="1750">
        <f t="shared" ca="1" si="0"/>
        <v>76325</v>
      </c>
      <c r="N54" s="1808" t="str">
        <f t="shared" si="0"/>
        <v>增值额×税（费）率</v>
      </c>
      <c r="O54" s="1752" t="str">
        <f t="shared" si="0"/>
        <v>——</v>
      </c>
    </row>
    <row r="55" spans="1:35" ht="24" customHeight="1">
      <c r="A55" s="3087" t="s">
        <v>2221</v>
      </c>
      <c r="B55" s="3088"/>
      <c r="C55" s="3088"/>
      <c r="D55" s="185">
        <f ca="1">IF(H55="个人住宅",0,ROUND(D45*I55,0))</f>
        <v>67</v>
      </c>
      <c r="E55" s="11" t="s">
        <v>2222</v>
      </c>
      <c r="F55" s="184">
        <f>IF(H55="正常",I55,"免征")</f>
        <v>5.0000000000000001E-4</v>
      </c>
      <c r="G55" s="2483"/>
      <c r="H55" s="2480" t="s">
        <v>2223</v>
      </c>
      <c r="I55" s="186">
        <f>'数据-取费表'!B49</f>
        <v>5.0000000000000001E-4</v>
      </c>
      <c r="J55" s="1808" t="str">
        <f>IF(H59="非个人房产","",4)</f>
        <v/>
      </c>
      <c r="K55" s="3138" t="str">
        <f>IF(H59="非个人房产","——","个人所得税")</f>
        <v>——</v>
      </c>
      <c r="L55" s="3138"/>
      <c r="M55" s="1753" t="str">
        <f>D59</f>
        <v>——</v>
      </c>
      <c r="N55" s="1806" t="str">
        <f>E59</f>
        <v>——</v>
      </c>
      <c r="O55" s="1754" t="str">
        <f>F59</f>
        <v>——</v>
      </c>
    </row>
    <row r="56" spans="1:35" ht="24.75">
      <c r="A56" s="3087" t="s">
        <v>2224</v>
      </c>
      <c r="B56" s="3088"/>
      <c r="C56" s="3088"/>
      <c r="D56" s="185">
        <f ca="1">IF(H56="个人住宅",D57,D58)</f>
        <v>76325</v>
      </c>
      <c r="E56" s="11" t="s">
        <v>2225</v>
      </c>
      <c r="F56" s="184" t="str">
        <f>IF(H56="正常",F58,"免征")</f>
        <v>——</v>
      </c>
      <c r="G56" s="2485" t="s">
        <v>2226</v>
      </c>
      <c r="H56" s="2486" t="s">
        <v>2223</v>
      </c>
      <c r="I56" s="2487"/>
      <c r="J56" s="1808" t="str">
        <f>IF(项目基本情况!K6="上海银行",IF(J55="",4,J55+1),"")</f>
        <v/>
      </c>
      <c r="K56" s="3161" t="str">
        <f>IF(项目基本情况!K6="上海银行","其他处置费用","")</f>
        <v/>
      </c>
      <c r="L56" s="3162"/>
      <c r="M56" s="1750" t="str">
        <f>IF(项目基本情况!K6="上海银行",M69,"")</f>
        <v/>
      </c>
      <c r="N56" s="3164" t="str">
        <f>IF(项目基本情况!K6="上海银行","包含处置中涉及的律师、诉讼、拍卖、评估等费用","")</f>
        <v/>
      </c>
      <c r="O56" s="3165"/>
    </row>
    <row r="57" spans="1:35" ht="12.75">
      <c r="A57" s="183" t="s">
        <v>2199</v>
      </c>
      <c r="B57" s="3103" t="s">
        <v>2227</v>
      </c>
      <c r="C57" s="3112"/>
      <c r="D57" s="187">
        <v>0</v>
      </c>
      <c r="E57" s="23" t="s">
        <v>2201</v>
      </c>
      <c r="F57" s="155"/>
      <c r="G57" s="2483"/>
      <c r="H57" s="2487"/>
      <c r="I57" s="2487"/>
      <c r="J57" s="3138">
        <f>IF(AND(J55="",J56=""),4,IF(项目基本情况!K6="上海银行",结果表!J56+1,结果表!J55+1))</f>
        <v>4</v>
      </c>
      <c r="K57" s="3138" t="s">
        <v>2228</v>
      </c>
      <c r="L57" s="2488" t="s">
        <v>2229</v>
      </c>
      <c r="M57" s="1755"/>
      <c r="N57" s="1756">
        <f ca="1">SUMIF(M52:M56,"&lt;9e307")</f>
        <v>76392</v>
      </c>
      <c r="O57" s="2489"/>
      <c r="P57" s="1749">
        <f ca="1">N57/M49</f>
        <v>0.5674007501764029</v>
      </c>
    </row>
    <row r="58" spans="1:35" ht="24.75">
      <c r="A58" s="183" t="s">
        <v>2210</v>
      </c>
      <c r="B58" s="3103" t="s">
        <v>2230</v>
      </c>
      <c r="C58" s="3104"/>
      <c r="D58" s="185">
        <f ca="1">IF(H58="转让取得",C81,C97)</f>
        <v>76325</v>
      </c>
      <c r="E58" s="11" t="s">
        <v>2225</v>
      </c>
      <c r="F58" s="24" t="s">
        <v>34</v>
      </c>
      <c r="G58" s="2483"/>
      <c r="H58" s="2486" t="s">
        <v>2231</v>
      </c>
      <c r="I58" s="2487"/>
      <c r="J58" s="3138"/>
      <c r="K58" s="3138"/>
      <c r="L58" s="2488" t="s">
        <v>2232</v>
      </c>
      <c r="M58" s="1757"/>
      <c r="N58" s="2490" t="str">
        <f ca="1">NUMBERSTRING(INT(N57*10000),2)&amp;"元整"</f>
        <v>柒亿陆仟叁佰玖拾贰万元整</v>
      </c>
      <c r="O58" s="2491"/>
    </row>
    <row r="59" spans="1:35" ht="24.75" thickBot="1">
      <c r="A59" s="3141" t="s">
        <v>2233</v>
      </c>
      <c r="B59" s="3142"/>
      <c r="C59" s="3142"/>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39">
        <f>J57+1</f>
        <v>5</v>
      </c>
      <c r="K59" s="3138" t="s">
        <v>2235</v>
      </c>
      <c r="L59" s="1808" t="s">
        <v>2229</v>
      </c>
      <c r="M59" s="1758"/>
      <c r="N59" s="1759">
        <f ca="1">M49-N57</f>
        <v>58243</v>
      </c>
      <c r="O59" s="2493"/>
    </row>
    <row r="60" spans="1:35" ht="12" customHeight="1">
      <c r="A60" s="2494"/>
      <c r="B60" s="2416"/>
      <c r="C60" s="2416"/>
      <c r="D60" s="2416"/>
      <c r="E60" s="2165"/>
      <c r="F60" s="2487"/>
      <c r="G60" s="2487"/>
      <c r="H60" s="2495"/>
      <c r="I60" s="138"/>
      <c r="J60" s="3140"/>
      <c r="K60" s="3138"/>
      <c r="L60" s="2488" t="s">
        <v>2232</v>
      </c>
      <c r="M60" s="1757"/>
      <c r="N60" s="2490" t="str">
        <f ca="1">NUMBERSTRING(INT(N59*10000),2)&amp;"元整"</f>
        <v>伍亿捌仟贰佰肆拾叁万元整</v>
      </c>
      <c r="O60" s="2491"/>
    </row>
    <row r="61" spans="1:35" ht="13.5" thickBot="1">
      <c r="A61" s="3085" t="s">
        <v>2236</v>
      </c>
      <c r="B61" s="3085"/>
      <c r="C61" s="3085"/>
      <c r="D61" s="3085"/>
      <c r="E61" s="3085"/>
      <c r="F61" s="2487"/>
      <c r="G61" s="2487"/>
      <c r="H61" s="2495"/>
      <c r="I61" s="138"/>
      <c r="J61" s="1808">
        <f>J59+1</f>
        <v>6</v>
      </c>
      <c r="K61" s="3138" t="s">
        <v>2237</v>
      </c>
      <c r="L61" s="3138"/>
      <c r="M61" s="1760"/>
      <c r="N61" s="1761">
        <f ca="1">ROUND(N59*10000/'数据-汇总表'!E3,0)</f>
        <v>6074</v>
      </c>
      <c r="O61" s="2496"/>
    </row>
    <row r="62" spans="1:35" ht="12.75">
      <c r="A62" s="3101" t="s">
        <v>2238</v>
      </c>
      <c r="B62" s="3102"/>
      <c r="C62" s="1800"/>
      <c r="D62" s="1800" t="s">
        <v>2239</v>
      </c>
      <c r="E62" s="192" t="s">
        <v>2240</v>
      </c>
      <c r="F62" s="2487"/>
      <c r="G62" s="2487"/>
      <c r="H62" s="2495"/>
      <c r="I62" s="138"/>
    </row>
    <row r="63" spans="1:35" ht="12.75">
      <c r="A63" s="203" t="s">
        <v>775</v>
      </c>
      <c r="B63" s="193" t="s">
        <v>2241</v>
      </c>
      <c r="C63" s="194">
        <f ca="1">ROUND((C64+C65)/(1+'数据-取费表'!C42),0)</f>
        <v>128224</v>
      </c>
      <c r="D63" s="195"/>
      <c r="E63" s="196"/>
      <c r="F63" s="2487"/>
      <c r="G63" s="2487"/>
      <c r="H63" s="2495"/>
      <c r="I63" s="138"/>
      <c r="J63" s="3163" t="s">
        <v>2242</v>
      </c>
      <c r="K63" s="2497" t="s">
        <v>2243</v>
      </c>
      <c r="L63" s="1748">
        <f ca="1">IF(M49&gt;10000,M49*0.5%,IF(AND(M49&gt;1000,M49&lt;=10000),M49*1%,IF(AND(M49&gt;100,M49&lt;=1000),M49*3%,IF(AND(M49&gt;10,M49&lt;=100),M49*5%,M49*8%))))</f>
        <v>673.17500000000007</v>
      </c>
      <c r="M63" s="24">
        <f ca="1">ROUND(L63,1)</f>
        <v>673.2</v>
      </c>
      <c r="Z63" s="2421"/>
      <c r="AI63" s="2422"/>
    </row>
    <row r="64" spans="1:35" ht="14.25" customHeight="1">
      <c r="A64" s="197" t="s">
        <v>770</v>
      </c>
      <c r="B64" s="198" t="s">
        <v>2244</v>
      </c>
      <c r="C64" s="199">
        <f ca="1">D45</f>
        <v>134635</v>
      </c>
      <c r="D64" s="200" t="s">
        <v>32</v>
      </c>
      <c r="E64" s="201"/>
      <c r="F64" s="2487"/>
      <c r="G64" s="2487"/>
      <c r="H64" s="2495"/>
      <c r="I64" s="138"/>
      <c r="J64" s="3163"/>
      <c r="K64" s="2497" t="s">
        <v>2245</v>
      </c>
      <c r="L64" s="1748">
        <f ca="1">IF(M49&gt;2000,M49*0.5%,IF(AND(M49&gt;1000,M49&lt;=2000),M49*0.6%,IF(AND(M49&gt;500,M49&lt;=1000),M49*0.7%,IF(AND(M49&gt;200,M49&lt;=500),M49*0.8%,IF(AND(M49&gt;100,M49&lt;=200),M49*0.9%,IF(AND(M49&gt;50,M49&lt;=100),M49*1%,IF(AND(M49&gt;20,M49&lt;=50),M49*1.5%,IF(AND(M49&gt;10,M49&lt;=20),M49*2%,IF(AND(M49&gt;1,M49&lt;=10),M49*2.5%)))))))))</f>
        <v>673.17500000000007</v>
      </c>
      <c r="M64" s="24">
        <f t="shared" ref="M64:M65" ca="1" si="1">ROUND(L64,1)</f>
        <v>673.2</v>
      </c>
      <c r="N64" s="138" t="s">
        <v>2246</v>
      </c>
      <c r="Z64" s="2421"/>
      <c r="AI64" s="2422"/>
    </row>
    <row r="65" spans="1:35" ht="14.25" customHeight="1">
      <c r="A65" s="197" t="s">
        <v>771</v>
      </c>
      <c r="B65" s="198" t="s">
        <v>2247</v>
      </c>
      <c r="C65" s="202"/>
      <c r="D65" s="200"/>
      <c r="E65" s="201"/>
      <c r="F65" s="2487"/>
      <c r="G65" s="2487"/>
      <c r="H65" s="2495"/>
      <c r="I65" s="138"/>
      <c r="J65" s="3163"/>
      <c r="K65" s="2497" t="s">
        <v>2248</v>
      </c>
      <c r="L65" s="1748">
        <f ca="1">IF(M49&gt;1000,M49*0.1%,IF(AND(M49&gt;500,M49&lt;=1000),M49*0.5%,IF(AND(M49&gt;50,M49&lt;=500),M49*1%,IF(AND(M49&gt;1,M49&lt;=50),M49*1.5%))))</f>
        <v>134.63499999999999</v>
      </c>
      <c r="M65" s="24">
        <f t="shared" ca="1" si="1"/>
        <v>134.6</v>
      </c>
      <c r="N65" s="138" t="s">
        <v>2246</v>
      </c>
      <c r="Z65" s="2421"/>
      <c r="AI65" s="2422"/>
    </row>
    <row r="66" spans="1:35" ht="14.25" customHeight="1">
      <c r="A66" s="203" t="s">
        <v>772</v>
      </c>
      <c r="B66" s="204" t="s">
        <v>2249</v>
      </c>
      <c r="C66" s="205"/>
      <c r="D66" s="206" t="s">
        <v>32</v>
      </c>
      <c r="E66" s="1772" t="s">
        <v>1367</v>
      </c>
      <c r="F66" s="2487"/>
      <c r="G66" s="2487"/>
      <c r="H66" s="2495"/>
      <c r="I66" s="138"/>
      <c r="J66" s="3163"/>
      <c r="K66" s="2497" t="s">
        <v>2250</v>
      </c>
      <c r="L66" s="1748">
        <f ca="1">M49*0.5%</f>
        <v>673.17500000000007</v>
      </c>
      <c r="M66" s="24">
        <f ca="1">IF(L66&gt;0.5,0.5,ROUND(L66,0))</f>
        <v>0.5</v>
      </c>
      <c r="N66" s="138" t="s">
        <v>2251</v>
      </c>
      <c r="Z66" s="2421"/>
      <c r="AI66" s="2422"/>
    </row>
    <row r="67" spans="1:35" ht="14.25" customHeight="1">
      <c r="A67" s="203" t="s">
        <v>773</v>
      </c>
      <c r="B67" s="204" t="s">
        <v>2252</v>
      </c>
      <c r="C67" s="207">
        <f ca="1">C63-C66</f>
        <v>128224</v>
      </c>
      <c r="D67" s="200" t="s">
        <v>32</v>
      </c>
      <c r="E67" s="201"/>
      <c r="F67" s="2487"/>
      <c r="G67" s="2487"/>
      <c r="H67" s="2495"/>
      <c r="I67" s="138"/>
      <c r="J67" s="3163"/>
      <c r="K67" s="2497" t="s">
        <v>2253</v>
      </c>
      <c r="L67" s="1748">
        <f ca="1">IF(M49&gt;=10000,(8.25+(M49-10000)*0.01%),IF(AND(M49&gt;=8000,M49&lt;10000),(7.85+(M49-8000)*0.02%),IF(AND(M49&gt;=5000,M49&lt;8000),(6.65+(M49-5000)*0.04%),IF(AND(M49&gt;=2000,M49&lt;5000),(4.25+(PM49-2000)*0.08%),IF(AND(M49&gt;=1000,M49&lt;2000),(2.75+(M49-1000)*0.15%),IF(AND(M49&gt;=100,M49&lt;1000),(0.5+(M49-100)*0.25%),IF(AND(M49&gt;0,M49&lt;100),M49*0.5%)))))))</f>
        <v>20.7135</v>
      </c>
      <c r="M67" s="24">
        <f ca="1">ROUND(L67*0.9,1)</f>
        <v>18.600000000000001</v>
      </c>
      <c r="Z67" s="2421"/>
      <c r="AI67" s="2422"/>
    </row>
    <row r="68" spans="1:35" ht="14.25" customHeight="1" thickBot="1">
      <c r="A68" s="208" t="s">
        <v>774</v>
      </c>
      <c r="B68" s="209" t="s">
        <v>2254</v>
      </c>
      <c r="C68" s="210">
        <f ca="1">IF(C67&lt;=0,0,ROUND(C67*D68,0))</f>
        <v>7052</v>
      </c>
      <c r="D68" s="211">
        <f>'数据-取费表'!B41</f>
        <v>5.5000000000000007E-2</v>
      </c>
      <c r="E68" s="212"/>
      <c r="F68" s="2487"/>
      <c r="G68" s="2487"/>
      <c r="H68" s="2495"/>
      <c r="I68" s="138"/>
      <c r="J68" s="3163"/>
      <c r="K68" s="2497" t="s">
        <v>2255</v>
      </c>
      <c r="L68" s="1748">
        <f ca="1">IF(M49&gt;10000,M49*0.5%,IF(AND(M49&gt;5000,M49&lt;=10000),M49*1%,IF(AND(M49&gt;1000,M49&lt;=5000),M49*2%,IF(AND(M49&gt;200,M49&lt;=1000),M49*3%,M49*5%))))</f>
        <v>673.17500000000007</v>
      </c>
      <c r="M68" s="24">
        <f ca="1">ROUND(L68,1)</f>
        <v>673.2</v>
      </c>
      <c r="Z68" s="2421"/>
      <c r="AI68" s="2422"/>
    </row>
    <row r="69" spans="1:35" s="2444" customFormat="1" ht="16.5" customHeight="1">
      <c r="A69" s="2498"/>
      <c r="B69" s="2499"/>
      <c r="C69" s="2500"/>
      <c r="D69" s="2501"/>
      <c r="E69" s="2502"/>
      <c r="F69" s="2165"/>
      <c r="G69" s="2165"/>
      <c r="H69" s="2164"/>
      <c r="I69" s="2416"/>
      <c r="J69" s="3163"/>
      <c r="K69" s="2497" t="s">
        <v>2256</v>
      </c>
      <c r="L69" s="2503"/>
      <c r="M69" s="24">
        <f ca="1">ROUND(SUM(M63:M68),0)</f>
        <v>2173</v>
      </c>
      <c r="N69" s="1749">
        <f ca="1">M69/M49</f>
        <v>1.6139933895346677E-2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2" t="s">
        <v>2257</v>
      </c>
      <c r="B70" s="3123"/>
      <c r="C70" s="3123"/>
      <c r="D70" s="3123"/>
      <c r="E70" s="3123"/>
      <c r="F70" s="3123"/>
      <c r="G70" s="3123"/>
      <c r="H70" s="312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1" t="s">
        <v>2238</v>
      </c>
      <c r="B71" s="3102"/>
      <c r="C71" s="1800"/>
      <c r="D71" s="1800"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128224</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641</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096" t="s">
        <v>2266</v>
      </c>
      <c r="F76" s="3073"/>
      <c r="G76" s="3073"/>
      <c r="H76" s="312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641</v>
      </c>
      <c r="D78" s="226">
        <f>'数据-取费表'!B43</f>
        <v>5.000000000000001E-3</v>
      </c>
      <c r="E78" s="3082" t="s">
        <v>2271</v>
      </c>
      <c r="F78" s="3083"/>
      <c r="G78" s="3083"/>
      <c r="H78" s="309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127583</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199.0374414976599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76325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2" t="s">
        <v>2275</v>
      </c>
      <c r="B83" s="3123"/>
      <c r="C83" s="3123"/>
      <c r="D83" s="3123"/>
      <c r="E83" s="3123"/>
      <c r="F83" s="3123"/>
      <c r="G83" s="3123"/>
      <c r="H83" s="312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1" t="s">
        <v>2238</v>
      </c>
      <c r="B84" s="3102"/>
      <c r="C84" s="1800"/>
      <c r="D84" s="1800"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128224</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641</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6"/>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82" t="s">
        <v>2284</v>
      </c>
      <c r="F91" s="3083"/>
      <c r="G91" s="3083"/>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82" t="s">
        <v>2288</v>
      </c>
      <c r="F92" s="3083"/>
      <c r="G92" s="3083"/>
      <c r="H92" s="309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641</v>
      </c>
      <c r="D93" s="226">
        <f>'数据-取费表'!B43</f>
        <v>5.000000000000001E-3</v>
      </c>
      <c r="E93" s="3082" t="s">
        <v>2271</v>
      </c>
      <c r="F93" s="3083"/>
      <c r="G93" s="3083"/>
      <c r="H93" s="309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093" t="s">
        <v>2292</v>
      </c>
      <c r="F94" s="3094"/>
      <c r="G94" s="3094"/>
      <c r="H94" s="309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127583</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199.0374414976599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76325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67" t="s">
        <v>2294</v>
      </c>
      <c r="B100" s="3068"/>
      <c r="C100" s="3068"/>
      <c r="D100" s="3084"/>
      <c r="E100" s="3068" t="s">
        <v>2295</v>
      </c>
      <c r="F100" s="3068"/>
      <c r="G100" s="3068"/>
      <c r="H100" s="3084"/>
      <c r="I100" s="138"/>
    </row>
    <row r="101" spans="1:35" ht="18.75" customHeight="1">
      <c r="A101" s="3146" t="s">
        <v>2296</v>
      </c>
      <c r="B101" s="3147"/>
      <c r="C101" s="736" t="str">
        <f>C4</f>
        <v>成本法</v>
      </c>
      <c r="D101" s="737" t="str">
        <f>D4</f>
        <v>假设开发法</v>
      </c>
      <c r="E101" s="3160" t="s">
        <v>2297</v>
      </c>
      <c r="F101" s="3114"/>
      <c r="G101" s="2518" t="s">
        <v>2298</v>
      </c>
      <c r="H101" s="1045">
        <f ca="1">H118</f>
        <v>134635</v>
      </c>
      <c r="I101" s="138"/>
    </row>
    <row r="102" spans="1:35" ht="18.75" customHeight="1">
      <c r="A102" s="3116" t="s">
        <v>2299</v>
      </c>
      <c r="B102" s="2518" t="s">
        <v>2298</v>
      </c>
      <c r="C102" s="736">
        <f ca="1">C19</f>
        <v>141978</v>
      </c>
      <c r="D102" s="737">
        <f ca="1">D19</f>
        <v>117502</v>
      </c>
      <c r="E102" s="3160"/>
      <c r="F102" s="3114"/>
      <c r="G102" s="2518" t="s">
        <v>2300</v>
      </c>
      <c r="H102" s="371">
        <f ca="1">I118</f>
        <v>14040</v>
      </c>
      <c r="I102" s="138"/>
    </row>
    <row r="103" spans="1:35" ht="42.75" customHeight="1">
      <c r="A103" s="3116"/>
      <c r="B103" s="2518" t="s">
        <v>2300</v>
      </c>
      <c r="C103" s="738">
        <f ca="1">C20</f>
        <v>14805</v>
      </c>
      <c r="D103" s="739">
        <f ca="1">D20</f>
        <v>12253</v>
      </c>
      <c r="E103" s="3155" t="s">
        <v>2301</v>
      </c>
      <c r="F103" s="3156"/>
      <c r="G103" s="2519" t="s">
        <v>2302</v>
      </c>
      <c r="H103" s="1045">
        <f>IF(D36="正常操作",H104+H105+H106,H105+H106)</f>
        <v>0</v>
      </c>
      <c r="I103" s="138"/>
    </row>
    <row r="104" spans="1:35" ht="18.75" customHeight="1">
      <c r="A104" s="3116" t="s">
        <v>2303</v>
      </c>
      <c r="B104" s="2520" t="s">
        <v>2298</v>
      </c>
      <c r="C104" s="740">
        <f ca="1">H118</f>
        <v>134635</v>
      </c>
      <c r="D104" s="741"/>
      <c r="E104" s="2265" t="s">
        <v>2304</v>
      </c>
      <c r="F104" s="2257"/>
      <c r="G104" s="2519" t="s">
        <v>2302</v>
      </c>
      <c r="H104" s="1046">
        <f>IF(D36="同一抵押权人同一抵押物续贷",C36&amp;"（未扣减，详见特别提示）",C36)</f>
        <v>0</v>
      </c>
      <c r="I104" s="138"/>
    </row>
    <row r="105" spans="1:35" ht="18.75" customHeight="1" thickBot="1">
      <c r="A105" s="3117"/>
      <c r="B105" s="2521" t="s">
        <v>2300</v>
      </c>
      <c r="C105" s="742">
        <f ca="1">I118</f>
        <v>14040</v>
      </c>
      <c r="D105" s="743"/>
      <c r="E105" s="2265" t="s">
        <v>2305</v>
      </c>
      <c r="F105" s="2257"/>
      <c r="G105" s="2519" t="s">
        <v>2302</v>
      </c>
      <c r="H105" s="1046">
        <f>C37</f>
        <v>0</v>
      </c>
      <c r="I105" s="138"/>
    </row>
    <row r="106" spans="1:35" ht="18.75" customHeight="1">
      <c r="A106" s="2416" t="s">
        <v>2306</v>
      </c>
      <c r="B106" s="2416"/>
      <c r="C106" s="2416"/>
      <c r="D106" s="2416"/>
      <c r="E106" s="2522" t="s">
        <v>2307</v>
      </c>
      <c r="F106" s="2257"/>
      <c r="G106" s="2519" t="s">
        <v>2302</v>
      </c>
      <c r="H106" s="1046">
        <f>C38</f>
        <v>0</v>
      </c>
      <c r="I106" s="138"/>
    </row>
    <row r="107" spans="1:35" ht="18.75" customHeight="1">
      <c r="A107" s="138"/>
      <c r="B107" s="138"/>
      <c r="C107" s="138"/>
      <c r="D107" s="138"/>
      <c r="E107" s="3113" t="str">
        <f>IF(项目基本情况!E8="已注销","——","3.房地产抵押价值")</f>
        <v>3.房地产抵押价值</v>
      </c>
      <c r="F107" s="3114"/>
      <c r="G107" s="2518" t="s">
        <v>2298</v>
      </c>
      <c r="H107" s="1045">
        <f ca="1">IF(E107="——","——",H101-H103)</f>
        <v>134635</v>
      </c>
      <c r="I107" s="138"/>
    </row>
    <row r="108" spans="1:35" ht="18.75" customHeight="1">
      <c r="A108" s="138"/>
      <c r="B108" s="138"/>
      <c r="C108" s="138"/>
      <c r="D108" s="138"/>
      <c r="E108" s="3113"/>
      <c r="F108" s="3114"/>
      <c r="G108" s="2518" t="s">
        <v>2300</v>
      </c>
      <c r="H108" s="371">
        <f ca="1">ROUND(H107*10000/'数据-汇总表'!E3,0)</f>
        <v>14040</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18" t="s">
        <v>2298</v>
      </c>
      <c r="H109" s="348" t="str">
        <f>IF(E109="——","——",H101-H105-H106)</f>
        <v>——</v>
      </c>
      <c r="I109" s="138"/>
    </row>
    <row r="110" spans="1:35" ht="18.75" customHeight="1">
      <c r="A110" s="138"/>
      <c r="B110" s="138"/>
      <c r="C110" s="138"/>
      <c r="D110" s="138"/>
      <c r="E110" s="3113"/>
      <c r="F110" s="3114"/>
      <c r="G110" s="2518" t="s">
        <v>2300</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v>
      </c>
      <c r="F111" s="3149"/>
      <c r="G111" s="2518" t="s">
        <v>2298</v>
      </c>
      <c r="H111" s="1045" t="str">
        <f>IF(E111="——","——",N59)</f>
        <v>——</v>
      </c>
      <c r="I111" s="138"/>
    </row>
    <row r="112" spans="1:35" ht="18.75" customHeight="1" thickBot="1">
      <c r="A112" s="138"/>
      <c r="B112" s="138"/>
      <c r="C112" s="138"/>
      <c r="D112" s="138"/>
      <c r="E112" s="3150"/>
      <c r="F112" s="3151"/>
      <c r="G112" s="2523" t="s">
        <v>2300</v>
      </c>
      <c r="H112" s="790" t="str">
        <f>IF(E111="——","——",N61)</f>
        <v>——</v>
      </c>
      <c r="I112" s="138"/>
    </row>
    <row r="113" spans="1:11" ht="18.75" customHeight="1">
      <c r="A113" s="138"/>
      <c r="B113" s="138"/>
      <c r="C113" s="138"/>
      <c r="D113" s="138"/>
      <c r="E113" s="3118" t="s">
        <v>2306</v>
      </c>
      <c r="F113" s="3118"/>
      <c r="G113" s="3118"/>
      <c r="H113" s="3118"/>
      <c r="I113" s="138"/>
    </row>
    <row r="114" spans="1:11" ht="3.75" customHeight="1">
      <c r="A114" s="2416"/>
      <c r="B114" s="2416"/>
      <c r="C114" s="2416"/>
      <c r="D114" s="2416"/>
      <c r="E114" s="2494"/>
      <c r="F114" s="2494"/>
      <c r="G114" s="2494"/>
      <c r="H114" s="2494"/>
      <c r="I114" s="2416"/>
    </row>
    <row r="115" spans="1:11" ht="18.75" customHeight="1">
      <c r="A115" s="3131" t="s">
        <v>2308</v>
      </c>
      <c r="B115" s="3132"/>
      <c r="C115" s="3132"/>
      <c r="D115" s="3132"/>
      <c r="E115" s="3132"/>
      <c r="F115" s="3132"/>
      <c r="G115" s="3132"/>
      <c r="H115" s="3132"/>
      <c r="I115" s="3133"/>
    </row>
    <row r="116" spans="1:11" ht="27" customHeight="1">
      <c r="A116" s="3024" t="s">
        <v>2309</v>
      </c>
      <c r="B116" s="3119" t="s">
        <v>2310</v>
      </c>
      <c r="C116" s="3119" t="s">
        <v>2311</v>
      </c>
      <c r="D116" s="3135" t="s">
        <v>2312</v>
      </c>
      <c r="E116" s="3136"/>
      <c r="F116" s="3127" t="s">
        <v>2313</v>
      </c>
      <c r="G116" s="3127"/>
      <c r="H116" s="3024" t="s">
        <v>2314</v>
      </c>
      <c r="I116" s="3024"/>
    </row>
    <row r="117" spans="1:11" ht="18.75" customHeight="1">
      <c r="A117" s="3024"/>
      <c r="B117" s="3120"/>
      <c r="C117" s="3120"/>
      <c r="D117" s="1794" t="s">
        <v>2315</v>
      </c>
      <c r="E117" s="1794" t="s">
        <v>2316</v>
      </c>
      <c r="F117" s="1794" t="s">
        <v>2315</v>
      </c>
      <c r="G117" s="1794" t="s">
        <v>2317</v>
      </c>
      <c r="H117" s="1794" t="s">
        <v>2315</v>
      </c>
      <c r="I117" s="1794" t="s">
        <v>2317</v>
      </c>
    </row>
    <row r="118" spans="1:11" ht="24.75" customHeight="1">
      <c r="A118" s="2524" t="str">
        <f>项目基本情况!S2</f>
        <v>北京市出让国有建设用地使用权及在建建筑物房地产</v>
      </c>
      <c r="B118" s="1794">
        <f>M18</f>
        <v>95896.06</v>
      </c>
      <c r="C118" s="1794">
        <f>M19</f>
        <v>15644.81</v>
      </c>
      <c r="D118" s="1794">
        <f ca="1">ROUND(IF(D32="总价",C34,E118*B118/10000),0)</f>
        <v>111343</v>
      </c>
      <c r="E118" s="1794">
        <f ca="1">ROUND(IF(C33="自定义",IF(D32="楼面单价",C34,D118*10000/B118),I118-G118),0)</f>
        <v>11611</v>
      </c>
      <c r="F118" s="1794">
        <f ca="1">ROUND(IF(D32="总价",C35,G118*B118/10000),0)</f>
        <v>23292</v>
      </c>
      <c r="G118" s="1794">
        <f ca="1">ROUND(IF(D32="楼面单价",C35,F118*10000/B118),0)</f>
        <v>2429</v>
      </c>
      <c r="H118" s="1794">
        <f ca="1">ROUND(IF(D32="总价",C32,I118*B118/10000),0)</f>
        <v>134635</v>
      </c>
      <c r="I118" s="1794">
        <f ca="1">ROUND(IF(D32="楼面单价",C32,H118*10000/B118),0)</f>
        <v>14040</v>
      </c>
    </row>
    <row r="119" spans="1:11" ht="18.75" customHeight="1">
      <c r="A119" s="3024" t="s">
        <v>2318</v>
      </c>
      <c r="B119" s="3024"/>
      <c r="C119" s="3024"/>
      <c r="D119" s="3124" t="str">
        <f ca="1">NUMBERSTRING(INT(D118*10000),2)&amp;"元整"</f>
        <v>壹拾壹亿壹仟叁佰肆拾叁万元整</v>
      </c>
      <c r="E119" s="3126"/>
      <c r="F119" s="3124" t="str">
        <f ca="1">NUMBERSTRING(INT(F118*10000),2)&amp;"元整"</f>
        <v>贰亿叁仟贰佰玖拾贰万元整</v>
      </c>
      <c r="G119" s="3126"/>
      <c r="H119" s="3124" t="str">
        <f ca="1">NUMBERSTRING(INT(H118*10000),2)&amp;"元整"</f>
        <v>壹拾叁亿肆仟陆佰叁拾伍万元整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21" t="str">
        <f>IF(D120=0,"故，本次评估不存在"&amp;A120,"故，本次评估"&amp;A120&amp;"为人民币"&amp;D120&amp;"万元整。")</f>
        <v>故，本次评估不存在估价师知悉的法定优先受偿款</v>
      </c>
    </row>
    <row r="121" spans="1:11" ht="18.75" customHeight="1">
      <c r="A121" s="3128" t="s">
        <v>2318</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134635</v>
      </c>
      <c r="E122" s="3153"/>
      <c r="F122" s="3153"/>
      <c r="G122" s="3153"/>
      <c r="H122" s="3153"/>
      <c r="I122" s="3154"/>
    </row>
    <row r="123" spans="1:11" ht="18.75" customHeight="1">
      <c r="A123" s="3024" t="s">
        <v>2318</v>
      </c>
      <c r="B123" s="3024"/>
      <c r="C123" s="3024"/>
      <c r="D123" s="3124" t="str">
        <f ca="1">NUMBERSTRING(INT(D122*10000),2)&amp;"元整"</f>
        <v>壹拾叁亿肆仟陆佰叁拾伍万元整</v>
      </c>
      <c r="E123" s="3125"/>
      <c r="F123" s="3125"/>
      <c r="G123" s="3125"/>
      <c r="H123" s="3125"/>
      <c r="I123" s="3126"/>
    </row>
    <row r="124" spans="1:11" ht="18.75" customHeight="1">
      <c r="A124" s="3115" t="str">
        <f>IF(项目基本情况!B9="房地产市场价值","",MID(E109,3,LEN(E109)-2))</f>
        <v/>
      </c>
      <c r="B124" s="3115"/>
      <c r="C124" s="3115"/>
      <c r="D124" s="3152" t="str">
        <f>H109</f>
        <v>——</v>
      </c>
      <c r="E124" s="3153"/>
      <c r="F124" s="3153"/>
      <c r="G124" s="3153"/>
      <c r="H124" s="3153"/>
      <c r="I124" s="3154"/>
    </row>
    <row r="125" spans="1:11" ht="18.75" customHeight="1">
      <c r="A125" s="3024" t="s">
        <v>2318</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2318</v>
      </c>
      <c r="B127" s="3024"/>
      <c r="C127" s="3024"/>
      <c r="D127" s="3124" t="e">
        <f>NUMBERSTRING(INT(D126*10000),2)&amp;"元整"</f>
        <v>#VALUE!</v>
      </c>
      <c r="E127" s="3125"/>
      <c r="F127" s="3125"/>
      <c r="G127" s="3125"/>
      <c r="H127" s="3125"/>
      <c r="I127" s="3126"/>
    </row>
    <row r="128" spans="1:11" ht="21.75" customHeight="1">
      <c r="A128" s="3134" t="s">
        <v>2319</v>
      </c>
      <c r="B128" s="3134"/>
      <c r="C128" s="3134"/>
      <c r="D128" s="3134"/>
      <c r="E128" s="3134"/>
      <c r="F128" s="3134"/>
      <c r="G128" s="3134"/>
      <c r="H128" s="3134"/>
      <c r="I128" s="3134"/>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8"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9">
        <f>MATCH(B1,'数据-取费表'!A6:A16,0)+5</f>
        <v>9</v>
      </c>
    </row>
    <row r="2" spans="1:9" s="244" customFormat="1" ht="18" customHeight="1">
      <c r="A2" s="245" t="s">
        <v>2328</v>
      </c>
      <c r="B2" s="246">
        <f ca="1">IF(D2="——",C52,C52-E2)</f>
        <v>141978</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14805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92294</v>
      </c>
      <c r="D5" s="255" t="s">
        <v>2335</v>
      </c>
      <c r="E5" s="256" t="s">
        <v>2336</v>
      </c>
      <c r="F5" s="256" t="s">
        <v>2337</v>
      </c>
      <c r="G5" s="257"/>
    </row>
    <row r="6" spans="1:9" s="258" customFormat="1" ht="13.5" customHeight="1">
      <c r="A6" s="949" t="s">
        <v>2338</v>
      </c>
      <c r="B6" s="259" t="s">
        <v>2339</v>
      </c>
      <c r="C6" s="260">
        <f>'土地比较法-住宅、综合'!B2</f>
        <v>87701</v>
      </c>
      <c r="D6" s="261"/>
      <c r="E6" s="262"/>
      <c r="F6" s="262"/>
      <c r="G6" s="263"/>
    </row>
    <row r="7" spans="1:9" s="258" customFormat="1" ht="13.5" customHeight="1">
      <c r="A7" s="949" t="s">
        <v>2340</v>
      </c>
      <c r="B7" s="259" t="s">
        <v>2341</v>
      </c>
      <c r="C7" s="264">
        <f>ROUND(C6*F7,0)</f>
        <v>2675</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1918</v>
      </c>
      <c r="D8" s="266"/>
      <c r="E8" s="264"/>
      <c r="F8" s="265"/>
      <c r="G8" s="2550" t="s">
        <v>3163</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1" t="s">
        <v>3164</v>
      </c>
      <c r="H9" s="1390"/>
      <c r="I9" s="2552" t="s">
        <v>2345</v>
      </c>
    </row>
    <row r="10" spans="1:9" s="258" customFormat="1" ht="13.5" customHeight="1">
      <c r="A10" s="950" t="s">
        <v>801</v>
      </c>
      <c r="B10" s="268" t="s">
        <v>2346</v>
      </c>
      <c r="C10" s="269">
        <f ca="1">ROUND(D10*E10/10000,0)</f>
        <v>1918</v>
      </c>
      <c r="D10" s="1032">
        <f ca="1">IF(B1="",'数据-汇总表'!E6,IF(INDIRECT("'数据-取费表'!c"&amp;$G$1)="住宅",INDIRECT("'数据-取费表'!s"&amp;$G$1),INDIRECT("'数据-取费表'!k"&amp;$G$1)+INDIRECT("'数据-取费表'!s"&amp;$G$1)))</f>
        <v>95896.06</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95896.06</v>
      </c>
      <c r="E19" s="255">
        <f>'数据-取费表'!B31</f>
        <v>200</v>
      </c>
      <c r="F19" s="275"/>
      <c r="G19" s="2550" t="s">
        <v>3165</v>
      </c>
    </row>
    <row r="20" spans="1:7" s="258" customFormat="1" ht="13.5" customHeight="1">
      <c r="A20" s="299" t="s">
        <v>2359</v>
      </c>
      <c r="B20" s="254" t="s">
        <v>2360</v>
      </c>
      <c r="C20" s="276">
        <f>ROUND((C5+C19)*F20,0)</f>
        <v>1846</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6026</v>
      </c>
      <c r="D22" s="279">
        <f ca="1">C26</f>
        <v>5.9999999999999995E-4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5967</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59</v>
      </c>
      <c r="D25" s="282"/>
      <c r="E25" s="285"/>
      <c r="F25" s="283"/>
      <c r="G25" s="286" t="s">
        <v>2376</v>
      </c>
    </row>
    <row r="26" spans="1:7" s="258" customFormat="1">
      <c r="A26" s="951" t="s">
        <v>795</v>
      </c>
      <c r="B26" s="259" t="s">
        <v>2377</v>
      </c>
      <c r="C26" s="282">
        <f ca="1">ROUND(IF('数据-取费表'!B22&lt;=1,F21*F22*'数据-取费表'!B23/2,F21*(POWER((1+F22),'数据-取费表'!B23/2)-1)),4)</f>
        <v>5.9999999999999995E-4</v>
      </c>
      <c r="D26" s="282"/>
      <c r="E26" s="285"/>
      <c r="F26" s="283"/>
      <c r="G26" s="287"/>
    </row>
    <row r="27" spans="1:7" s="258" customFormat="1" ht="24.75">
      <c r="A27" s="299" t="s">
        <v>2378</v>
      </c>
      <c r="B27" s="288" t="s">
        <v>2379</v>
      </c>
      <c r="C27" s="289">
        <f ca="1">C28</f>
        <v>8473</v>
      </c>
      <c r="D27" s="279">
        <f ca="1">C29</f>
        <v>1.8E-3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8473</v>
      </c>
      <c r="D28" s="279"/>
      <c r="E28" s="280"/>
      <c r="F28" s="290"/>
      <c r="G28" s="291"/>
    </row>
    <row r="29" spans="1:7" s="258" customFormat="1" ht="13.5" customHeight="1">
      <c r="A29" s="951" t="s">
        <v>792</v>
      </c>
      <c r="B29" s="292" t="s">
        <v>2383</v>
      </c>
      <c r="C29" s="282">
        <f ca="1">ROUND(C21*F27*'数据-取费表'!B21/'数据-取费表'!B20,4)</f>
        <v>1.8E-3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117422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18039</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16436</v>
      </c>
      <c r="D34" s="261"/>
      <c r="E34" s="264"/>
      <c r="F34" s="301">
        <f ca="1">IF('数据-取费表'!B24=0,1,IF(B1="",'数据-取费表'!N16,INDIRECT("'数据-取费表'!n"&amp;$G$1)))</f>
        <v>0.45</v>
      </c>
      <c r="G34" s="263" t="s">
        <v>2392</v>
      </c>
    </row>
    <row r="35" spans="1:7" ht="13.5" customHeight="1">
      <c r="A35" s="951" t="s">
        <v>796</v>
      </c>
      <c r="B35" s="259" t="s">
        <v>2393</v>
      </c>
      <c r="C35" s="264">
        <f ca="1">ROUND(C34*F35,0)</f>
        <v>493</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863</v>
      </c>
      <c r="D37" s="261">
        <f ca="1">D19</f>
        <v>95896.06</v>
      </c>
      <c r="E37" s="293">
        <f>'数据-取费表'!B35</f>
        <v>200</v>
      </c>
      <c r="F37" s="303"/>
      <c r="G37" s="305" t="s">
        <v>2398</v>
      </c>
    </row>
    <row r="38" spans="1:7" ht="13.5" customHeight="1">
      <c r="A38" s="951" t="s">
        <v>799</v>
      </c>
      <c r="B38" s="259" t="s">
        <v>2399</v>
      </c>
      <c r="C38" s="264">
        <f ca="1">ROUND(C34*F38,0)</f>
        <v>247</v>
      </c>
      <c r="D38" s="264"/>
      <c r="E38" s="264"/>
      <c r="F38" s="303">
        <f>'数据-取费表'!B36</f>
        <v>1.4999999999999999E-2</v>
      </c>
      <c r="G38" s="263" t="s">
        <v>2394</v>
      </c>
    </row>
    <row r="39" spans="1:7" s="258" customFormat="1" ht="13.5" customHeight="1">
      <c r="A39" s="299" t="s">
        <v>2400</v>
      </c>
      <c r="B39" s="254" t="s">
        <v>2401</v>
      </c>
      <c r="C39" s="276">
        <f ca="1">ROUND(C33*F20,0)</f>
        <v>361</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585</v>
      </c>
      <c r="D41" s="279">
        <f ca="1">C44</f>
        <v>5.9999999999999995E-4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574</v>
      </c>
      <c r="D42" s="282"/>
      <c r="E42" s="282"/>
      <c r="F42" s="283"/>
      <c r="G42" s="3166" t="s">
        <v>2410</v>
      </c>
    </row>
    <row r="43" spans="1:7" ht="13.5" customHeight="1">
      <c r="A43" s="951" t="s">
        <v>792</v>
      </c>
      <c r="B43" s="259" t="s">
        <v>2411</v>
      </c>
      <c r="C43" s="282">
        <f ca="1">ROUND(IF('数据-取费表'!B22&lt;=1,C39*F22*'数据-取费表'!B21/2,C39*(POWER((1+F22),'数据-取费表'!B21/2)-1)),0)</f>
        <v>11</v>
      </c>
      <c r="D43" s="282"/>
      <c r="E43" s="282"/>
      <c r="F43" s="283"/>
      <c r="G43" s="3167"/>
    </row>
    <row r="44" spans="1:7" ht="13.5" customHeight="1">
      <c r="A44" s="951" t="s">
        <v>793</v>
      </c>
      <c r="B44" s="259" t="s">
        <v>2412</v>
      </c>
      <c r="C44" s="282">
        <f ca="1">ROUND(IF('数据-取费表'!B22&lt;=1,C40*F22*'数据-取费表'!B21/2,C40*(POWER((1+F22),'数据-取费表'!B21/2)-1)),4)</f>
        <v>5.9999999999999995E-4</v>
      </c>
      <c r="D44" s="282"/>
      <c r="E44" s="282"/>
      <c r="F44" s="283"/>
      <c r="G44" s="3168"/>
    </row>
    <row r="45" spans="1:7" s="258" customFormat="1" ht="13.5" customHeight="1">
      <c r="A45" s="299" t="s">
        <v>2413</v>
      </c>
      <c r="B45" s="288" t="s">
        <v>2379</v>
      </c>
      <c r="C45" s="289">
        <f ca="1">C46</f>
        <v>3680</v>
      </c>
      <c r="D45" s="279">
        <f ca="1">C47</f>
        <v>4.0000000000000001E-3</v>
      </c>
      <c r="E45" s="280" t="s">
        <v>2405</v>
      </c>
      <c r="F45" s="290"/>
      <c r="G45" s="291" t="s">
        <v>2414</v>
      </c>
    </row>
    <row r="46" spans="1:7" s="258" customFormat="1" ht="13.5" customHeight="1">
      <c r="A46" s="951" t="s">
        <v>791</v>
      </c>
      <c r="B46" s="292" t="s">
        <v>2415</v>
      </c>
      <c r="C46" s="293">
        <f ca="1">ROUND((C33+C39)*F27,0)</f>
        <v>3680</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24556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24556</v>
      </c>
      <c r="D51" s="276"/>
      <c r="E51" s="276"/>
      <c r="F51" s="308"/>
      <c r="G51" s="278" t="s">
        <v>2426</v>
      </c>
    </row>
    <row r="52" spans="1:7" s="252" customFormat="1" ht="16.5" thickBot="1">
      <c r="A52" s="309" t="s">
        <v>2427</v>
      </c>
      <c r="B52" s="310"/>
      <c r="C52" s="311">
        <f ca="1">C31+C51</f>
        <v>141978</v>
      </c>
      <c r="D52" s="310"/>
      <c r="E52" s="310"/>
      <c r="F52" s="310"/>
      <c r="G52" s="312"/>
    </row>
    <row r="55" spans="1:7" ht="15">
      <c r="B55" s="314" t="s">
        <v>2428</v>
      </c>
      <c r="C55" s="315"/>
    </row>
    <row r="56" spans="1:7">
      <c r="B56" s="317" t="s">
        <v>1508</v>
      </c>
      <c r="C56" s="319">
        <f ca="1">1-C57</f>
        <v>0.82699999999999996</v>
      </c>
    </row>
    <row r="57" spans="1:7">
      <c r="B57" s="317" t="s">
        <v>1509</v>
      </c>
      <c r="C57" s="318">
        <f ca="1">ROUND(C51/C52,3)</f>
        <v>0.17299999999999999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0" t="str">
        <f>项目基本情况!B1</f>
        <v>北京市出让国有建设用地使用权及在建建筑物房地产抵押价值预评估</v>
      </c>
      <c r="C37" s="2980"/>
      <c r="D37" s="2980"/>
      <c r="E37" s="2980"/>
      <c r="F37" s="2980"/>
      <c r="G37" s="2980"/>
      <c r="H37" s="2980"/>
      <c r="I37" s="2980"/>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3"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62119</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6478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19179212</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19179212</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19179212</v>
      </c>
      <c r="D10" s="1032">
        <f ca="1">IF(B1="",'数据-汇总表'!E6,IF(INDIRECT("'数据-取费表'!c"&amp;$G$1)="住宅",INDIRECT("'数据-取费表'!s"&amp;$G$1),INDIRECT("'数据-取费表'!k"&amp;$G$1)+INDIRECT("'数据-取费表'!s"&amp;$G$1)))</f>
        <v>95896.06</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19179212</v>
      </c>
      <c r="D19" s="1036">
        <f ca="1">D9+D10</f>
        <v>95896.06</v>
      </c>
      <c r="E19" s="255">
        <f>'数据-取费表'!B31</f>
        <v>200</v>
      </c>
      <c r="F19" s="275"/>
      <c r="G19" s="2550"/>
    </row>
    <row r="20" spans="1:7" s="258" customFormat="1" ht="13.5" customHeight="1">
      <c r="A20" s="299" t="s">
        <v>2440</v>
      </c>
      <c r="B20" s="254" t="s">
        <v>2441</v>
      </c>
      <c r="C20" s="276">
        <f ca="1">ROUND((C5+C19)*F20,0)</f>
        <v>767168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5785129</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2864912</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2864912</v>
      </c>
      <c r="D24" s="282"/>
      <c r="E24" s="282"/>
      <c r="F24" s="283"/>
      <c r="G24" s="284" t="s">
        <v>2452</v>
      </c>
    </row>
    <row r="25" spans="1:7" s="258" customFormat="1" ht="24">
      <c r="A25" s="951" t="s">
        <v>2342</v>
      </c>
      <c r="B25" s="259" t="s">
        <v>2453</v>
      </c>
      <c r="C25" s="1381">
        <f ca="1">ROUND(IF('数据-取费表'!B22&lt;=1,C20*F22*'数据-取费表'!B22/2,C20*(POWER((1+F22),'数据-取费表'!B22/2)-1)),0)</f>
        <v>55305</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7825118</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7825118</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57184818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400858157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365243010</v>
      </c>
      <c r="D34" s="261"/>
      <c r="E34" s="264"/>
      <c r="F34" s="301"/>
      <c r="G34" s="263"/>
    </row>
    <row r="35" spans="1:7" ht="13.5" customHeight="1">
      <c r="A35" s="951" t="s">
        <v>796</v>
      </c>
      <c r="B35" s="259" t="s">
        <v>2393</v>
      </c>
      <c r="C35" s="264">
        <f ca="1">ROUND(C34*F35,0)</f>
        <v>10957290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19179212</v>
      </c>
      <c r="D37" s="261">
        <f ca="1">D19</f>
        <v>95896.06</v>
      </c>
      <c r="E37" s="293">
        <f>'数据-取费表'!B35</f>
        <v>200</v>
      </c>
      <c r="F37" s="303"/>
      <c r="G37" s="305"/>
    </row>
    <row r="38" spans="1:7" ht="13.5" customHeight="1">
      <c r="A38" s="951" t="s">
        <v>799</v>
      </c>
      <c r="B38" s="259" t="s">
        <v>2399</v>
      </c>
      <c r="C38" s="264">
        <f ca="1">ROUND(C34*F38,0)</f>
        <v>5478645</v>
      </c>
      <c r="D38" s="264"/>
      <c r="E38" s="264"/>
      <c r="F38" s="303">
        <f>'数据-取费表'!B36</f>
        <v>1.4999999999999999E-2</v>
      </c>
      <c r="G38" s="263" t="s">
        <v>2394</v>
      </c>
    </row>
    <row r="39" spans="1:7" s="258" customFormat="1" ht="13.5" customHeight="1">
      <c r="A39" s="299" t="s">
        <v>2400</v>
      </c>
      <c r="B39" s="254" t="s">
        <v>2401</v>
      </c>
      <c r="C39" s="276">
        <f ca="1">ROUND(C33*F20,0)</f>
        <v>8017163</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29475622</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28897669</v>
      </c>
      <c r="D42" s="282"/>
      <c r="E42" s="282"/>
      <c r="F42" s="283"/>
      <c r="G42" s="3166" t="s">
        <v>2457</v>
      </c>
    </row>
    <row r="43" spans="1:7" ht="13.5" customHeight="1">
      <c r="A43" s="951" t="s">
        <v>792</v>
      </c>
      <c r="B43" s="259" t="s">
        <v>2411</v>
      </c>
      <c r="C43" s="282">
        <f ca="1">ROUND(IF('数据-取费表'!B22&lt;=1,C39*F22*'数据-取费表'!B20/2,C39*(POWER((1+F22),'数据-取费表'!B20/2)-1)),0)</f>
        <v>577953</v>
      </c>
      <c r="D43" s="282"/>
      <c r="E43" s="282"/>
      <c r="F43" s="283"/>
      <c r="G43" s="3167"/>
    </row>
    <row r="44" spans="1:7" ht="13.5" customHeight="1">
      <c r="A44" s="951" t="s">
        <v>793</v>
      </c>
      <c r="B44" s="259" t="s">
        <v>2412</v>
      </c>
      <c r="C44" s="282">
        <f ca="1">ROUND(IF('数据-取费表'!B22&lt;=1,C40*F22*'数据-取费表'!B20/2,C40*(POWER((1+F22),'数据-取费表'!B20/2)-1)),4)</f>
        <v>1.4E-3</v>
      </c>
      <c r="D44" s="282"/>
      <c r="E44" s="282"/>
      <c r="F44" s="283"/>
      <c r="G44" s="3168"/>
    </row>
    <row r="45" spans="1:7" s="258" customFormat="1" ht="13.5" customHeight="1">
      <c r="A45" s="299" t="s">
        <v>2413</v>
      </c>
      <c r="B45" s="288" t="s">
        <v>2379</v>
      </c>
      <c r="C45" s="289">
        <f ca="1">C46</f>
        <v>81775064</v>
      </c>
      <c r="D45" s="279">
        <f ca="1">C47</f>
        <v>4.0000000000000001E-3</v>
      </c>
      <c r="E45" s="280" t="s">
        <v>2405</v>
      </c>
      <c r="F45" s="290"/>
      <c r="G45" s="291" t="s">
        <v>2414</v>
      </c>
    </row>
    <row r="46" spans="1:7" s="258" customFormat="1" ht="13.5" customHeight="1">
      <c r="A46" s="951" t="s">
        <v>791</v>
      </c>
      <c r="B46" s="292" t="s">
        <v>2415</v>
      </c>
      <c r="C46" s="293">
        <f ca="1">ROUND((C33+C39)*F27,0)</f>
        <v>81775064</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564005645</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564005645</v>
      </c>
      <c r="D51" s="276"/>
      <c r="E51" s="276"/>
      <c r="F51" s="308"/>
      <c r="G51" s="278" t="s">
        <v>2426</v>
      </c>
    </row>
    <row r="52" spans="1:7" s="252" customFormat="1" ht="16.5" thickBot="1">
      <c r="A52" s="309" t="s">
        <v>2427</v>
      </c>
      <c r="B52" s="310"/>
      <c r="C52" s="311">
        <f ca="1">C31+C51</f>
        <v>621190463</v>
      </c>
      <c r="D52" s="310"/>
      <c r="E52" s="310"/>
      <c r="F52" s="310"/>
      <c r="G52" s="312"/>
    </row>
    <row r="55" spans="1:7" ht="15">
      <c r="B55" s="314" t="s">
        <v>2428</v>
      </c>
      <c r="C55" s="315"/>
    </row>
    <row r="56" spans="1:7">
      <c r="B56" s="317" t="s">
        <v>1508</v>
      </c>
      <c r="C56" s="319">
        <f ca="1">1-C57</f>
        <v>9.1999999999999971E-2</v>
      </c>
    </row>
    <row r="57" spans="1:7">
      <c r="B57" s="317" t="s">
        <v>1509</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3" zoomScale="60" zoomScaleNormal="60" workbookViewId="0">
      <selection activeCell="R38" sqref="R38"/>
    </sheetView>
  </sheetViews>
  <sheetFormatPr defaultColWidth="9" defaultRowHeight="14.25"/>
  <cols>
    <col min="1" max="1" width="14.375" style="403" customWidth="1"/>
    <col min="2" max="3" width="15.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8.5" style="403" customWidth="1"/>
    <col min="17" max="17" width="19.5" style="403" customWidth="1"/>
    <col min="18" max="18" width="8.875" style="403" customWidth="1"/>
    <col min="19" max="19" width="8" style="403" customWidth="1"/>
    <col min="20" max="21" width="8.25" style="403" customWidth="1"/>
    <col min="22" max="22" width="6.125" style="403" customWidth="1"/>
    <col min="23" max="23" width="5.75" style="403" customWidth="1"/>
    <col min="24" max="24" width="5.87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87701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9145</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73" t="s">
        <v>2644</v>
      </c>
      <c r="D4" s="3186"/>
      <c r="E4" s="3187" t="s">
        <v>2645</v>
      </c>
      <c r="F4" s="3188"/>
      <c r="G4" s="3173" t="s">
        <v>2646</v>
      </c>
      <c r="H4" s="3186"/>
      <c r="I4" s="3173" t="s">
        <v>2647</v>
      </c>
      <c r="J4" s="3186"/>
      <c r="K4" s="610" t="s">
        <v>2648</v>
      </c>
      <c r="L4" s="1130"/>
      <c r="M4" s="1131"/>
      <c r="N4" s="1131"/>
      <c r="O4" s="1131"/>
      <c r="P4" s="3189" t="s">
        <v>2649</v>
      </c>
      <c r="Q4" s="3190"/>
      <c r="R4" s="3195" t="s">
        <v>2645</v>
      </c>
      <c r="S4" s="3196"/>
      <c r="T4" s="3195" t="s">
        <v>2646</v>
      </c>
      <c r="U4" s="3196"/>
      <c r="V4" s="3182" t="s">
        <v>2647</v>
      </c>
      <c r="W4" s="3182"/>
      <c r="X4" s="1812"/>
      <c r="Y4" s="3195" t="s">
        <v>2649</v>
      </c>
      <c r="Z4" s="3196"/>
      <c r="AA4" s="3183" t="s">
        <v>2645</v>
      </c>
      <c r="AB4" s="3184" t="s">
        <v>2646</v>
      </c>
      <c r="AC4" s="3183" t="s">
        <v>2647</v>
      </c>
    </row>
    <row r="5" spans="1:30" ht="15">
      <c r="A5" s="404"/>
      <c r="B5" s="405"/>
      <c r="C5" s="3203" t="s">
        <v>2540</v>
      </c>
      <c r="D5" s="3204"/>
      <c r="E5" s="3210" t="str">
        <f>Sheet3!A12</f>
        <v>通州区运河核心区Ⅸ-06地块F3其它类多功能用地</v>
      </c>
      <c r="F5" s="3211"/>
      <c r="G5" s="3203" t="str">
        <f>Sheet3!A13</f>
        <v>通州区运河核心区Ⅸ-02地块F3其它类多功能用地</v>
      </c>
      <c r="H5" s="3204"/>
      <c r="I5" s="3203" t="str">
        <f>Sheet3!A15</f>
        <v>通州区运河核心区Ⅸ-07地块F3其它类多功能用地</v>
      </c>
      <c r="J5" s="3204"/>
      <c r="K5" s="610"/>
      <c r="L5" s="1130"/>
      <c r="M5" s="1131"/>
      <c r="N5" s="1131"/>
      <c r="O5" s="1131"/>
      <c r="P5" s="3191"/>
      <c r="Q5" s="3192"/>
      <c r="R5" s="3197"/>
      <c r="S5" s="3198"/>
      <c r="T5" s="3197"/>
      <c r="U5" s="3198"/>
      <c r="V5" s="3182"/>
      <c r="W5" s="3182"/>
      <c r="X5" s="1812"/>
      <c r="Y5" s="3197"/>
      <c r="Z5" s="3198"/>
      <c r="AA5" s="3184"/>
      <c r="AB5" s="3184"/>
      <c r="AC5" s="3184"/>
    </row>
    <row r="6" spans="1:30" ht="15.75" thickBot="1">
      <c r="A6" s="406"/>
      <c r="B6" s="407"/>
      <c r="C6" s="3201" t="s">
        <v>2544</v>
      </c>
      <c r="D6" s="3202"/>
      <c r="E6" s="3208" t="s">
        <v>2544</v>
      </c>
      <c r="F6" s="3209"/>
      <c r="G6" s="3201" t="s">
        <v>2544</v>
      </c>
      <c r="H6" s="3202"/>
      <c r="I6" s="3201" t="s">
        <v>2544</v>
      </c>
      <c r="J6" s="3202"/>
      <c r="K6" s="610" t="s">
        <v>2545</v>
      </c>
      <c r="L6" s="1130"/>
      <c r="M6" s="1131"/>
      <c r="N6" s="1131"/>
      <c r="O6" s="1131"/>
      <c r="P6" s="3193"/>
      <c r="Q6" s="3194"/>
      <c r="R6" s="3197"/>
      <c r="S6" s="3198"/>
      <c r="T6" s="3199"/>
      <c r="U6" s="3200"/>
      <c r="V6" s="3182"/>
      <c r="W6" s="3182"/>
      <c r="X6" s="1812"/>
      <c r="Y6" s="3199"/>
      <c r="Z6" s="3200"/>
      <c r="AA6" s="3185"/>
      <c r="AB6" s="3185"/>
      <c r="AC6" s="3185"/>
    </row>
    <row r="7" spans="1:30" s="117" customFormat="1" ht="15.75" thickBot="1">
      <c r="A7" s="408" t="s">
        <v>2546</v>
      </c>
      <c r="B7" s="409"/>
      <c r="C7" s="410">
        <f>'数据-取费表'!B2</f>
        <v>43782</v>
      </c>
      <c r="D7" s="411">
        <v>100</v>
      </c>
      <c r="E7" s="412" t="str">
        <f>Sheet3!H12</f>
        <v>2014-05-06</v>
      </c>
      <c r="F7" s="413">
        <f>SUMIF(70:70,YEAR(E7)&amp;"-"&amp;INT((MONTH(E7)+2)/3),71:71)</f>
        <v>89</v>
      </c>
      <c r="G7" s="2696" t="str">
        <f>Sheet3!H13</f>
        <v>2014-05-06</v>
      </c>
      <c r="H7" s="411">
        <f>SUMIF(70:70,YEAR(G7)&amp;"-"&amp;INT((MONTH(G7)+2)/3),71:71)</f>
        <v>89</v>
      </c>
      <c r="I7" s="2696" t="str">
        <f>Sheet3!H15</f>
        <v>2014-04-04</v>
      </c>
      <c r="J7" s="411">
        <f>SUMIF(70:70,YEAR(I7)&amp;"-"&amp;INT((MONTH(I7)+2)/3),71:71)</f>
        <v>89</v>
      </c>
      <c r="K7" s="611"/>
      <c r="L7" s="1132"/>
      <c r="M7" s="1133"/>
      <c r="N7" s="1133"/>
      <c r="O7" s="1133"/>
      <c r="P7" s="3205" t="s">
        <v>2547</v>
      </c>
      <c r="Q7" s="3207"/>
      <c r="R7" s="770" t="s">
        <v>17</v>
      </c>
      <c r="S7" s="771">
        <f t="shared" ref="S7:S15" si="0">F7</f>
        <v>89</v>
      </c>
      <c r="T7" s="770" t="s">
        <v>17</v>
      </c>
      <c r="U7" s="771">
        <f t="shared" ref="U7:U15" si="1">H7</f>
        <v>89</v>
      </c>
      <c r="V7" s="770" t="s">
        <v>17</v>
      </c>
      <c r="W7" s="771">
        <f t="shared" ref="W7:W15" si="2">J7</f>
        <v>89</v>
      </c>
      <c r="X7" s="772"/>
      <c r="Y7" s="3205" t="s">
        <v>2547</v>
      </c>
      <c r="Z7" s="3206"/>
      <c r="AA7" s="773">
        <f>D7/F7</f>
        <v>1.1235955056179776</v>
      </c>
      <c r="AB7" s="773">
        <f>D7/H7</f>
        <v>1.1235955056179776</v>
      </c>
      <c r="AC7" s="773">
        <f>D7/J7</f>
        <v>1.1235955056179776</v>
      </c>
    </row>
    <row r="8" spans="1:30" s="117" customFormat="1" ht="15.75" thickBot="1">
      <c r="A8" s="408" t="s">
        <v>2548</v>
      </c>
      <c r="B8" s="409"/>
      <c r="C8" s="414" t="s">
        <v>2549</v>
      </c>
      <c r="D8" s="411">
        <v>100</v>
      </c>
      <c r="E8" s="2965" t="s">
        <v>3139</v>
      </c>
      <c r="F8" s="413">
        <f>SUMIF(73:73,E8,74:74)-SUMIF(73:73,C8,74:74)+100</f>
        <v>100</v>
      </c>
      <c r="G8" s="2965" t="s">
        <v>3139</v>
      </c>
      <c r="H8" s="411">
        <f>SUMIF(73:73,G8,74:74)-SUMIF(73:73,C8,74:74)+100</f>
        <v>100</v>
      </c>
      <c r="I8" s="2965" t="s">
        <v>3139</v>
      </c>
      <c r="J8" s="411">
        <f>SUMIF(73:73,I8,74:74)-SUMIF(73:73,C8,74:74)+100</f>
        <v>100</v>
      </c>
      <c r="K8" s="611"/>
      <c r="L8" s="1132"/>
      <c r="M8" s="1133"/>
      <c r="N8" s="1133"/>
      <c r="O8" s="1133"/>
      <c r="P8" s="3205" t="s">
        <v>2550</v>
      </c>
      <c r="Q8" s="3206"/>
      <c r="R8" s="770" t="s">
        <v>17</v>
      </c>
      <c r="S8" s="771">
        <f t="shared" si="0"/>
        <v>100</v>
      </c>
      <c r="T8" s="770" t="s">
        <v>17</v>
      </c>
      <c r="U8" s="771">
        <f t="shared" si="1"/>
        <v>100</v>
      </c>
      <c r="V8" s="770" t="s">
        <v>17</v>
      </c>
      <c r="W8" s="771">
        <f t="shared" si="2"/>
        <v>100</v>
      </c>
      <c r="X8" s="772"/>
      <c r="Y8" s="3205" t="s">
        <v>2550</v>
      </c>
      <c r="Z8" s="3206"/>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6" t="s">
        <v>2553</v>
      </c>
      <c r="Q9" s="1794" t="str">
        <f t="shared" ref="Q9:Q15" si="6">B9</f>
        <v>用途</v>
      </c>
      <c r="R9" s="770" t="s">
        <v>17</v>
      </c>
      <c r="S9" s="771">
        <f t="shared" si="0"/>
        <v>100</v>
      </c>
      <c r="T9" s="770" t="s">
        <v>17</v>
      </c>
      <c r="U9" s="771">
        <f t="shared" si="1"/>
        <v>100</v>
      </c>
      <c r="V9" s="770" t="s">
        <v>17</v>
      </c>
      <c r="W9" s="771">
        <f t="shared" si="2"/>
        <v>100</v>
      </c>
      <c r="X9" s="772"/>
      <c r="Y9" s="3024" t="s">
        <v>2554</v>
      </c>
      <c r="Z9" s="55" t="str">
        <f t="shared" ref="Z9:Z15" si="7">Q9</f>
        <v>用途</v>
      </c>
      <c r="AA9" s="773">
        <f t="shared" si="3"/>
        <v>1</v>
      </c>
      <c r="AB9" s="773">
        <f t="shared" si="4"/>
        <v>1</v>
      </c>
      <c r="AC9" s="773">
        <f t="shared" si="5"/>
        <v>1</v>
      </c>
    </row>
    <row r="10" spans="1:30" s="427" customFormat="1" ht="27">
      <c r="A10" s="421"/>
      <c r="B10" s="422" t="s">
        <v>2555</v>
      </c>
      <c r="C10" s="2966" t="s">
        <v>3140</v>
      </c>
      <c r="D10" s="136">
        <v>100</v>
      </c>
      <c r="E10" s="465" t="s">
        <v>3141</v>
      </c>
      <c r="F10" s="136">
        <f>ROUND(100/'数据-取费表'!G16,0)</f>
        <v>105</v>
      </c>
      <c r="G10" s="463" t="s">
        <v>3142</v>
      </c>
      <c r="H10" s="136">
        <f>ROUND(100/'数据-取费表'!G16,0)</f>
        <v>105</v>
      </c>
      <c r="I10" s="463" t="s">
        <v>3142</v>
      </c>
      <c r="J10" s="136">
        <f>ROUND(100/'数据-取费表'!G16,0)</f>
        <v>105</v>
      </c>
      <c r="K10" s="672"/>
      <c r="L10" s="1135"/>
      <c r="M10" s="1136"/>
      <c r="N10" s="1136"/>
      <c r="O10" s="1137"/>
      <c r="P10" s="3176"/>
      <c r="Q10" s="1794" t="str">
        <f t="shared" si="6"/>
        <v>土地使用年限（年）</v>
      </c>
      <c r="R10" s="770" t="s">
        <v>17</v>
      </c>
      <c r="S10" s="771">
        <f t="shared" si="0"/>
        <v>105</v>
      </c>
      <c r="T10" s="770" t="s">
        <v>17</v>
      </c>
      <c r="U10" s="771">
        <f t="shared" si="1"/>
        <v>105</v>
      </c>
      <c r="V10" s="770" t="s">
        <v>17</v>
      </c>
      <c r="W10" s="771">
        <f t="shared" si="2"/>
        <v>105</v>
      </c>
      <c r="X10" s="772"/>
      <c r="Y10" s="3024"/>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3.62</v>
      </c>
      <c r="D11" s="136">
        <v>100</v>
      </c>
      <c r="E11" s="429">
        <f>Sheet3!F12</f>
        <v>7.49</v>
      </c>
      <c r="F11" s="136">
        <f>LOOKUP(E11,80:80,81:81)-LOOKUP(C11,80:80,81:81)+100</f>
        <v>92</v>
      </c>
      <c r="G11" s="430">
        <f>Sheet3!F13</f>
        <v>9.9499999999999993</v>
      </c>
      <c r="H11" s="136">
        <f>LOOKUP(G11,80:80,81:81)-LOOKUP(C11,80:80,81:81)+100</f>
        <v>88</v>
      </c>
      <c r="I11" s="429">
        <f>Sheet3!F15</f>
        <v>7.52</v>
      </c>
      <c r="J11" s="136">
        <f>LOOKUP(I11,80:80,81:81)-LOOKUP(C11,80:80,81:81)+100</f>
        <v>92</v>
      </c>
      <c r="K11" s="673">
        <v>2</v>
      </c>
      <c r="L11" s="1138"/>
      <c r="M11" s="1131"/>
      <c r="N11" s="1131"/>
      <c r="O11" s="1139"/>
      <c r="P11" s="3176"/>
      <c r="Q11" s="1794" t="str">
        <f t="shared" si="6"/>
        <v>容积率</v>
      </c>
      <c r="R11" s="770" t="s">
        <v>17</v>
      </c>
      <c r="S11" s="771">
        <f t="shared" si="0"/>
        <v>92</v>
      </c>
      <c r="T11" s="770" t="s">
        <v>17</v>
      </c>
      <c r="U11" s="771">
        <f t="shared" si="1"/>
        <v>88</v>
      </c>
      <c r="V11" s="770" t="s">
        <v>17</v>
      </c>
      <c r="W11" s="771">
        <f t="shared" si="2"/>
        <v>92</v>
      </c>
      <c r="X11" s="772"/>
      <c r="Y11" s="3024"/>
      <c r="Z11" s="55" t="str">
        <f t="shared" si="7"/>
        <v>容积率</v>
      </c>
      <c r="AA11" s="773">
        <f t="shared" si="3"/>
        <v>1.0869565217391304</v>
      </c>
      <c r="AB11" s="773">
        <f t="shared" si="4"/>
        <v>1.1363636363636365</v>
      </c>
      <c r="AC11" s="773">
        <f t="shared" si="5"/>
        <v>1.0869565217391304</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4"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4">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4">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85.5">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40"/>
      <c r="M15" s="1131"/>
      <c r="N15" s="1131"/>
      <c r="O15" s="1139"/>
      <c r="P15" s="3178" t="s">
        <v>2558</v>
      </c>
      <c r="Q15" s="1809" t="str">
        <f t="shared" si="6"/>
        <v>居住社区成熟度</v>
      </c>
      <c r="R15" s="774" t="s">
        <v>17</v>
      </c>
      <c r="S15" s="775">
        <f t="shared" si="0"/>
        <v>100</v>
      </c>
      <c r="T15" s="774" t="s">
        <v>17</v>
      </c>
      <c r="U15" s="775">
        <f t="shared" si="1"/>
        <v>100</v>
      </c>
      <c r="V15" s="774" t="s">
        <v>17</v>
      </c>
      <c r="W15" s="775">
        <f t="shared" si="2"/>
        <v>100</v>
      </c>
      <c r="X15" s="1812"/>
      <c r="Y15" s="3178" t="s">
        <v>2558</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179"/>
      <c r="Q16" s="1809"/>
      <c r="R16" s="774"/>
      <c r="S16" s="775"/>
      <c r="T16" s="774"/>
      <c r="U16" s="775"/>
      <c r="V16" s="774"/>
      <c r="W16" s="775"/>
      <c r="X16" s="1812"/>
      <c r="Y16" s="3179"/>
      <c r="Z16" s="1813"/>
      <c r="AA16" s="1810">
        <v>1</v>
      </c>
      <c r="AB16" s="1810">
        <v>1</v>
      </c>
      <c r="AC16" s="1810">
        <v>1</v>
      </c>
    </row>
    <row r="17" spans="1:29" ht="57">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79"/>
      <c r="Q17" s="1809" t="str">
        <f>B17</f>
        <v>商业繁华度</v>
      </c>
      <c r="R17" s="774" t="s">
        <v>17</v>
      </c>
      <c r="S17" s="775">
        <f>F17</f>
        <v>100</v>
      </c>
      <c r="T17" s="774" t="s">
        <v>17</v>
      </c>
      <c r="U17" s="775">
        <f>H17</f>
        <v>100</v>
      </c>
      <c r="V17" s="774" t="s">
        <v>17</v>
      </c>
      <c r="W17" s="775">
        <f>J17</f>
        <v>100</v>
      </c>
      <c r="X17" s="1812"/>
      <c r="Y17" s="3179"/>
      <c r="Z17" s="1813" t="str">
        <f>Q17</f>
        <v>商业繁华度</v>
      </c>
      <c r="AA17" s="1810">
        <f t="shared" si="3"/>
        <v>1</v>
      </c>
      <c r="AB17" s="1810">
        <f t="shared" si="4"/>
        <v>1</v>
      </c>
      <c r="AC17" s="1810">
        <f t="shared" si="5"/>
        <v>1</v>
      </c>
    </row>
    <row r="18" spans="1:29" ht="15">
      <c r="A18" s="428"/>
      <c r="B18" s="456"/>
      <c r="C18" s="2967" t="s">
        <v>3143</v>
      </c>
      <c r="D18" s="450"/>
      <c r="E18" s="2968" t="s">
        <v>3144</v>
      </c>
      <c r="F18" s="450"/>
      <c r="G18" s="2968" t="s">
        <v>3144</v>
      </c>
      <c r="H18" s="448"/>
      <c r="I18" s="2969" t="s">
        <v>3144</v>
      </c>
      <c r="J18" s="448"/>
      <c r="K18" s="672"/>
      <c r="L18" s="1140"/>
      <c r="M18" s="1131"/>
      <c r="N18" s="1131"/>
      <c r="O18" s="1139"/>
      <c r="P18" s="3179"/>
      <c r="Q18" s="1809"/>
      <c r="R18" s="774"/>
      <c r="S18" s="775"/>
      <c r="T18" s="774"/>
      <c r="U18" s="775"/>
      <c r="V18" s="774"/>
      <c r="W18" s="775"/>
      <c r="X18" s="1812"/>
      <c r="Y18" s="3179"/>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179"/>
      <c r="Q19" s="1809" t="str">
        <f>B19</f>
        <v>办公集聚程度</v>
      </c>
      <c r="R19" s="774" t="s">
        <v>17</v>
      </c>
      <c r="S19" s="775">
        <f>F19</f>
        <v>100</v>
      </c>
      <c r="T19" s="774" t="s">
        <v>17</v>
      </c>
      <c r="U19" s="775">
        <f>H19</f>
        <v>100</v>
      </c>
      <c r="V19" s="774" t="s">
        <v>17</v>
      </c>
      <c r="W19" s="775">
        <f>J19</f>
        <v>100</v>
      </c>
      <c r="X19" s="1812"/>
      <c r="Y19" s="3179"/>
      <c r="Z19" s="1813" t="str">
        <f>Q19</f>
        <v>办公集聚程度</v>
      </c>
      <c r="AA19" s="1810">
        <f t="shared" si="3"/>
        <v>1</v>
      </c>
      <c r="AB19" s="1810">
        <f t="shared" si="4"/>
        <v>1</v>
      </c>
      <c r="AC19" s="1810">
        <f t="shared" si="5"/>
        <v>1</v>
      </c>
    </row>
    <row r="20" spans="1:29" ht="15">
      <c r="A20" s="428"/>
      <c r="B20" s="456"/>
      <c r="C20" s="2970" t="s">
        <v>3144</v>
      </c>
      <c r="D20" s="448"/>
      <c r="E20" s="2971" t="s">
        <v>3144</v>
      </c>
      <c r="F20" s="448"/>
      <c r="G20" s="2971" t="s">
        <v>3144</v>
      </c>
      <c r="H20" s="448"/>
      <c r="I20" s="2972" t="s">
        <v>3144</v>
      </c>
      <c r="J20" s="448"/>
      <c r="K20" s="672"/>
      <c r="L20" s="1140"/>
      <c r="M20" s="1131"/>
      <c r="N20" s="1131"/>
      <c r="O20" s="1139"/>
      <c r="P20" s="3179"/>
      <c r="Q20" s="1809"/>
      <c r="R20" s="774"/>
      <c r="S20" s="775"/>
      <c r="T20" s="774"/>
      <c r="U20" s="775"/>
      <c r="V20" s="774"/>
      <c r="W20" s="775"/>
      <c r="X20" s="1812"/>
      <c r="Y20" s="3179"/>
      <c r="Z20" s="1813"/>
      <c r="AA20" s="1810">
        <v>1</v>
      </c>
      <c r="AB20" s="1810">
        <v>1</v>
      </c>
      <c r="AC20" s="1810">
        <v>1</v>
      </c>
    </row>
    <row r="21" spans="1:29" ht="71.2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179"/>
      <c r="Q21" s="1809" t="str">
        <f>B21</f>
        <v>交通便捷度</v>
      </c>
      <c r="R21" s="774" t="s">
        <v>17</v>
      </c>
      <c r="S21" s="775">
        <f>F21</f>
        <v>100</v>
      </c>
      <c r="T21" s="774" t="s">
        <v>17</v>
      </c>
      <c r="U21" s="775">
        <f>H21</f>
        <v>100</v>
      </c>
      <c r="V21" s="774" t="s">
        <v>17</v>
      </c>
      <c r="W21" s="775">
        <f>J21</f>
        <v>100</v>
      </c>
      <c r="X21" s="1812"/>
      <c r="Y21" s="3179"/>
      <c r="Z21" s="1813" t="str">
        <f>Q21</f>
        <v>交通便捷度</v>
      </c>
      <c r="AA21" s="1810">
        <f t="shared" si="3"/>
        <v>1</v>
      </c>
      <c r="AB21" s="1810">
        <f t="shared" si="4"/>
        <v>1</v>
      </c>
      <c r="AC21" s="1810">
        <f t="shared" si="5"/>
        <v>1</v>
      </c>
    </row>
    <row r="22" spans="1:29" ht="15">
      <c r="A22" s="428"/>
      <c r="B22" s="1384"/>
      <c r="C22" s="2970" t="s">
        <v>3145</v>
      </c>
      <c r="D22" s="450"/>
      <c r="E22" s="2971" t="s">
        <v>3145</v>
      </c>
      <c r="F22" s="448"/>
      <c r="G22" s="2971" t="s">
        <v>3145</v>
      </c>
      <c r="H22" s="448"/>
      <c r="I22" s="2972" t="s">
        <v>3145</v>
      </c>
      <c r="J22" s="448"/>
      <c r="K22" s="672"/>
      <c r="L22" s="1140"/>
      <c r="M22" s="1131"/>
      <c r="N22" s="1131"/>
      <c r="O22" s="1139"/>
      <c r="P22" s="3179"/>
      <c r="Q22" s="1809"/>
      <c r="R22" s="774"/>
      <c r="S22" s="775"/>
      <c r="T22" s="774"/>
      <c r="U22" s="775"/>
      <c r="V22" s="774"/>
      <c r="W22" s="775"/>
      <c r="X22" s="1812"/>
      <c r="Y22" s="3179"/>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79"/>
      <c r="Q23" s="1809" t="str">
        <f t="shared" ref="Q23:Q37" si="8">B23</f>
        <v>区域土地利用方向</v>
      </c>
      <c r="R23" s="774" t="s">
        <v>17</v>
      </c>
      <c r="S23" s="775">
        <f>F23</f>
        <v>100</v>
      </c>
      <c r="T23" s="774" t="s">
        <v>17</v>
      </c>
      <c r="U23" s="775">
        <f>H23</f>
        <v>100</v>
      </c>
      <c r="V23" s="774" t="s">
        <v>17</v>
      </c>
      <c r="W23" s="775">
        <f>J23</f>
        <v>100</v>
      </c>
      <c r="X23" s="1812"/>
      <c r="Y23" s="3179"/>
      <c r="Z23" s="1813" t="str">
        <f>Q23</f>
        <v>区域土地利用方向</v>
      </c>
      <c r="AA23" s="1810">
        <f t="shared" si="3"/>
        <v>1</v>
      </c>
      <c r="AB23" s="1810">
        <f t="shared" si="4"/>
        <v>1</v>
      </c>
      <c r="AC23" s="1810">
        <f t="shared" si="5"/>
        <v>1</v>
      </c>
    </row>
    <row r="24" spans="1:29" ht="15">
      <c r="A24" s="404"/>
      <c r="B24" s="456"/>
      <c r="C24" s="2973" t="s">
        <v>3145</v>
      </c>
      <c r="D24" s="448"/>
      <c r="E24" s="2971" t="s">
        <v>3145</v>
      </c>
      <c r="F24" s="448"/>
      <c r="G24" s="2972" t="s">
        <v>3145</v>
      </c>
      <c r="H24" s="448"/>
      <c r="I24" s="2972" t="s">
        <v>3145</v>
      </c>
      <c r="J24" s="448"/>
      <c r="K24" s="812"/>
      <c r="L24" s="1140"/>
      <c r="M24" s="1131"/>
      <c r="N24" s="1131"/>
      <c r="O24" s="1139"/>
      <c r="P24" s="3179"/>
      <c r="Q24" s="1809"/>
      <c r="R24" s="774"/>
      <c r="S24" s="775"/>
      <c r="T24" s="774"/>
      <c r="U24" s="775"/>
      <c r="V24" s="774"/>
      <c r="W24" s="775"/>
      <c r="X24" s="1812"/>
      <c r="Y24" s="3179"/>
      <c r="Z24" s="1813"/>
      <c r="AA24" s="1810"/>
      <c r="AB24" s="1810"/>
      <c r="AC24" s="1810"/>
    </row>
    <row r="25" spans="1:29" ht="42.75">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179"/>
      <c r="Q25" s="1809" t="str">
        <f t="shared" si="8"/>
        <v>自然及人文环境状况</v>
      </c>
      <c r="R25" s="774" t="s">
        <v>17</v>
      </c>
      <c r="S25" s="775">
        <f>F25</f>
        <v>100</v>
      </c>
      <c r="T25" s="774" t="s">
        <v>17</v>
      </c>
      <c r="U25" s="775">
        <f>H25</f>
        <v>100</v>
      </c>
      <c r="V25" s="774" t="s">
        <v>17</v>
      </c>
      <c r="W25" s="775">
        <f>J25</f>
        <v>100</v>
      </c>
      <c r="X25" s="1812"/>
      <c r="Y25" s="3179"/>
      <c r="Z25" s="1813" t="str">
        <f>Q25</f>
        <v>自然及人文环境状况</v>
      </c>
      <c r="AA25" s="1810">
        <f t="shared" si="3"/>
        <v>1</v>
      </c>
      <c r="AB25" s="1810">
        <f t="shared" si="4"/>
        <v>1</v>
      </c>
      <c r="AC25" s="1810">
        <f t="shared" si="5"/>
        <v>1</v>
      </c>
    </row>
    <row r="26" spans="1:29" ht="15">
      <c r="A26" s="404"/>
      <c r="B26" s="456"/>
      <c r="C26" s="2970" t="s">
        <v>3145</v>
      </c>
      <c r="D26" s="448"/>
      <c r="E26" s="2974" t="s">
        <v>3145</v>
      </c>
      <c r="F26" s="448"/>
      <c r="G26" s="2974" t="s">
        <v>3145</v>
      </c>
      <c r="H26" s="448"/>
      <c r="I26" s="2970" t="s">
        <v>3145</v>
      </c>
      <c r="J26" s="448"/>
      <c r="K26" s="672"/>
      <c r="L26" s="1140"/>
      <c r="M26" s="1131"/>
      <c r="N26" s="1131"/>
      <c r="O26" s="1139"/>
      <c r="P26" s="3179"/>
      <c r="Q26" s="1809"/>
      <c r="R26" s="774"/>
      <c r="S26" s="775"/>
      <c r="T26" s="774"/>
      <c r="U26" s="775"/>
      <c r="V26" s="774"/>
      <c r="W26" s="775"/>
      <c r="X26" s="1812"/>
      <c r="Y26" s="3179"/>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179"/>
      <c r="Q27" s="1794" t="str">
        <f t="shared" si="8"/>
        <v>公共配套设施</v>
      </c>
      <c r="R27" s="770" t="s">
        <v>17</v>
      </c>
      <c r="S27" s="771">
        <f>F27</f>
        <v>100</v>
      </c>
      <c r="T27" s="770" t="s">
        <v>17</v>
      </c>
      <c r="U27" s="771">
        <f>H27</f>
        <v>100</v>
      </c>
      <c r="V27" s="770" t="s">
        <v>17</v>
      </c>
      <c r="W27" s="771">
        <f>J27</f>
        <v>100</v>
      </c>
      <c r="X27" s="772"/>
      <c r="Y27" s="3179"/>
      <c r="Z27" s="55" t="str">
        <f>Q27</f>
        <v>公共配套设施</v>
      </c>
      <c r="AA27" s="1810">
        <f>D27/F27</f>
        <v>1</v>
      </c>
      <c r="AB27" s="1810">
        <f>D27/H27</f>
        <v>1</v>
      </c>
      <c r="AC27" s="1810">
        <f>D27/J27</f>
        <v>1</v>
      </c>
    </row>
    <row r="28" spans="1:29" s="117" customFormat="1" ht="15">
      <c r="A28" s="649"/>
      <c r="B28" s="456"/>
      <c r="C28" s="2975" t="s">
        <v>3146</v>
      </c>
      <c r="D28" s="448"/>
      <c r="E28" s="2974" t="s">
        <v>3145</v>
      </c>
      <c r="F28" s="448"/>
      <c r="G28" s="2974" t="s">
        <v>3145</v>
      </c>
      <c r="H28" s="448"/>
      <c r="I28" s="2970" t="s">
        <v>3145</v>
      </c>
      <c r="J28" s="448"/>
      <c r="K28" s="672"/>
      <c r="L28" s="1132"/>
      <c r="M28" s="1133"/>
      <c r="N28" s="1133"/>
      <c r="O28" s="1134"/>
      <c r="P28" s="3179"/>
      <c r="Q28" s="1794"/>
      <c r="R28" s="770"/>
      <c r="S28" s="771"/>
      <c r="T28" s="770"/>
      <c r="U28" s="771"/>
      <c r="V28" s="770"/>
      <c r="W28" s="771"/>
      <c r="X28" s="772"/>
      <c r="Y28" s="3179"/>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9"/>
      <c r="Q29" s="1794"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0">
        <f>D29/F29</f>
        <v>1</v>
      </c>
      <c r="AB29" s="1810">
        <f>D29/H29</f>
        <v>1</v>
      </c>
      <c r="AC29" s="1810">
        <f>D29/J29</f>
        <v>1</v>
      </c>
    </row>
    <row r="30" spans="1:29" s="117" customFormat="1" ht="15">
      <c r="A30" s="649"/>
      <c r="B30" s="456"/>
      <c r="C30" s="2975" t="s">
        <v>3147</v>
      </c>
      <c r="D30" s="448"/>
      <c r="E30" s="2976" t="s">
        <v>3147</v>
      </c>
      <c r="F30" s="448"/>
      <c r="G30" s="2976" t="s">
        <v>3147</v>
      </c>
      <c r="H30" s="448"/>
      <c r="I30" s="2976" t="s">
        <v>3147</v>
      </c>
      <c r="J30" s="448"/>
      <c r="K30" s="672"/>
      <c r="L30" s="1132"/>
      <c r="M30" s="1133"/>
      <c r="N30" s="1133"/>
      <c r="O30" s="1134"/>
      <c r="P30" s="3179"/>
      <c r="Q30" s="1794"/>
      <c r="R30" s="770"/>
      <c r="S30" s="771"/>
      <c r="T30" s="770"/>
      <c r="U30" s="771"/>
      <c r="V30" s="770"/>
      <c r="W30" s="771"/>
      <c r="X30" s="772"/>
      <c r="Y30" s="3179"/>
      <c r="Z30" s="55"/>
      <c r="AA30" s="1810">
        <v>1</v>
      </c>
      <c r="AB30" s="1810">
        <v>1</v>
      </c>
      <c r="AC30" s="1810">
        <v>1</v>
      </c>
    </row>
    <row r="31" spans="1:29" ht="15">
      <c r="A31" s="428"/>
      <c r="B31" s="456" t="s">
        <v>2654</v>
      </c>
      <c r="C31" s="2973" t="s">
        <v>3148</v>
      </c>
      <c r="D31" s="435">
        <v>100</v>
      </c>
      <c r="E31" s="2977" t="s">
        <v>3148</v>
      </c>
      <c r="F31" s="435">
        <f>SUMIF(104:104,E31,105:105)-SUMIF(104:104,C31,105:105)+100</f>
        <v>100</v>
      </c>
      <c r="G31" s="2977" t="s">
        <v>3148</v>
      </c>
      <c r="H31" s="435">
        <f>SUMIF(104:104,G31,105:105)-SUMIF(104:104,C31,105:105)+100</f>
        <v>100</v>
      </c>
      <c r="I31" s="2977" t="s">
        <v>3148</v>
      </c>
      <c r="J31" s="435">
        <f>SUMIF(104:104,I31,105:105)-SUMIF(104:104,C31,105:105)+100</f>
        <v>100</v>
      </c>
      <c r="K31" s="673"/>
      <c r="L31" s="1140"/>
      <c r="M31" s="1131"/>
      <c r="N31" s="1131"/>
      <c r="O31" s="1139"/>
      <c r="P31" s="317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9"/>
      <c r="Z31" s="1813" t="str">
        <f t="shared" ref="Z31:Z45" si="13">Q31</f>
        <v>临街状况</v>
      </c>
      <c r="AA31" s="1810">
        <f t="shared" si="3"/>
        <v>1</v>
      </c>
      <c r="AB31" s="1810">
        <f t="shared" si="4"/>
        <v>1</v>
      </c>
      <c r="AC31" s="1810">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9"/>
      <c r="Q32" s="1809" t="str">
        <f t="shared" si="8"/>
        <v>毗邻道路的类型与等级</v>
      </c>
      <c r="R32" s="774" t="s">
        <v>17</v>
      </c>
      <c r="S32" s="775">
        <f t="shared" si="10"/>
        <v>100</v>
      </c>
      <c r="T32" s="774" t="s">
        <v>17</v>
      </c>
      <c r="U32" s="775">
        <f t="shared" si="11"/>
        <v>100</v>
      </c>
      <c r="V32" s="774" t="s">
        <v>17</v>
      </c>
      <c r="W32" s="775">
        <f t="shared" si="12"/>
        <v>100</v>
      </c>
      <c r="X32" s="1812"/>
      <c r="Y32" s="3179"/>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179"/>
      <c r="Q33" s="1809"/>
      <c r="R33" s="774"/>
      <c r="S33" s="775"/>
      <c r="T33" s="774"/>
      <c r="U33" s="775"/>
      <c r="V33" s="774"/>
      <c r="W33" s="775"/>
      <c r="X33" s="1812"/>
      <c r="Y33" s="3179"/>
      <c r="Z33" s="1813"/>
      <c r="AA33" s="1810">
        <v>1</v>
      </c>
      <c r="AB33" s="1810">
        <v>1</v>
      </c>
      <c r="AC33" s="1810">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9"/>
      <c r="Q34" s="1809" t="str">
        <f t="shared" si="8"/>
        <v>土地级别</v>
      </c>
      <c r="R34" s="774" t="s">
        <v>17</v>
      </c>
      <c r="S34" s="775">
        <f t="shared" si="10"/>
        <v>100</v>
      </c>
      <c r="T34" s="774" t="s">
        <v>17</v>
      </c>
      <c r="U34" s="775">
        <f t="shared" si="11"/>
        <v>100</v>
      </c>
      <c r="V34" s="774" t="s">
        <v>17</v>
      </c>
      <c r="W34" s="775">
        <f t="shared" si="12"/>
        <v>100</v>
      </c>
      <c r="X34" s="1812"/>
      <c r="Y34" s="3179"/>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9"/>
      <c r="Q35" s="1809">
        <f t="shared" si="8"/>
        <v>111</v>
      </c>
      <c r="R35" s="774" t="s">
        <v>17</v>
      </c>
      <c r="S35" s="775">
        <f t="shared" si="10"/>
        <v>100</v>
      </c>
      <c r="T35" s="774" t="s">
        <v>17</v>
      </c>
      <c r="U35" s="775">
        <f t="shared" si="11"/>
        <v>100</v>
      </c>
      <c r="V35" s="774" t="s">
        <v>17</v>
      </c>
      <c r="W35" s="775">
        <f t="shared" si="12"/>
        <v>100</v>
      </c>
      <c r="X35" s="1812"/>
      <c r="Y35" s="3179"/>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0" t="s">
        <v>2563</v>
      </c>
      <c r="Q36" s="1809">
        <f t="shared" si="8"/>
        <v>111</v>
      </c>
      <c r="R36" s="774" t="s">
        <v>17</v>
      </c>
      <c r="S36" s="775">
        <f t="shared" si="10"/>
        <v>100</v>
      </c>
      <c r="T36" s="774" t="s">
        <v>17</v>
      </c>
      <c r="U36" s="775">
        <f t="shared" si="11"/>
        <v>100</v>
      </c>
      <c r="V36" s="774" t="s">
        <v>17</v>
      </c>
      <c r="W36" s="775">
        <f t="shared" si="12"/>
        <v>100</v>
      </c>
      <c r="X36" s="1812"/>
      <c r="Y36" s="3181" t="s">
        <v>2563</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1"/>
      <c r="Q37" s="1809">
        <f t="shared" si="8"/>
        <v>111</v>
      </c>
      <c r="R37" s="777" t="s">
        <v>17</v>
      </c>
      <c r="S37" s="778">
        <f t="shared" si="10"/>
        <v>100</v>
      </c>
      <c r="T37" s="777" t="s">
        <v>17</v>
      </c>
      <c r="U37" s="778">
        <f t="shared" si="11"/>
        <v>100</v>
      </c>
      <c r="V37" s="777" t="s">
        <v>17</v>
      </c>
      <c r="W37" s="778">
        <f t="shared" si="12"/>
        <v>100</v>
      </c>
      <c r="X37" s="779"/>
      <c r="Y37" s="3181"/>
      <c r="Z37" s="780">
        <f t="shared" si="13"/>
        <v>111</v>
      </c>
      <c r="AA37" s="1810">
        <f t="shared" si="3"/>
        <v>1</v>
      </c>
      <c r="AB37" s="1810">
        <f t="shared" si="4"/>
        <v>1</v>
      </c>
      <c r="AC37" s="1810">
        <f t="shared" si="5"/>
        <v>1</v>
      </c>
    </row>
    <row r="38" spans="1:29" ht="15">
      <c r="A38" s="472" t="s">
        <v>2561</v>
      </c>
      <c r="B38" s="456" t="s">
        <v>2749</v>
      </c>
      <c r="C38" s="679">
        <f>'数据-基础表'!A3</f>
        <v>16160</v>
      </c>
      <c r="D38" s="467">
        <v>100</v>
      </c>
      <c r="E38" s="679">
        <f>Sheet3!D12</f>
        <v>17815</v>
      </c>
      <c r="F38" s="467">
        <f>LOOKUP(E38,117:117,118:118)-LOOKUP(C38,117:117,118:118)+100</f>
        <v>100</v>
      </c>
      <c r="G38" s="679">
        <f>Sheet3!D13</f>
        <v>8949</v>
      </c>
      <c r="H38" s="467">
        <f>LOOKUP(G38,117:117,118:118)-LOOKUP(C38,117:117,118:118)+100</f>
        <v>99</v>
      </c>
      <c r="I38" s="530">
        <f>Sheet3!D15</f>
        <v>17064</v>
      </c>
      <c r="J38" s="467">
        <f>LOOKUP(I38,117:117,118:118)-LOOKUP(C38,117:117,118:118)+100</f>
        <v>100</v>
      </c>
      <c r="K38" s="613"/>
      <c r="L38" s="1140"/>
      <c r="M38" s="1131"/>
      <c r="N38" s="1131"/>
      <c r="O38" s="1139"/>
      <c r="P38" s="3181"/>
      <c r="Q38" s="1809" t="str">
        <f>B38</f>
        <v>宗地面积</v>
      </c>
      <c r="R38" s="774" t="s">
        <v>17</v>
      </c>
      <c r="S38" s="775">
        <f t="shared" si="10"/>
        <v>100</v>
      </c>
      <c r="T38" s="774" t="s">
        <v>17</v>
      </c>
      <c r="U38" s="775">
        <f t="shared" si="11"/>
        <v>99</v>
      </c>
      <c r="V38" s="774" t="s">
        <v>17</v>
      </c>
      <c r="W38" s="775">
        <f t="shared" si="12"/>
        <v>100</v>
      </c>
      <c r="X38" s="1812"/>
      <c r="Y38" s="3181"/>
      <c r="Z38" s="1813" t="str">
        <f t="shared" si="13"/>
        <v>宗地面积</v>
      </c>
      <c r="AA38" s="1810">
        <f t="shared" si="3"/>
        <v>1</v>
      </c>
      <c r="AB38" s="1810">
        <f t="shared" si="4"/>
        <v>1.0101010101010102</v>
      </c>
      <c r="AC38" s="1810">
        <f t="shared" si="5"/>
        <v>1</v>
      </c>
    </row>
    <row r="39" spans="1:29" ht="15">
      <c r="A39" s="472"/>
      <c r="B39" s="422" t="s">
        <v>2750</v>
      </c>
      <c r="C39" s="2978" t="s">
        <v>3149</v>
      </c>
      <c r="D39" s="435">
        <v>100</v>
      </c>
      <c r="E39" s="2978" t="s">
        <v>3149</v>
      </c>
      <c r="F39" s="435">
        <f>SUMIF(119:119,E39,120:120)-SUMIF(119:119,C39,120:120)+100</f>
        <v>100</v>
      </c>
      <c r="G39" s="2978" t="s">
        <v>3149</v>
      </c>
      <c r="H39" s="435">
        <f>SUMIF(119:119,G39,120:120)-SUMIF(119:119,C39,120:120)+100</f>
        <v>100</v>
      </c>
      <c r="I39" s="2978" t="s">
        <v>3149</v>
      </c>
      <c r="J39" s="435">
        <f>SUMIF(119:119,I39,120:120)-SUMIF(119:119,C39,120:120)+100</f>
        <v>100</v>
      </c>
      <c r="K39" s="612"/>
      <c r="L39" s="1140"/>
      <c r="M39" s="1131"/>
      <c r="N39" s="1131"/>
      <c r="O39" s="1139"/>
      <c r="P39" s="3181"/>
      <c r="Q39" s="1809" t="str">
        <f t="shared" ref="Q39:Q45" si="14">B39</f>
        <v>宗地形状</v>
      </c>
      <c r="R39" s="774" t="s">
        <v>17</v>
      </c>
      <c r="S39" s="775">
        <f t="shared" si="10"/>
        <v>100</v>
      </c>
      <c r="T39" s="774" t="s">
        <v>17</v>
      </c>
      <c r="U39" s="775">
        <f t="shared" si="11"/>
        <v>100</v>
      </c>
      <c r="V39" s="774" t="s">
        <v>17</v>
      </c>
      <c r="W39" s="775">
        <f t="shared" si="12"/>
        <v>100</v>
      </c>
      <c r="X39" s="1812"/>
      <c r="Y39" s="3181"/>
      <c r="Z39" s="1813" t="str">
        <f t="shared" si="13"/>
        <v>宗地形状</v>
      </c>
      <c r="AA39" s="1810">
        <f t="shared" si="3"/>
        <v>1</v>
      </c>
      <c r="AB39" s="1810">
        <f t="shared" si="4"/>
        <v>1</v>
      </c>
      <c r="AC39" s="1810">
        <f t="shared" si="5"/>
        <v>1</v>
      </c>
    </row>
    <row r="40" spans="1:29" ht="15">
      <c r="A40" s="472"/>
      <c r="B40" s="422" t="s">
        <v>2751</v>
      </c>
      <c r="C40" s="2978" t="s">
        <v>3145</v>
      </c>
      <c r="D40" s="435">
        <v>100</v>
      </c>
      <c r="E40" s="2978" t="s">
        <v>3145</v>
      </c>
      <c r="F40" s="435">
        <f>SUMIF(121:121,E40,122:122)-SUMIF(121:121,C40,122:122)+100</f>
        <v>100</v>
      </c>
      <c r="G40" s="2978" t="s">
        <v>3145</v>
      </c>
      <c r="H40" s="435">
        <f>SUMIF(121:121,G40,122:122)-SUMIF(121:121,C40,122:122)+100</f>
        <v>100</v>
      </c>
      <c r="I40" s="2978" t="s">
        <v>3145</v>
      </c>
      <c r="J40" s="435">
        <f>SUMIF(121:121,I40,122:122)-SUMIF(121:121,C40,122:122)+100</f>
        <v>100</v>
      </c>
      <c r="K40" s="612"/>
      <c r="L40" s="1140"/>
      <c r="M40" s="1131"/>
      <c r="N40" s="1131"/>
      <c r="O40" s="1139"/>
      <c r="P40" s="3181"/>
      <c r="Q40" s="1809" t="str">
        <f t="shared" si="14"/>
        <v>临街宽度及深度</v>
      </c>
      <c r="R40" s="774" t="s">
        <v>17</v>
      </c>
      <c r="S40" s="775">
        <f t="shared" si="10"/>
        <v>100</v>
      </c>
      <c r="T40" s="774" t="s">
        <v>17</v>
      </c>
      <c r="U40" s="775">
        <f t="shared" si="11"/>
        <v>100</v>
      </c>
      <c r="V40" s="774" t="s">
        <v>17</v>
      </c>
      <c r="W40" s="775">
        <f t="shared" si="12"/>
        <v>100</v>
      </c>
      <c r="X40" s="1812"/>
      <c r="Y40" s="3181"/>
      <c r="Z40" s="1813" t="str">
        <f t="shared" si="13"/>
        <v>临街宽度及深度</v>
      </c>
      <c r="AA40" s="1810">
        <f t="shared" si="3"/>
        <v>1</v>
      </c>
      <c r="AB40" s="1810">
        <f t="shared" si="4"/>
        <v>1</v>
      </c>
      <c r="AC40" s="1810">
        <f t="shared" si="5"/>
        <v>1</v>
      </c>
    </row>
    <row r="41" spans="1:29" s="117" customFormat="1" ht="15">
      <c r="A41" s="473"/>
      <c r="B41" s="422" t="s">
        <v>2752</v>
      </c>
      <c r="C41" s="2979" t="s">
        <v>3147</v>
      </c>
      <c r="D41" s="136">
        <v>100</v>
      </c>
      <c r="E41" s="2979" t="s">
        <v>3147</v>
      </c>
      <c r="F41" s="435">
        <f>SUMIF(123:123,E41,124:124)-SUMIF(123:123,C41,124:124)+100</f>
        <v>100</v>
      </c>
      <c r="G41" s="2979" t="s">
        <v>3147</v>
      </c>
      <c r="H41" s="435">
        <f>SUMIF(123:123,G41,124:124)-SUMIF(123:123,C41,124:124)+100</f>
        <v>100</v>
      </c>
      <c r="I41" s="2979" t="s">
        <v>3150</v>
      </c>
      <c r="J41" s="435">
        <f>SUMIF(123:123,I41,124:124)-SUMIF(123:123,C41,124:124)+100</f>
        <v>100</v>
      </c>
      <c r="K41" s="612"/>
      <c r="L41" s="1132"/>
      <c r="M41" s="1133"/>
      <c r="N41" s="1133"/>
      <c r="O41" s="1134"/>
      <c r="P41" s="3181"/>
      <c r="Q41" s="1809"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2753</v>
      </c>
      <c r="C42" s="2978" t="s">
        <v>3145</v>
      </c>
      <c r="D42" s="435">
        <v>100</v>
      </c>
      <c r="E42" s="2978" t="s">
        <v>3145</v>
      </c>
      <c r="F42" s="435">
        <f>SUMIF(125:125,E42,126:126)-SUMIF(125:125,C42,126:126)+100</f>
        <v>100</v>
      </c>
      <c r="G42" s="2978" t="s">
        <v>3145</v>
      </c>
      <c r="H42" s="435">
        <f>SUMIF(125:125,G42,126:126)-SUMIF(125:125,C42,126:126)+100</f>
        <v>100</v>
      </c>
      <c r="I42" s="2978" t="s">
        <v>3145</v>
      </c>
      <c r="J42" s="435">
        <f>SUMIF(125:125,I42,126:126)-SUMIF(125:125,C42,126:126)+100</f>
        <v>100</v>
      </c>
      <c r="K42" s="612"/>
      <c r="L42" s="1140"/>
      <c r="M42" s="1131"/>
      <c r="N42" s="1131"/>
      <c r="O42" s="1139"/>
      <c r="P42" s="3181" t="s">
        <v>2563</v>
      </c>
      <c r="Q42" s="1809" t="str">
        <f t="shared" si="14"/>
        <v>工程地质条件</v>
      </c>
      <c r="R42" s="774" t="s">
        <v>17</v>
      </c>
      <c r="S42" s="775">
        <f t="shared" si="10"/>
        <v>100</v>
      </c>
      <c r="T42" s="774" t="s">
        <v>17</v>
      </c>
      <c r="U42" s="775">
        <f t="shared" si="11"/>
        <v>100</v>
      </c>
      <c r="V42" s="774" t="s">
        <v>17</v>
      </c>
      <c r="W42" s="775">
        <f t="shared" si="12"/>
        <v>100</v>
      </c>
      <c r="X42" s="1812"/>
      <c r="Y42" s="3181"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1"/>
      <c r="Q43" s="1809">
        <f t="shared" si="14"/>
        <v>111</v>
      </c>
      <c r="R43" s="774" t="s">
        <v>17</v>
      </c>
      <c r="S43" s="775">
        <f t="shared" si="10"/>
        <v>100</v>
      </c>
      <c r="T43" s="774" t="s">
        <v>17</v>
      </c>
      <c r="U43" s="775">
        <f t="shared" si="11"/>
        <v>100</v>
      </c>
      <c r="V43" s="774" t="s">
        <v>17</v>
      </c>
      <c r="W43" s="775">
        <f t="shared" si="12"/>
        <v>100</v>
      </c>
      <c r="X43" s="1812"/>
      <c r="Y43" s="3181"/>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1"/>
      <c r="Q44" s="1809">
        <f t="shared" si="14"/>
        <v>111</v>
      </c>
      <c r="R44" s="774" t="s">
        <v>17</v>
      </c>
      <c r="S44" s="775">
        <f t="shared" si="10"/>
        <v>100</v>
      </c>
      <c r="T44" s="774" t="s">
        <v>17</v>
      </c>
      <c r="U44" s="775">
        <f t="shared" si="11"/>
        <v>100</v>
      </c>
      <c r="V44" s="774" t="s">
        <v>17</v>
      </c>
      <c r="W44" s="775">
        <f t="shared" si="12"/>
        <v>100</v>
      </c>
      <c r="X44" s="1812"/>
      <c r="Y44" s="3181"/>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1"/>
      <c r="Q45" s="1809">
        <f t="shared" si="14"/>
        <v>111</v>
      </c>
      <c r="R45" s="777" t="s">
        <v>17</v>
      </c>
      <c r="S45" s="778">
        <f t="shared" si="10"/>
        <v>100</v>
      </c>
      <c r="T45" s="777" t="s">
        <v>17</v>
      </c>
      <c r="U45" s="778">
        <f t="shared" si="11"/>
        <v>100</v>
      </c>
      <c r="V45" s="777" t="s">
        <v>17</v>
      </c>
      <c r="W45" s="778">
        <f t="shared" si="12"/>
        <v>100</v>
      </c>
      <c r="X45" s="779"/>
      <c r="Y45" s="3181"/>
      <c r="Z45" s="780">
        <f t="shared" si="13"/>
        <v>111</v>
      </c>
      <c r="AA45" s="1810">
        <f t="shared" si="3"/>
        <v>1</v>
      </c>
      <c r="AB45" s="1810">
        <f t="shared" si="4"/>
        <v>1</v>
      </c>
      <c r="AC45" s="1810">
        <f t="shared" si="5"/>
        <v>1</v>
      </c>
    </row>
    <row r="46" spans="1:29" ht="15">
      <c r="A46" s="479" t="s">
        <v>2718</v>
      </c>
      <c r="B46" s="2704" t="s">
        <v>2754</v>
      </c>
      <c r="C46" s="682" t="s">
        <v>1</v>
      </c>
      <c r="D46" s="481"/>
      <c r="E46" s="482">
        <v>13371</v>
      </c>
      <c r="F46" s="483"/>
      <c r="G46" s="484">
        <v>12022</v>
      </c>
      <c r="H46" s="485"/>
      <c r="I46" s="482">
        <v>13016</v>
      </c>
      <c r="J46" s="485"/>
      <c r="K46" s="783"/>
      <c r="L46" s="1143"/>
      <c r="M46" s="1144"/>
      <c r="N46" s="1131"/>
      <c r="O46" s="1144"/>
      <c r="P46" s="3176" t="str">
        <f>A46</f>
        <v>成交单价</v>
      </c>
      <c r="Q46" s="3176"/>
      <c r="R46" s="3182">
        <f>E46</f>
        <v>13371</v>
      </c>
      <c r="S46" s="3182"/>
      <c r="T46" s="3182">
        <f>G46</f>
        <v>12022</v>
      </c>
      <c r="U46" s="3182"/>
      <c r="V46" s="3182">
        <f>I46</f>
        <v>13016</v>
      </c>
      <c r="W46" s="3182"/>
      <c r="X46" s="759"/>
      <c r="Y46" s="781"/>
      <c r="Z46" s="759"/>
      <c r="AA46" s="759"/>
      <c r="AB46" s="759"/>
      <c r="AC46" s="759"/>
    </row>
    <row r="47" spans="1:29" ht="15.75" thickBot="1">
      <c r="A47" s="486" t="s">
        <v>2667</v>
      </c>
      <c r="B47" s="683"/>
      <c r="C47" s="490">
        <f>R48</f>
        <v>15153</v>
      </c>
      <c r="D47" s="489"/>
      <c r="E47" s="490">
        <f>R47</f>
        <v>15552</v>
      </c>
      <c r="F47" s="491"/>
      <c r="G47" s="488">
        <f>T47</f>
        <v>14767</v>
      </c>
      <c r="H47" s="489"/>
      <c r="I47" s="490">
        <f>V47</f>
        <v>15139</v>
      </c>
      <c r="J47" s="489"/>
      <c r="K47" s="784"/>
      <c r="L47" s="1143"/>
      <c r="M47" s="1144"/>
      <c r="N47" s="1144"/>
      <c r="O47" s="1144"/>
      <c r="P47" s="3176" t="str">
        <f>A47</f>
        <v>比较价值（元/平方米）</v>
      </c>
      <c r="Q47" s="3176"/>
      <c r="R47" s="3169">
        <f>ROUND(PRODUCT(R46,AA7:AA45),0)</f>
        <v>15552</v>
      </c>
      <c r="S47" s="3169"/>
      <c r="T47" s="3169">
        <f>ROUND(PRODUCT(T46,AB7:AB45),0)</f>
        <v>14767</v>
      </c>
      <c r="U47" s="3169"/>
      <c r="V47" s="3169">
        <f>ROUND(PRODUCT(V46,AC7:AC45),0)</f>
        <v>15139</v>
      </c>
      <c r="W47" s="3169"/>
      <c r="X47" s="759"/>
      <c r="Y47" s="759"/>
      <c r="Z47" s="759"/>
      <c r="AA47" s="759"/>
      <c r="AB47" s="759"/>
      <c r="AC47" s="759"/>
    </row>
    <row r="48" spans="1:29" ht="15.75" thickBot="1">
      <c r="A48" s="492" t="s">
        <v>2755</v>
      </c>
      <c r="B48" s="493"/>
      <c r="C48" s="494">
        <f>R48</f>
        <v>15153</v>
      </c>
      <c r="D48" s="494"/>
      <c r="E48" s="494"/>
      <c r="F48" s="494"/>
      <c r="G48" s="494"/>
      <c r="H48" s="494"/>
      <c r="I48" s="494"/>
      <c r="J48" s="494"/>
      <c r="K48" s="785"/>
      <c r="L48" s="1143"/>
      <c r="M48" s="1144"/>
      <c r="N48" s="1144"/>
      <c r="O48" s="1144"/>
      <c r="P48" s="3170" t="str">
        <f>A48</f>
        <v>估价对象XX用房的比较价值（楼面单价，元/平方米）</v>
      </c>
      <c r="Q48" s="3171"/>
      <c r="R48" s="3172">
        <f>ROUND(AVERAGE(R47:V47),0)</f>
        <v>15153</v>
      </c>
      <c r="S48" s="3172"/>
      <c r="T48" s="3172"/>
      <c r="U48" s="3172"/>
      <c r="V48" s="3172"/>
      <c r="W48" s="317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0.16311420237828145</v>
      </c>
      <c r="F51" s="500" t="str">
        <f>IF(OR(E51&gt;=0.3,E51&lt;=-0.3),"超过30%","")</f>
        <v/>
      </c>
      <c r="G51" s="499">
        <f>IF(G46&lt;G47,G47/G46-1,G46/G47-1)</f>
        <v>0.22833139244718015</v>
      </c>
      <c r="H51" s="500" t="str">
        <f>IF(OR(G51&gt;=0.3,G51&lt;=-0.3),"超过30%","")</f>
        <v/>
      </c>
      <c r="I51" s="499">
        <f>IF(I46&lt;I47,I47/I46-1,I46/I47-1)</f>
        <v>0.16310694529809466</v>
      </c>
      <c r="J51" s="500" t="str">
        <f>IF(OR(I51&gt;=0.3,I51&lt;=-0.3),"超过30%","")</f>
        <v/>
      </c>
      <c r="K51" s="1105"/>
      <c r="L51" s="1106"/>
      <c r="M51" s="1144"/>
      <c r="N51" s="1144"/>
      <c r="O51" s="1144"/>
    </row>
    <row r="52" spans="1:15" ht="13.5" customHeight="1">
      <c r="A52" s="1144"/>
      <c r="B52" s="1144"/>
      <c r="C52" s="497" t="s">
        <v>2670</v>
      </c>
      <c r="D52" s="501"/>
      <c r="E52" s="499">
        <f>IF(E47&lt;G47,G47/E47-1,E47/G47-1)</f>
        <v>5.3159070901334093E-2</v>
      </c>
      <c r="F52" s="500" t="str">
        <f>IF(OR(E52&gt;=0.2,E52&lt;=-0.2),"超过20%","")</f>
        <v/>
      </c>
      <c r="G52" s="499">
        <f>IF(G47&lt;I47,I47/G47-1,G47/I47-1)</f>
        <v>2.5191304936683201E-2</v>
      </c>
      <c r="H52" s="500" t="str">
        <f>IF(OR(G52&gt;=0.2,G52&lt;=-0.2),"超过20%","")</f>
        <v/>
      </c>
      <c r="I52" s="499">
        <f>IF(I47&lt;E47,E47/I47-1,I47/E47-1)</f>
        <v>2.7280533720853484E-2</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173" t="s">
        <v>2762</v>
      </c>
      <c r="H55" s="3174"/>
      <c r="I55" s="144" t="s">
        <v>2763</v>
      </c>
      <c r="J55" s="2707">
        <f>项目基本情况!F35</f>
        <v>0</v>
      </c>
      <c r="K55" s="2708" t="s">
        <v>2764</v>
      </c>
      <c r="L55" s="1106"/>
      <c r="M55" s="1144"/>
      <c r="N55" s="1144"/>
      <c r="O55" s="1144"/>
    </row>
    <row r="56" spans="1:15" s="692" customFormat="1">
      <c r="A56" s="688" t="s">
        <v>2765</v>
      </c>
      <c r="B56" s="689">
        <f>C48</f>
        <v>15153</v>
      </c>
      <c r="C56" s="690">
        <v>1</v>
      </c>
      <c r="D56" s="1163">
        <v>1</v>
      </c>
      <c r="E56" s="690">
        <f>'数据-汇总表'!E8+'数据-汇总表'!E9</f>
        <v>54642.68</v>
      </c>
      <c r="F56" s="1103">
        <f t="shared" ref="F56:F65" si="15">ROUND(B56*E56/10000,0)</f>
        <v>82800</v>
      </c>
      <c r="G56" s="3175"/>
      <c r="H56" s="3176"/>
      <c r="I56" s="1108">
        <v>1</v>
      </c>
      <c r="J56" s="1111">
        <v>1</v>
      </c>
      <c r="K56" s="1145"/>
      <c r="L56" s="941"/>
      <c r="M56" s="941"/>
      <c r="N56" s="941"/>
      <c r="O56" s="941"/>
    </row>
    <row r="57" spans="1:15" s="692" customFormat="1">
      <c r="A57" s="693" t="s">
        <v>2766</v>
      </c>
      <c r="B57" s="262">
        <f>ROUND($C$48*C57*D57,0)</f>
        <v>2652</v>
      </c>
      <c r="C57" s="200">
        <f t="shared" ref="C57:C65" si="16">IF($C$55="北京市系数",I57,J57)</f>
        <v>0.7</v>
      </c>
      <c r="D57" s="1164">
        <v>0.25</v>
      </c>
      <c r="E57" s="694">
        <f>'数据-汇总表'!G20</f>
        <v>13156.32</v>
      </c>
      <c r="F57" s="1103">
        <f t="shared" si="15"/>
        <v>3489</v>
      </c>
      <c r="G57" s="3177" t="s">
        <v>2767</v>
      </c>
      <c r="H57" s="1104" t="str">
        <f>项目基本情况!B37</f>
        <v>六级</v>
      </c>
      <c r="I57" s="1108">
        <f>SUMIF(修正!A45:A56,H57,修正!B45:B56)</f>
        <v>0.7</v>
      </c>
      <c r="J57" s="1112"/>
      <c r="K57" s="1144"/>
      <c r="L57" s="941"/>
      <c r="M57" s="941"/>
      <c r="N57" s="941"/>
      <c r="O57" s="941"/>
    </row>
    <row r="58" spans="1:15" s="692" customFormat="1">
      <c r="A58" s="693" t="s">
        <v>2768</v>
      </c>
      <c r="B58" s="262">
        <f t="shared" ref="B58:B65" si="17">ROUND($C$48*C58*D58,0)</f>
        <v>1515</v>
      </c>
      <c r="C58" s="200">
        <f t="shared" si="16"/>
        <v>0.4</v>
      </c>
      <c r="D58" s="1164">
        <v>0.25</v>
      </c>
      <c r="E58" s="694"/>
      <c r="F58" s="1103">
        <f t="shared" si="15"/>
        <v>0</v>
      </c>
      <c r="G58" s="3177"/>
      <c r="H58" s="1104" t="str">
        <f>项目基本情况!B37</f>
        <v>六级</v>
      </c>
      <c r="I58" s="1108">
        <f>SUMIF(修正!A45:A56,H58,修正!C45:C56)</f>
        <v>0.4</v>
      </c>
      <c r="J58" s="1112"/>
      <c r="K58" s="1145"/>
      <c r="L58" s="941"/>
      <c r="M58" s="941"/>
      <c r="N58" s="941"/>
      <c r="O58" s="941"/>
    </row>
    <row r="59" spans="1:15" s="692" customFormat="1">
      <c r="A59" s="693" t="s">
        <v>2769</v>
      </c>
      <c r="B59" s="262">
        <f t="shared" si="17"/>
        <v>1061</v>
      </c>
      <c r="C59" s="200">
        <f t="shared" si="16"/>
        <v>0.28000000000000003</v>
      </c>
      <c r="D59" s="1164">
        <v>0.25</v>
      </c>
      <c r="E59" s="694"/>
      <c r="F59" s="1103">
        <f t="shared" si="15"/>
        <v>0</v>
      </c>
      <c r="G59" s="3177"/>
      <c r="H59" s="1104" t="str">
        <f>项目基本情况!B37</f>
        <v>六级</v>
      </c>
      <c r="I59" s="1108">
        <f>SUMIF(修正!A45:A56,H59,修正!D45:D56)</f>
        <v>0.28000000000000003</v>
      </c>
      <c r="J59" s="1112"/>
      <c r="K59" s="1144"/>
      <c r="L59" s="941"/>
      <c r="M59" s="941"/>
      <c r="N59" s="941"/>
      <c r="O59" s="941"/>
    </row>
    <row r="60" spans="1:15" s="692" customFormat="1">
      <c r="A60" s="693" t="s">
        <v>2770</v>
      </c>
      <c r="B60" s="262">
        <f t="shared" si="17"/>
        <v>947</v>
      </c>
      <c r="C60" s="200">
        <f t="shared" si="16"/>
        <v>0.25</v>
      </c>
      <c r="D60" s="1164">
        <v>0.25</v>
      </c>
      <c r="E60" s="694"/>
      <c r="F60" s="1103">
        <f t="shared" si="15"/>
        <v>0</v>
      </c>
      <c r="G60" s="3177"/>
      <c r="H60" s="1104" t="str">
        <f>项目基本情况!B37</f>
        <v>六级</v>
      </c>
      <c r="I60" s="1108">
        <f>SUMIF(修正!A45:A56,H60,修正!E45:E56)</f>
        <v>0.25</v>
      </c>
      <c r="J60" s="1112"/>
      <c r="K60" s="1145"/>
      <c r="L60" s="941"/>
      <c r="M60" s="941"/>
      <c r="N60" s="941"/>
      <c r="O60" s="941"/>
    </row>
    <row r="61" spans="1:15" s="692" customFormat="1">
      <c r="A61" s="693" t="s">
        <v>2771</v>
      </c>
      <c r="B61" s="262">
        <f t="shared" si="17"/>
        <v>947</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15" s="692" customFormat="1">
      <c r="A62" s="693" t="s">
        <v>2773</v>
      </c>
      <c r="B62" s="262">
        <f t="shared" si="17"/>
        <v>947</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si="17"/>
        <v>758</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25" s="692" customFormat="1" ht="15" thickBot="1">
      <c r="A65" s="693" t="s">
        <v>2778</v>
      </c>
      <c r="B65" s="262">
        <f t="shared" si="17"/>
        <v>758</v>
      </c>
      <c r="C65" s="200">
        <f t="shared" si="16"/>
        <v>0.2</v>
      </c>
      <c r="D65" s="1164">
        <v>0.25</v>
      </c>
      <c r="E65" s="261">
        <f>'数据-汇总表'!E15</f>
        <v>18631.560000000001</v>
      </c>
      <c r="F65" s="1103">
        <f t="shared" si="15"/>
        <v>1412</v>
      </c>
      <c r="G65" s="2710" t="s">
        <v>2772</v>
      </c>
      <c r="H65" s="1114" t="str">
        <f>项目基本情况!C37</f>
        <v>六级</v>
      </c>
      <c r="I65" s="1110">
        <f>SUMIF(修正!A45:A56,H65,修正!H45:H56)</f>
        <v>0.2</v>
      </c>
      <c r="J65" s="1113"/>
      <c r="K65" s="1144"/>
      <c r="L65" s="941"/>
      <c r="M65" s="941"/>
      <c r="N65" s="941"/>
      <c r="O65" s="941"/>
    </row>
    <row r="66" spans="1:25" s="692" customFormat="1" ht="13.5" thickBot="1">
      <c r="A66" s="695" t="s">
        <v>2779</v>
      </c>
      <c r="B66" s="696" t="s">
        <v>28</v>
      </c>
      <c r="C66" s="696" t="s">
        <v>29</v>
      </c>
      <c r="D66" s="696" t="s">
        <v>1026</v>
      </c>
      <c r="E66" s="696">
        <f>IF(B46="楼面地价",SUM(E56:E65),'数据-汇总表'!D3)</f>
        <v>86430.56</v>
      </c>
      <c r="F66" s="697">
        <f>IF(B46="楼面地价",SUM(F56:F65),ROUND(C48*E66/10000,0))</f>
        <v>87701</v>
      </c>
      <c r="G66" s="787"/>
      <c r="H66" s="787"/>
      <c r="I66" s="787"/>
      <c r="J66" s="787"/>
      <c r="K66" s="1158"/>
      <c r="L66" s="941"/>
      <c r="M66" s="941"/>
      <c r="N66" s="941"/>
      <c r="O66" s="941"/>
    </row>
    <row r="67" spans="1:25">
      <c r="A67" s="759"/>
      <c r="B67" s="761"/>
      <c r="C67" s="762"/>
      <c r="D67" s="759"/>
      <c r="E67" s="759"/>
      <c r="F67" s="759"/>
      <c r="G67" s="759"/>
      <c r="H67" s="759"/>
      <c r="I67" s="759"/>
      <c r="J67" s="1144"/>
      <c r="K67" s="1105"/>
      <c r="L67" s="1106"/>
      <c r="M67" s="1144"/>
      <c r="N67" s="1144"/>
      <c r="O67" s="1144"/>
    </row>
    <row r="68" spans="1:25">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25" ht="21.75" thickBot="1">
      <c r="A69" s="763" t="s">
        <v>2672</v>
      </c>
      <c r="B69" s="759"/>
      <c r="C69" s="764"/>
      <c r="D69" s="764"/>
      <c r="E69" s="764"/>
      <c r="F69" s="765"/>
      <c r="G69" s="765"/>
      <c r="H69" s="764"/>
      <c r="I69" s="764"/>
      <c r="J69" s="1159"/>
      <c r="K69" s="1160"/>
      <c r="L69" s="1161"/>
      <c r="M69" s="1159"/>
      <c r="N69" s="1159"/>
      <c r="O69" s="1159"/>
      <c r="P69" s="503"/>
      <c r="Q69" s="504"/>
    </row>
    <row r="70" spans="1:25" s="508" customFormat="1" ht="15">
      <c r="A70" s="2711" t="s">
        <v>2780</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t="s">
        <v>3151</v>
      </c>
      <c r="Q70" s="508" t="s">
        <v>3152</v>
      </c>
      <c r="R70" s="508" t="s">
        <v>3153</v>
      </c>
      <c r="S70" s="508" t="s">
        <v>3154</v>
      </c>
      <c r="T70" s="508" t="s">
        <v>3155</v>
      </c>
      <c r="U70" s="508" t="s">
        <v>3156</v>
      </c>
      <c r="V70" s="508" t="s">
        <v>3157</v>
      </c>
      <c r="W70" s="508" t="s">
        <v>3158</v>
      </c>
      <c r="X70" s="508" t="s">
        <v>3159</v>
      </c>
      <c r="Y70" s="508" t="s">
        <v>3160</v>
      </c>
    </row>
    <row r="71" spans="1:25" s="117" customFormat="1" ht="30" customHeight="1">
      <c r="A71" s="2712" t="s">
        <v>2781</v>
      </c>
      <c r="B71" s="332" t="str">
        <f>"北京市平均增长率"&amp;TEXT(SUMIF(基准地价修正!N21:N25,A71,基准地价修正!P21:P25),"0.00%")</f>
        <v>北京市平均增长率2.16%</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c r="R71" s="595">
        <v>92.5</v>
      </c>
      <c r="S71" s="595">
        <v>92</v>
      </c>
      <c r="T71" s="595">
        <v>91.5</v>
      </c>
      <c r="U71" s="595">
        <v>91</v>
      </c>
      <c r="V71" s="595">
        <v>90.5</v>
      </c>
      <c r="W71" s="595">
        <v>90</v>
      </c>
      <c r="X71" s="595">
        <v>89.5</v>
      </c>
      <c r="Y71" s="595">
        <v>89</v>
      </c>
    </row>
    <row r="72" spans="1:25" s="117" customFormat="1" ht="15.75" thickBot="1">
      <c r="A72" s="515" t="s">
        <v>2583</v>
      </c>
      <c r="B72" s="516"/>
      <c r="C72" s="517"/>
      <c r="D72" s="518"/>
      <c r="E72" s="518"/>
      <c r="F72" s="518"/>
      <c r="G72" s="518"/>
      <c r="H72" s="518"/>
      <c r="I72" s="518"/>
      <c r="J72" s="518"/>
      <c r="K72" s="518"/>
      <c r="L72" s="518"/>
      <c r="M72" s="519"/>
      <c r="N72" s="518"/>
      <c r="O72" s="1162"/>
      <c r="P72" s="504"/>
      <c r="Q72" s="504"/>
    </row>
    <row r="73" spans="1:25" s="117" customFormat="1" ht="15">
      <c r="A73" s="521" t="s">
        <v>2548</v>
      </c>
      <c r="B73" s="510"/>
      <c r="C73" s="522" t="s">
        <v>2650</v>
      </c>
      <c r="D73" s="523"/>
      <c r="E73" s="523"/>
      <c r="F73" s="523"/>
      <c r="G73" s="523"/>
      <c r="H73" s="523"/>
      <c r="I73" s="523"/>
      <c r="J73" s="523"/>
      <c r="K73" s="523"/>
      <c r="L73" s="524"/>
      <c r="M73" s="525"/>
      <c r="N73" s="1151"/>
      <c r="O73" s="1151"/>
      <c r="P73" s="526"/>
      <c r="Q73" s="504"/>
    </row>
    <row r="74" spans="1:25" s="117" customFormat="1" ht="15.75" thickBot="1">
      <c r="A74" s="521"/>
      <c r="B74" s="510"/>
      <c r="C74" s="639">
        <v>100</v>
      </c>
      <c r="D74" s="512"/>
      <c r="E74" s="512"/>
      <c r="F74" s="512"/>
      <c r="G74" s="512"/>
      <c r="H74" s="512"/>
      <c r="I74" s="512"/>
      <c r="J74" s="512"/>
      <c r="K74" s="512"/>
      <c r="L74" s="512"/>
      <c r="M74" s="514"/>
      <c r="N74" s="1151"/>
      <c r="O74" s="1151"/>
      <c r="P74" s="504"/>
      <c r="Q74" s="504"/>
    </row>
    <row r="75" spans="1:25">
      <c r="A75" s="527" t="s">
        <v>2586</v>
      </c>
      <c r="B75" s="528" t="s">
        <v>2552</v>
      </c>
      <c r="C75" s="530"/>
      <c r="D75" s="530"/>
      <c r="E75" s="530"/>
      <c r="F75" s="530"/>
      <c r="G75" s="530"/>
      <c r="H75" s="530"/>
      <c r="I75" s="530"/>
      <c r="J75" s="530"/>
      <c r="K75" s="531"/>
      <c r="L75" s="532"/>
      <c r="M75" s="533"/>
      <c r="N75" s="1152"/>
      <c r="O75" s="1152"/>
      <c r="P75" s="45"/>
      <c r="Q75" s="504"/>
    </row>
    <row r="76" spans="1:25" ht="15.75" thickBot="1">
      <c r="A76" s="534"/>
      <c r="B76" s="535"/>
      <c r="C76" s="536"/>
      <c r="D76" s="536"/>
      <c r="E76" s="536"/>
      <c r="F76" s="536"/>
      <c r="G76" s="536"/>
      <c r="H76" s="536"/>
      <c r="I76" s="536"/>
      <c r="J76" s="536"/>
      <c r="K76" s="536"/>
      <c r="L76" s="536"/>
      <c r="M76" s="537"/>
      <c r="N76" s="1153"/>
      <c r="O76" s="1153"/>
      <c r="P76" s="45"/>
      <c r="Q76" s="504"/>
    </row>
    <row r="77" spans="1:25" ht="27.75" thickTop="1">
      <c r="A77" s="534"/>
      <c r="B77" s="538" t="s">
        <v>2555</v>
      </c>
      <c r="C77" s="539"/>
      <c r="D77" s="539"/>
      <c r="E77" s="539"/>
      <c r="F77" s="539"/>
      <c r="G77" s="539"/>
      <c r="H77" s="539"/>
      <c r="I77" s="539"/>
      <c r="J77" s="539"/>
      <c r="K77" s="540"/>
      <c r="L77" s="541"/>
      <c r="M77" s="542"/>
      <c r="N77" s="1152"/>
      <c r="O77" s="1152"/>
      <c r="P77" s="45"/>
      <c r="Q77" s="504"/>
    </row>
    <row r="78" spans="1:25" ht="15.75" thickBot="1">
      <c r="A78" s="534"/>
      <c r="B78" s="543"/>
      <c r="C78" s="544"/>
      <c r="D78" s="544"/>
      <c r="E78" s="544"/>
      <c r="F78" s="544"/>
      <c r="G78" s="544"/>
      <c r="H78" s="544"/>
      <c r="I78" s="544"/>
      <c r="J78" s="544"/>
      <c r="K78" s="544"/>
      <c r="L78" s="544"/>
      <c r="M78" s="545"/>
      <c r="N78" s="1153"/>
      <c r="O78" s="1153"/>
      <c r="P78" s="45"/>
      <c r="Q78" s="504"/>
    </row>
    <row r="79" spans="1:25"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25" ht="15">
      <c r="A80" s="534"/>
      <c r="B80" s="548"/>
      <c r="C80" s="549">
        <v>0</v>
      </c>
      <c r="D80" s="549">
        <v>1</v>
      </c>
      <c r="E80" s="549">
        <v>2</v>
      </c>
      <c r="F80" s="549">
        <v>3</v>
      </c>
      <c r="G80" s="549">
        <v>4</v>
      </c>
      <c r="H80" s="549">
        <v>5</v>
      </c>
      <c r="I80" s="549">
        <v>6</v>
      </c>
      <c r="J80" s="549">
        <v>7</v>
      </c>
      <c r="K80" s="550">
        <v>8</v>
      </c>
      <c r="L80" s="551">
        <v>9</v>
      </c>
      <c r="M80" s="552">
        <v>10</v>
      </c>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I20" sqref="I20"/>
    </sheetView>
  </sheetViews>
  <sheetFormatPr defaultRowHeight="13.5"/>
  <cols>
    <col min="1" max="1" width="10.375" customWidth="1"/>
  </cols>
  <sheetData>
    <row r="1" spans="1:13">
      <c r="A1" s="1634" t="s">
        <v>3089</v>
      </c>
      <c r="B1" s="1634" t="s">
        <v>3090</v>
      </c>
      <c r="C1" s="1634" t="s">
        <v>3091</v>
      </c>
      <c r="D1" s="1634" t="s">
        <v>3092</v>
      </c>
      <c r="E1" s="1634" t="s">
        <v>3093</v>
      </c>
      <c r="F1" s="1634" t="s">
        <v>3094</v>
      </c>
      <c r="G1" s="1634" t="s">
        <v>3095</v>
      </c>
      <c r="H1" s="1634" t="s">
        <v>3096</v>
      </c>
      <c r="I1" s="1634" t="s">
        <v>3097</v>
      </c>
      <c r="J1" s="1634" t="s">
        <v>3098</v>
      </c>
      <c r="K1" s="1634" t="s">
        <v>3099</v>
      </c>
      <c r="L1" s="1634" t="s">
        <v>3100</v>
      </c>
      <c r="M1" s="1634" t="s">
        <v>3101</v>
      </c>
    </row>
    <row r="2" spans="1:13">
      <c r="A2" s="1634" t="s">
        <v>3102</v>
      </c>
      <c r="B2" s="1634" t="s">
        <v>3059</v>
      </c>
      <c r="C2" s="1634" t="s">
        <v>3103</v>
      </c>
      <c r="D2" s="1634">
        <v>35230.230000000003</v>
      </c>
      <c r="E2" s="1634">
        <v>88076</v>
      </c>
      <c r="F2" s="1634">
        <v>2.5</v>
      </c>
      <c r="G2" s="1634" t="s">
        <v>3104</v>
      </c>
      <c r="H2" s="1634" t="s">
        <v>3105</v>
      </c>
      <c r="I2" s="1634">
        <v>62000</v>
      </c>
      <c r="J2" s="1634">
        <v>62000</v>
      </c>
      <c r="K2" s="1634">
        <v>7039.38</v>
      </c>
      <c r="L2" s="1634">
        <v>0</v>
      </c>
      <c r="M2" s="1634" t="s">
        <v>3106</v>
      </c>
    </row>
    <row r="3" spans="1:13">
      <c r="A3" s="1634" t="s">
        <v>3107</v>
      </c>
      <c r="B3" s="1634" t="s">
        <v>3059</v>
      </c>
      <c r="C3" s="1634" t="s">
        <v>3103</v>
      </c>
      <c r="D3" s="1634">
        <v>2070793</v>
      </c>
      <c r="E3" s="1634">
        <v>1642730</v>
      </c>
      <c r="F3" s="1634">
        <v>0.79</v>
      </c>
      <c r="G3" s="1634" t="s">
        <v>3104</v>
      </c>
      <c r="H3" s="1634" t="s">
        <v>3108</v>
      </c>
      <c r="I3" s="1634">
        <v>870000</v>
      </c>
      <c r="J3" s="1634">
        <v>870000</v>
      </c>
      <c r="K3" s="1634">
        <v>5296.06</v>
      </c>
      <c r="L3" s="1634">
        <v>0</v>
      </c>
      <c r="M3" s="1634" t="s">
        <v>3109</v>
      </c>
    </row>
    <row r="4" spans="1:13">
      <c r="A4" s="1634" t="s">
        <v>3110</v>
      </c>
      <c r="B4" s="1634" t="s">
        <v>3059</v>
      </c>
      <c r="C4" s="1634" t="s">
        <v>3103</v>
      </c>
      <c r="D4" s="1634">
        <v>65873.39</v>
      </c>
      <c r="E4" s="1634">
        <v>164683</v>
      </c>
      <c r="F4" s="1634">
        <v>2.5</v>
      </c>
      <c r="G4" s="1634" t="s">
        <v>3104</v>
      </c>
      <c r="H4" s="1634" t="s">
        <v>3111</v>
      </c>
      <c r="I4" s="1634">
        <v>78000</v>
      </c>
      <c r="J4" s="1634">
        <v>108000</v>
      </c>
      <c r="K4" s="1634">
        <v>6558.05</v>
      </c>
      <c r="L4" s="1634">
        <v>38.46</v>
      </c>
      <c r="M4" s="1634" t="s">
        <v>3112</v>
      </c>
    </row>
    <row r="5" spans="1:13">
      <c r="A5" s="1634" t="s">
        <v>3113</v>
      </c>
      <c r="B5" s="1634" t="s">
        <v>3059</v>
      </c>
      <c r="C5" s="1634" t="s">
        <v>3103</v>
      </c>
      <c r="D5" s="1634">
        <v>47100</v>
      </c>
      <c r="E5" s="1634">
        <v>450000</v>
      </c>
      <c r="F5" s="1634">
        <v>9.5500000000000007</v>
      </c>
      <c r="G5" s="1634" t="s">
        <v>3114</v>
      </c>
      <c r="H5" s="1634" t="s">
        <v>3115</v>
      </c>
      <c r="I5" s="1634" t="s">
        <v>1327</v>
      </c>
      <c r="J5" s="1634">
        <v>503990</v>
      </c>
      <c r="K5" s="1634">
        <v>11199.78</v>
      </c>
      <c r="L5" s="1634" t="s">
        <v>1327</v>
      </c>
      <c r="M5" s="1634" t="s">
        <v>3116</v>
      </c>
    </row>
    <row r="6" spans="1:13">
      <c r="A6" s="2963" t="s">
        <v>3117</v>
      </c>
      <c r="B6" s="2963" t="s">
        <v>3059</v>
      </c>
      <c r="C6" s="2963" t="s">
        <v>3103</v>
      </c>
      <c r="D6" s="2963">
        <v>37656</v>
      </c>
      <c r="E6" s="2963">
        <v>131600</v>
      </c>
      <c r="F6" s="2963">
        <v>3.49</v>
      </c>
      <c r="G6" s="2963" t="s">
        <v>3114</v>
      </c>
      <c r="H6" s="2963" t="s">
        <v>3118</v>
      </c>
      <c r="I6" s="2963" t="s">
        <v>1327</v>
      </c>
      <c r="J6" s="2963">
        <v>151603.20000000001</v>
      </c>
      <c r="K6" s="2963">
        <v>11520</v>
      </c>
      <c r="L6" s="2963" t="s">
        <v>1327</v>
      </c>
      <c r="M6" s="2963" t="s">
        <v>3119</v>
      </c>
    </row>
    <row r="7" spans="1:13">
      <c r="A7" s="2963" t="s">
        <v>3120</v>
      </c>
      <c r="B7" s="2963" t="s">
        <v>3059</v>
      </c>
      <c r="C7" s="2963" t="s">
        <v>3103</v>
      </c>
      <c r="D7" s="2963">
        <v>14124.26</v>
      </c>
      <c r="E7" s="2963">
        <v>119961</v>
      </c>
      <c r="F7" s="2963">
        <v>8.49</v>
      </c>
      <c r="G7" s="2963" t="s">
        <v>3114</v>
      </c>
      <c r="H7" s="2963" t="s">
        <v>3118</v>
      </c>
      <c r="I7" s="2963" t="s">
        <v>1327</v>
      </c>
      <c r="J7" s="2963">
        <v>135700</v>
      </c>
      <c r="K7" s="2963">
        <v>11312.01</v>
      </c>
      <c r="L7" s="2963" t="s">
        <v>1327</v>
      </c>
      <c r="M7" s="2963" t="s">
        <v>3121</v>
      </c>
    </row>
    <row r="8" spans="1:13">
      <c r="A8" s="2963" t="s">
        <v>3122</v>
      </c>
      <c r="B8" s="2963" t="s">
        <v>3059</v>
      </c>
      <c r="C8" s="2963" t="s">
        <v>3103</v>
      </c>
      <c r="D8" s="2963">
        <v>39645</v>
      </c>
      <c r="E8" s="2963">
        <v>189500</v>
      </c>
      <c r="F8" s="2963">
        <v>4.78</v>
      </c>
      <c r="G8" s="2963" t="s">
        <v>3114</v>
      </c>
      <c r="H8" s="2963" t="s">
        <v>3118</v>
      </c>
      <c r="I8" s="2963" t="s">
        <v>1327</v>
      </c>
      <c r="J8" s="2963">
        <v>218304</v>
      </c>
      <c r="K8" s="2963">
        <v>11520</v>
      </c>
      <c r="L8" s="2963" t="s">
        <v>1327</v>
      </c>
      <c r="M8" s="2963" t="s">
        <v>3123</v>
      </c>
    </row>
    <row r="9" spans="1:13">
      <c r="A9" s="1634" t="s">
        <v>3124</v>
      </c>
      <c r="B9" s="1634" t="s">
        <v>3059</v>
      </c>
      <c r="C9" s="1634" t="s">
        <v>3103</v>
      </c>
      <c r="D9" s="1634">
        <v>9200</v>
      </c>
      <c r="E9" s="1634">
        <v>78139</v>
      </c>
      <c r="F9" s="1634">
        <v>8.49</v>
      </c>
      <c r="G9" s="1634" t="s">
        <v>3114</v>
      </c>
      <c r="H9" s="1634" t="s">
        <v>3118</v>
      </c>
      <c r="I9" s="1634" t="s">
        <v>1327</v>
      </c>
      <c r="J9" s="1634">
        <v>88400</v>
      </c>
      <c r="K9" s="1634">
        <v>11313.17</v>
      </c>
      <c r="L9" s="1634" t="s">
        <v>1327</v>
      </c>
      <c r="M9" s="1634" t="s">
        <v>3121</v>
      </c>
    </row>
    <row r="10" spans="1:13">
      <c r="A10" s="1634" t="s">
        <v>3125</v>
      </c>
      <c r="B10" s="1634" t="s">
        <v>3059</v>
      </c>
      <c r="C10" s="1634" t="s">
        <v>3103</v>
      </c>
      <c r="D10" s="1634">
        <v>14088</v>
      </c>
      <c r="E10" s="1634">
        <v>90600</v>
      </c>
      <c r="F10" s="1634">
        <v>6.43</v>
      </c>
      <c r="G10" s="1634" t="s">
        <v>3114</v>
      </c>
      <c r="H10" s="1634" t="s">
        <v>3126</v>
      </c>
      <c r="I10" s="1634" t="s">
        <v>1327</v>
      </c>
      <c r="J10" s="1634">
        <v>105100</v>
      </c>
      <c r="K10" s="1634">
        <v>11600.44</v>
      </c>
      <c r="L10" s="1634" t="s">
        <v>1327</v>
      </c>
      <c r="M10" s="1634" t="s">
        <v>3121</v>
      </c>
    </row>
    <row r="11" spans="1:13">
      <c r="A11" s="1634" t="s">
        <v>3127</v>
      </c>
      <c r="B11" s="1634" t="s">
        <v>3059</v>
      </c>
      <c r="C11" s="1634" t="s">
        <v>3103</v>
      </c>
      <c r="D11" s="1634">
        <v>9293</v>
      </c>
      <c r="E11" s="1634">
        <v>55800</v>
      </c>
      <c r="F11" s="1634">
        <v>6</v>
      </c>
      <c r="G11" s="1634" t="s">
        <v>3114</v>
      </c>
      <c r="H11" s="1634" t="s">
        <v>3126</v>
      </c>
      <c r="I11" s="1634" t="s">
        <v>1327</v>
      </c>
      <c r="J11" s="1634">
        <v>64700</v>
      </c>
      <c r="K11" s="1634">
        <v>11594.97</v>
      </c>
      <c r="L11" s="1634" t="s">
        <v>1327</v>
      </c>
      <c r="M11" s="1634" t="s">
        <v>3121</v>
      </c>
    </row>
    <row r="12" spans="1:13">
      <c r="A12" s="2964" t="s">
        <v>3128</v>
      </c>
      <c r="B12" s="2964" t="s">
        <v>3059</v>
      </c>
      <c r="C12" s="2964" t="s">
        <v>3103</v>
      </c>
      <c r="D12" s="2964">
        <v>17815</v>
      </c>
      <c r="E12" s="2964">
        <v>133500</v>
      </c>
      <c r="F12" s="2964">
        <v>7.49</v>
      </c>
      <c r="G12" s="2964" t="s">
        <v>3104</v>
      </c>
      <c r="H12" s="2964" t="s">
        <v>3129</v>
      </c>
      <c r="I12" s="2964">
        <v>150900</v>
      </c>
      <c r="J12" s="2964">
        <v>178500</v>
      </c>
      <c r="K12" s="2964">
        <v>13370.79</v>
      </c>
      <c r="L12" s="2964">
        <v>18.29</v>
      </c>
      <c r="M12" s="2964" t="s">
        <v>3130</v>
      </c>
    </row>
    <row r="13" spans="1:13">
      <c r="A13" s="2964" t="s">
        <v>3131</v>
      </c>
      <c r="B13" s="2964" t="s">
        <v>3059</v>
      </c>
      <c r="C13" s="2964" t="s">
        <v>3103</v>
      </c>
      <c r="D13" s="2964">
        <v>8949</v>
      </c>
      <c r="E13" s="2964">
        <v>89000</v>
      </c>
      <c r="F13" s="2964">
        <v>9.9499999999999993</v>
      </c>
      <c r="G13" s="2964" t="s">
        <v>3104</v>
      </c>
      <c r="H13" s="2964" t="s">
        <v>3129</v>
      </c>
      <c r="I13" s="2964">
        <v>100600</v>
      </c>
      <c r="J13" s="2964">
        <v>107000</v>
      </c>
      <c r="K13" s="2964">
        <v>12022.46</v>
      </c>
      <c r="L13" s="2964">
        <v>6.36</v>
      </c>
      <c r="M13" s="2964" t="s">
        <v>3130</v>
      </c>
    </row>
    <row r="14" spans="1:13">
      <c r="A14" s="1634" t="s">
        <v>3132</v>
      </c>
      <c r="B14" s="1634" t="s">
        <v>3059</v>
      </c>
      <c r="C14" s="1634" t="s">
        <v>3103</v>
      </c>
      <c r="D14" s="1634">
        <v>17771</v>
      </c>
      <c r="E14" s="1634">
        <v>124600</v>
      </c>
      <c r="F14" s="1634">
        <v>7.01</v>
      </c>
      <c r="G14" s="1634" t="s">
        <v>3104</v>
      </c>
      <c r="H14" s="1634" t="s">
        <v>3133</v>
      </c>
      <c r="I14" s="1634">
        <v>140800</v>
      </c>
      <c r="J14" s="1634">
        <v>142900</v>
      </c>
      <c r="K14" s="1634">
        <v>11468.7</v>
      </c>
      <c r="L14" s="1634">
        <v>1.49</v>
      </c>
      <c r="M14" s="1634" t="s">
        <v>3134</v>
      </c>
    </row>
    <row r="15" spans="1:13">
      <c r="A15" s="2964" t="s">
        <v>3135</v>
      </c>
      <c r="B15" s="2964" t="s">
        <v>3059</v>
      </c>
      <c r="C15" s="2964" t="s">
        <v>3103</v>
      </c>
      <c r="D15" s="2964">
        <v>17064</v>
      </c>
      <c r="E15" s="2964">
        <v>128300</v>
      </c>
      <c r="F15" s="2964">
        <v>7.52</v>
      </c>
      <c r="G15" s="2964" t="s">
        <v>3104</v>
      </c>
      <c r="H15" s="2964" t="s">
        <v>3133</v>
      </c>
      <c r="I15" s="2964">
        <v>145000</v>
      </c>
      <c r="J15" s="2964">
        <v>167000</v>
      </c>
      <c r="K15" s="2964">
        <v>13016.37</v>
      </c>
      <c r="L15" s="2964">
        <v>15.17</v>
      </c>
      <c r="M15" s="2964" t="s">
        <v>3136</v>
      </c>
    </row>
    <row r="16" spans="1:13">
      <c r="A16" s="1634" t="s">
        <v>3137</v>
      </c>
      <c r="B16" s="1634" t="s">
        <v>3059</v>
      </c>
      <c r="C16" s="1634" t="s">
        <v>3103</v>
      </c>
      <c r="D16" s="1634">
        <v>1209458</v>
      </c>
      <c r="E16" s="1634">
        <v>798095</v>
      </c>
      <c r="F16" s="1634">
        <v>0.66</v>
      </c>
      <c r="G16" s="1634" t="s">
        <v>3104</v>
      </c>
      <c r="H16" s="1634" t="s">
        <v>3138</v>
      </c>
      <c r="I16" s="1634">
        <v>193000</v>
      </c>
      <c r="J16" s="1634">
        <v>193000</v>
      </c>
      <c r="K16" s="1634">
        <v>2418.2600000000002</v>
      </c>
      <c r="L16" s="1634">
        <v>0</v>
      </c>
      <c r="M16" s="1634" t="s">
        <v>3109</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37" sqref="B3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117502</v>
      </c>
      <c r="C2" s="320" t="s">
        <v>2461</v>
      </c>
      <c r="D2" s="320"/>
      <c r="E2" s="320"/>
      <c r="F2" s="320"/>
      <c r="G2" s="320"/>
      <c r="H2" s="320"/>
      <c r="I2" s="320"/>
      <c r="J2" s="320"/>
      <c r="K2" s="320"/>
    </row>
    <row r="3" spans="1:33" ht="18" customHeight="1" thickBot="1">
      <c r="A3" s="247" t="s">
        <v>2330</v>
      </c>
      <c r="B3" s="248">
        <f ca="1">ROUND(B2*10000/IF(C1="",'数据-汇总表'!E3,INDIRECT("'数据-取费表'!K"&amp;$K$1)),0)</f>
        <v>12253</v>
      </c>
      <c r="C3" s="320" t="s">
        <v>2462</v>
      </c>
      <c r="D3" s="320"/>
      <c r="E3" s="320"/>
      <c r="F3" s="320"/>
      <c r="G3" s="320"/>
      <c r="H3" s="320"/>
      <c r="I3" s="320"/>
      <c r="J3" s="320"/>
      <c r="K3" s="320"/>
    </row>
    <row r="4" spans="1:33" s="956" customFormat="1" ht="16.5" customHeight="1">
      <c r="A4" s="953" t="s">
        <v>2463</v>
      </c>
      <c r="B4" s="954"/>
      <c r="C4" s="996">
        <f ca="1">SUM(C8:K8)</f>
        <v>183832</v>
      </c>
      <c r="D4" s="954"/>
      <c r="E4" s="954"/>
      <c r="F4" s="954"/>
      <c r="G4" s="954"/>
      <c r="H4" s="954"/>
      <c r="I4" s="954"/>
      <c r="J4" s="954"/>
      <c r="K4" s="955"/>
    </row>
    <row r="5" spans="1:33" s="960" customFormat="1" ht="15">
      <c r="A5" s="957" t="s">
        <v>2464</v>
      </c>
      <c r="B5" s="958" t="s">
        <v>2465</v>
      </c>
      <c r="C5" s="2554" t="s">
        <v>27</v>
      </c>
      <c r="D5" s="2554" t="s">
        <v>1373</v>
      </c>
      <c r="E5" s="2554" t="s">
        <v>3069</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26161</v>
      </c>
      <c r="D6" s="962">
        <f ca="1">'收益法-商业'!B3</f>
        <v>26700</v>
      </c>
      <c r="E6" s="962">
        <f ca="1">'收益法-车库'!B3</f>
        <v>2345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28977.16</v>
      </c>
      <c r="D7" s="321">
        <f>SUMIF('数据-汇总表'!$C19:$C33,假设开发法!D5,'数据-汇总表'!$E19:$E33)</f>
        <v>38821.839999999997</v>
      </c>
      <c r="E7" s="321">
        <f>SUMIF('数据-汇总表'!$C19:$C33,假设开发法!E5,'数据-汇总表'!$E19:$E33)</f>
        <v>18631.560000000001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75807</v>
      </c>
      <c r="D8" s="997">
        <f ca="1">'收益法-商业'!B2</f>
        <v>103656</v>
      </c>
      <c r="E8" s="997">
        <f ca="1">'收益法-车库'!B2</f>
        <v>4369</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20088</v>
      </c>
      <c r="D11" s="973"/>
      <c r="E11" s="375"/>
      <c r="F11" s="974">
        <f ca="1">1-IF('数据-取费表'!B24=0,1,IF(C1="",'数据-取费表'!N16,INDIRECT("'数据-取费表'!n"&amp;$K$1)))</f>
        <v>0.55000000000000004</v>
      </c>
      <c r="G11" s="8"/>
      <c r="H11" s="968"/>
      <c r="I11" s="968"/>
      <c r="J11" s="968"/>
      <c r="K11" s="969"/>
    </row>
    <row r="12" spans="1:33" s="975" customFormat="1" ht="13.5" customHeight="1">
      <c r="A12" s="971" t="s">
        <v>1331</v>
      </c>
      <c r="B12" s="972" t="s">
        <v>2479</v>
      </c>
      <c r="C12" s="24">
        <f ca="1">ROUND(C11*F12,0)</f>
        <v>603</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1055</v>
      </c>
      <c r="D14" s="1033">
        <f ca="1">IF(C1="",'数据-汇总表'!E3,INDIRECT("'数据-取费表'!K"&amp;$K$1)+INDIRECT("'数据-取费表'!S"&amp;$K$1))</f>
        <v>95896.06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301</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22047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95896.06</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2494</v>
      </c>
      <c r="C21" s="986">
        <f ca="1">C16+C17+C18</f>
        <v>22047</v>
      </c>
      <c r="D21" s="987"/>
      <c r="E21" s="325"/>
      <c r="F21" s="325"/>
      <c r="G21" s="140" t="s">
        <v>2495</v>
      </c>
      <c r="H21" s="979"/>
      <c r="I21" s="979"/>
      <c r="J21" s="979"/>
      <c r="K21" s="980"/>
    </row>
    <row r="22" spans="1:33" s="975" customFormat="1" ht="13.5" customHeight="1">
      <c r="A22" s="961" t="s">
        <v>2467</v>
      </c>
      <c r="B22" s="985" t="s">
        <v>2496</v>
      </c>
      <c r="C22" s="986">
        <f ca="1">ROUND(C21*F22,0)</f>
        <v>441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2022</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957</v>
      </c>
      <c r="D25" s="324">
        <f ca="1">C26</f>
        <v>8.1900000000000001E-2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8.1900000000000001E-2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957</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4902</v>
      </c>
      <c r="D28" s="324">
        <f ca="1">C29</f>
        <v>0.1132</v>
      </c>
      <c r="E28" s="326" t="s">
        <v>15</v>
      </c>
      <c r="F28" s="332">
        <f ca="1">IF(C1="",'数据-取费表'!Q16,INDIRECT("'数据-取费表'!q"&amp;$K$1))</f>
        <v>0.2</v>
      </c>
      <c r="G28" s="989"/>
      <c r="H28" s="990"/>
      <c r="I28" s="990"/>
      <c r="J28" s="990"/>
      <c r="K28" s="991"/>
    </row>
    <row r="29" spans="1:33" s="335" customFormat="1" ht="13.5" customHeight="1">
      <c r="A29" s="971" t="s">
        <v>803</v>
      </c>
      <c r="B29" s="994" t="s">
        <v>2509</v>
      </c>
      <c r="C29" s="328">
        <f ca="1">ROUND((1+C24)*F28*'数据-取费表'!B24/'数据-取费表'!B20,4)</f>
        <v>0.1132</v>
      </c>
      <c r="D29" s="328"/>
      <c r="E29" s="329"/>
      <c r="F29" s="334"/>
      <c r="G29" s="140" t="s">
        <v>2510</v>
      </c>
      <c r="H29" s="979"/>
      <c r="I29" s="979"/>
      <c r="J29" s="979"/>
      <c r="K29" s="980"/>
    </row>
    <row r="30" spans="1:33" s="335" customFormat="1" ht="13.5" customHeight="1">
      <c r="A30" s="971" t="s">
        <v>804</v>
      </c>
      <c r="B30" s="994" t="s">
        <v>2511</v>
      </c>
      <c r="C30" s="336">
        <f ca="1">ROUND((C21+C22+C23)*F28,0)</f>
        <v>4902</v>
      </c>
      <c r="D30" s="328"/>
      <c r="E30" s="329"/>
      <c r="F30" s="334"/>
      <c r="G30" s="140"/>
      <c r="H30" s="979"/>
      <c r="I30" s="979"/>
      <c r="J30" s="979"/>
      <c r="K30" s="980"/>
    </row>
    <row r="31" spans="1:33" s="975" customFormat="1" ht="13.5" customHeight="1" thickBot="1">
      <c r="A31" s="2560" t="s">
        <v>2512</v>
      </c>
      <c r="B31" s="1005" t="s">
        <v>2513</v>
      </c>
      <c r="C31" s="1006">
        <f ca="1">ROUND(C4*F31/(1+'数据-取费表'!C42),0)</f>
        <v>9629</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117502</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0" zoomScale="70" zoomScaleNormal="70" zoomScaleSheetLayoutView="90" workbookViewId="0">
      <selection activeCell="C37" sqref="C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27</v>
      </c>
      <c r="D1" s="1819" t="s">
        <v>3077</v>
      </c>
      <c r="E1" s="1820" t="s">
        <v>1382</v>
      </c>
      <c r="F1" s="1283">
        <f ca="1">J53</f>
        <v>41.870000000000005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75807</v>
      </c>
      <c r="C2" s="1844" t="s">
        <v>1511</v>
      </c>
      <c r="D2" s="1844"/>
      <c r="E2" s="1845"/>
      <c r="F2" s="1846"/>
      <c r="G2" s="1847"/>
      <c r="H2" s="1839"/>
      <c r="I2" s="1839"/>
      <c r="J2" s="1839"/>
      <c r="K2" s="1840"/>
      <c r="L2" s="1839"/>
      <c r="M2" s="1839"/>
    </row>
    <row r="3" spans="1:37" ht="18" customHeight="1" thickBot="1">
      <c r="A3" s="1848" t="s">
        <v>1512</v>
      </c>
      <c r="B3" s="1849">
        <f ca="1">IF(ISERROR(B2*10000/F43),0,ROUND(B2*10000/F43,0))</f>
        <v>26161</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4765</v>
      </c>
      <c r="D5" s="1821" t="s">
        <v>1397</v>
      </c>
      <c r="E5" s="1293"/>
      <c r="F5" s="1294"/>
      <c r="G5" s="1850"/>
      <c r="H5" s="344">
        <v>1</v>
      </c>
      <c r="I5" s="345" t="s">
        <v>1396</v>
      </c>
      <c r="J5" s="1292">
        <f ca="1">J6+J10+J12</f>
        <v>0</v>
      </c>
      <c r="K5" s="1821" t="s">
        <v>1397</v>
      </c>
      <c r="L5" s="1293"/>
      <c r="M5" s="1294"/>
    </row>
    <row r="6" spans="1:37" ht="18" customHeight="1">
      <c r="A6" s="1291" t="s">
        <v>1032</v>
      </c>
      <c r="B6" s="3214" t="s">
        <v>1398</v>
      </c>
      <c r="C6" s="1296">
        <f ca="1">ROUND(F6*F8*F7*(1-F9)/10000,0)</f>
        <v>4759</v>
      </c>
      <c r="D6" s="164" t="s">
        <v>3030</v>
      </c>
      <c r="E6" s="347" t="s">
        <v>1400</v>
      </c>
      <c r="F6" s="348">
        <f ca="1">INDIRECT("'数据-取费表'!u"&amp;$G$1)</f>
        <v>5</v>
      </c>
      <c r="G6" s="1850"/>
      <c r="H6" s="1291" t="s">
        <v>1032</v>
      </c>
      <c r="I6" s="3214" t="s">
        <v>1398</v>
      </c>
      <c r="J6" s="346">
        <f ca="1">ROUND(M6*M8*M7*(1-M9)/10000,0)</f>
        <v>0</v>
      </c>
      <c r="K6" s="164" t="s">
        <v>3029</v>
      </c>
      <c r="L6" s="347" t="s">
        <v>1400</v>
      </c>
      <c r="M6" s="348">
        <f ca="1">INDIRECT("'数据-取费表'!z"&amp;$G$1)</f>
        <v>0</v>
      </c>
    </row>
    <row r="7" spans="1:37" ht="18" customHeight="1">
      <c r="A7" s="1295"/>
      <c r="B7" s="3215"/>
      <c r="C7" s="1297"/>
      <c r="D7" s="352"/>
      <c r="E7" s="1298" t="s">
        <v>1401</v>
      </c>
      <c r="F7" s="348">
        <f ca="1">IF(INDIRECT("'数据-取费表'!ah"&amp;$G$1)="",INDIRECT("'数据-取费表'!k"&amp;$G$1),INDIRECT("'数据-取费表'!ah"&amp;$G$1))</f>
        <v>28977.16</v>
      </c>
      <c r="G7" s="1850"/>
      <c r="H7" s="349"/>
      <c r="I7" s="3215"/>
      <c r="J7" s="351"/>
      <c r="K7" s="352"/>
      <c r="L7" s="347" t="s">
        <v>1401</v>
      </c>
      <c r="M7" s="348">
        <f ca="1">F7</f>
        <v>28977.16</v>
      </c>
    </row>
    <row r="8" spans="1:37" ht="18" customHeight="1">
      <c r="A8" s="349"/>
      <c r="B8" s="3215"/>
      <c r="C8" s="351"/>
      <c r="D8" s="352"/>
      <c r="E8" s="347" t="s">
        <v>1402</v>
      </c>
      <c r="F8" s="348">
        <f ca="1">INDIRECT("'数据-取费表'!ai"&amp;$G$1)</f>
        <v>365</v>
      </c>
      <c r="G8" s="1850"/>
      <c r="H8" s="349"/>
      <c r="I8" s="3215"/>
      <c r="J8" s="351"/>
      <c r="K8" s="352"/>
      <c r="L8" s="347" t="s">
        <v>1402</v>
      </c>
      <c r="M8" s="348">
        <f ca="1">INDIRECT("'数据-取费表'!ai"&amp;$G$1)</f>
        <v>365</v>
      </c>
    </row>
    <row r="9" spans="1:37" ht="18" customHeight="1">
      <c r="A9" s="349"/>
      <c r="B9" s="3216"/>
      <c r="C9" s="351"/>
      <c r="D9" s="352"/>
      <c r="E9" s="347" t="s">
        <v>1403</v>
      </c>
      <c r="F9" s="357">
        <f ca="1">INDIRECT("'数据-取费表'!w"&amp;$G$1)</f>
        <v>0.1</v>
      </c>
      <c r="G9" s="1850"/>
      <c r="H9" s="349"/>
      <c r="I9" s="3216"/>
      <c r="J9" s="351"/>
      <c r="K9" s="352"/>
      <c r="L9" s="358" t="s">
        <v>1403</v>
      </c>
      <c r="M9" s="359">
        <f ca="1">INDIRECT("'数据-取费表'!ab"&amp;$G$1)</f>
        <v>0</v>
      </c>
    </row>
    <row r="10" spans="1:37" ht="18" customHeight="1">
      <c r="A10" s="1291" t="s">
        <v>1036</v>
      </c>
      <c r="B10" s="1822" t="s">
        <v>1404</v>
      </c>
      <c r="C10" s="361">
        <f ca="1">ROUND(IF(F10="押一",C6/12*F11,IF(F10="押二",C6/12*2*F11,IF(F10="押三",C6/12*3*F11,C11*F11))),0)</f>
        <v>6</v>
      </c>
      <c r="D10" s="1823" t="s">
        <v>3039</v>
      </c>
      <c r="E10" s="358" t="s">
        <v>1405</v>
      </c>
      <c r="F10" s="1366" t="s">
        <v>3081</v>
      </c>
      <c r="G10" s="1850"/>
      <c r="H10" s="1291" t="s">
        <v>1036</v>
      </c>
      <c r="I10" s="1822" t="s">
        <v>1404</v>
      </c>
      <c r="J10" s="346">
        <f ca="1">ROUND(IF(M10="押一",J6/12*M11,IF(M10="押二",J6/12*2*M11,IF(M10="押三",J6/12*3*M11,J11*M11))),0)</f>
        <v>0</v>
      </c>
      <c r="K10" s="1823" t="s">
        <v>3038</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21243</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13833</v>
      </c>
      <c r="D14" s="1799" t="s">
        <v>1413</v>
      </c>
      <c r="E14" s="1793"/>
      <c r="F14" s="364"/>
      <c r="G14" s="1850"/>
      <c r="H14" s="1201" t="s">
        <v>1032</v>
      </c>
      <c r="I14" s="347" t="s">
        <v>1414</v>
      </c>
      <c r="J14" s="24">
        <f ca="1">C29</f>
        <v>21243</v>
      </c>
      <c r="K14" s="15"/>
      <c r="L14" s="979"/>
      <c r="M14" s="980"/>
    </row>
    <row r="15" spans="1:37" s="1857" customFormat="1" ht="18" customHeight="1" thickBot="1">
      <c r="A15" s="1201" t="s">
        <v>1033</v>
      </c>
      <c r="B15" s="347" t="s">
        <v>1415</v>
      </c>
      <c r="C15" s="24">
        <f ca="1">ROUND(C14*F15,0)</f>
        <v>415</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498</v>
      </c>
      <c r="K16" s="1337" t="s">
        <v>1420</v>
      </c>
      <c r="L16" s="1338"/>
      <c r="M16" s="1294"/>
    </row>
    <row r="17" spans="1:37" s="1857" customFormat="1" ht="18" customHeight="1">
      <c r="A17" s="1201" t="s">
        <v>1385</v>
      </c>
      <c r="B17" s="347" t="s">
        <v>1421</v>
      </c>
      <c r="C17" s="24">
        <f ca="1">ROUND(F17*(F43+INDIRECT("'数据-取费表'!S"&amp;$G$1))/10000,0)</f>
        <v>643</v>
      </c>
      <c r="D17" s="347" t="s">
        <v>1422</v>
      </c>
      <c r="E17" s="347" t="s">
        <v>1423</v>
      </c>
      <c r="F17" s="26">
        <f>'数据-取费表'!B35</f>
        <v>200</v>
      </c>
      <c r="G17" s="1853"/>
      <c r="H17" s="1201" t="s">
        <v>1032</v>
      </c>
      <c r="I17" s="347" t="s">
        <v>1424</v>
      </c>
      <c r="J17" s="24">
        <f ca="1">ROUND(IF(项目基本情况!B11="自然人",J6*M17/(1+'数据-取费表'!C42),J18+J19+J20),1)</f>
        <v>179.2</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207</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15098</v>
      </c>
      <c r="D19" s="140" t="s">
        <v>1431</v>
      </c>
      <c r="E19" s="1817"/>
      <c r="F19" s="26"/>
      <c r="G19" s="1850"/>
      <c r="H19" s="1201" t="s">
        <v>1033</v>
      </c>
      <c r="I19" s="347" t="s">
        <v>1432</v>
      </c>
      <c r="J19" s="24">
        <f ca="1">IF(K19="按租金收入计税",ROUND(J6*M19/(1+'数据-取费表'!C42),2),ROUND(C29*M19*0.7,2))</f>
        <v>178.44</v>
      </c>
      <c r="K19" s="1827" t="s">
        <v>1433</v>
      </c>
      <c r="L19" s="347" t="s">
        <v>1417</v>
      </c>
      <c r="M19" s="367">
        <f>IF(K19="按租金收入计税",'数据-取费表'!B51,'数据-取费表'!B50)</f>
        <v>1.2E-2</v>
      </c>
    </row>
    <row r="20" spans="1:37" s="1857" customFormat="1" ht="18" customHeight="1">
      <c r="A20" s="1201" t="s">
        <v>1036</v>
      </c>
      <c r="B20" s="347" t="s">
        <v>1434</v>
      </c>
      <c r="C20" s="24">
        <f ca="1">ROUND(C19*F20,0)</f>
        <v>302</v>
      </c>
      <c r="D20" s="369" t="s">
        <v>1435</v>
      </c>
      <c r="E20" s="347" t="s">
        <v>1417</v>
      </c>
      <c r="F20" s="367">
        <f>'数据-取费表'!B37</f>
        <v>0.02</v>
      </c>
      <c r="G20" s="1853"/>
      <c r="H20" s="1201" t="s">
        <v>1384</v>
      </c>
      <c r="I20" s="164" t="s">
        <v>1436</v>
      </c>
      <c r="J20" s="25">
        <f ca="1">ROUND(M20*M21/10000,2)</f>
        <v>0.79</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5245.16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318.60000000000002</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1110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-498</v>
      </c>
      <c r="K25" s="1345" t="s">
        <v>1459</v>
      </c>
      <c r="L25" s="1346"/>
      <c r="M25" s="1347"/>
    </row>
    <row r="26" spans="1:37">
      <c r="A26" s="1201" t="s">
        <v>1031</v>
      </c>
      <c r="B26" s="347" t="s">
        <v>1460</v>
      </c>
      <c r="C26" s="24">
        <f ca="1">ROUND((C19+C20)*F26,0)</f>
        <v>3080</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21243</v>
      </c>
      <c r="D29" s="1342"/>
      <c r="E29" s="1340"/>
      <c r="F29" s="1343"/>
      <c r="G29" s="1853"/>
      <c r="H29" s="380" t="s">
        <v>1030</v>
      </c>
      <c r="I29" s="381" t="s">
        <v>1474</v>
      </c>
      <c r="J29" s="382">
        <f ca="1">ROUND(J26/(1+F40)^F41,0)</f>
        <v>0</v>
      </c>
      <c r="K29" s="383" t="s">
        <v>1475</v>
      </c>
      <c r="L29" s="384"/>
      <c r="M29" s="385">
        <f ca="1">INDIRECT("'数据-取费表'!k"&amp;$G$1)</f>
        <v>28977.16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1250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794</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249.28</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543.89</v>
      </c>
      <c r="D33" s="1827" t="s">
        <v>3078</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0.79</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5245.16</v>
      </c>
      <c r="G35" s="1850"/>
      <c r="H35" s="745"/>
      <c r="I35" s="1859"/>
      <c r="J35" s="1860"/>
      <c r="K35" s="1861"/>
      <c r="L35" s="1858"/>
      <c r="M35" s="1858"/>
    </row>
    <row r="36" spans="1:18" ht="18" customHeight="1">
      <c r="A36" s="1352" t="s">
        <v>1036</v>
      </c>
      <c r="B36" s="347" t="s">
        <v>1444</v>
      </c>
      <c r="C36" s="24">
        <f ca="1">ROUND(C29*F36,1)</f>
        <v>318.60000000000002</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42.5</v>
      </c>
      <c r="D37" s="1797" t="s">
        <v>1449</v>
      </c>
      <c r="E37" s="347" t="s">
        <v>1450</v>
      </c>
      <c r="F37" s="376">
        <f ca="1">INDIRECT("'数据-取费表'!Al"&amp;$G$1)</f>
        <v>2E-3</v>
      </c>
      <c r="G37" s="1850"/>
      <c r="H37" s="1858"/>
      <c r="I37" s="1859"/>
      <c r="J37" s="1860"/>
      <c r="K37" s="751"/>
      <c r="L37" s="1858"/>
      <c r="M37" s="1858"/>
    </row>
    <row r="38" spans="1:18" ht="18" customHeight="1" thickBot="1">
      <c r="A38" s="1339" t="s">
        <v>1388</v>
      </c>
      <c r="B38" s="1340" t="s">
        <v>1434</v>
      </c>
      <c r="C38" s="1341">
        <f ca="1">ROUND(C5*F38,1)</f>
        <v>95.3</v>
      </c>
      <c r="D38" s="1342" t="s">
        <v>1454</v>
      </c>
      <c r="E38" s="1340" t="s">
        <v>1450</v>
      </c>
      <c r="F38" s="1336">
        <f ca="1">INDIRECT("'数据-取费表'!Am"&amp;$G$1)</f>
        <v>0.02</v>
      </c>
      <c r="G38" s="1850"/>
      <c r="H38" s="1858"/>
      <c r="I38" s="1859"/>
      <c r="J38" s="1860"/>
      <c r="K38" s="1864"/>
      <c r="L38" s="1858"/>
      <c r="M38" s="1858"/>
    </row>
    <row r="39" spans="1:18" ht="24.6" customHeight="1" thickTop="1">
      <c r="A39" s="1329" t="s">
        <v>1028</v>
      </c>
      <c r="B39" s="1344" t="s">
        <v>1478</v>
      </c>
      <c r="C39" s="355">
        <f ca="1">C5-C30</f>
        <v>3515</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75807</v>
      </c>
      <c r="D40" s="370" t="s">
        <v>1464</v>
      </c>
      <c r="E40" s="347" t="s">
        <v>1465</v>
      </c>
      <c r="F40" s="357">
        <f ca="1">INDIRECT("'数据-取费表'!I"&amp;$G$1)</f>
        <v>0.06</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41.870000000000005</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ROUND(C40*10000/F43,0)</f>
        <v>26161</v>
      </c>
      <c r="D43" s="383" t="s">
        <v>1483</v>
      </c>
      <c r="E43" s="384" t="s">
        <v>1484</v>
      </c>
      <c r="F43" s="385">
        <f ca="1">INDIRECT("'数据-取费表'!k"&amp;$G$1)</f>
        <v>28977.16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-108455</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3079</v>
      </c>
      <c r="K47" s="1881" t="s">
        <v>1522</v>
      </c>
      <c r="L47" s="1882">
        <f ca="1">INDIRECT("'数据-取费表'!d"&amp;$G$1)</f>
        <v>50</v>
      </c>
      <c r="M47" s="1837" t="str">
        <f>IF(ISNUMBER(FIND("住宅",C1)),"住宅","非住宅")</f>
        <v>非住宅</v>
      </c>
      <c r="O47" s="1883" t="s">
        <v>1037</v>
      </c>
      <c r="P47" s="1884" t="s">
        <v>1523</v>
      </c>
      <c r="Q47" s="1885">
        <f ca="1">C40+J29</f>
        <v>75807</v>
      </c>
      <c r="R47" s="1885" t="s">
        <v>1524</v>
      </c>
    </row>
    <row r="48" spans="1:18" s="1841" customFormat="1" ht="28.5" thickBot="1">
      <c r="A48" s="1360" t="s">
        <v>1132</v>
      </c>
      <c r="B48" s="345" t="s">
        <v>1396</v>
      </c>
      <c r="C48" s="1816">
        <f ca="1">C49+C53+C55</f>
        <v>0</v>
      </c>
      <c r="D48" s="1362"/>
      <c r="E48" s="1363"/>
      <c r="F48" s="1181"/>
      <c r="G48" s="792"/>
      <c r="H48" s="793"/>
      <c r="I48" s="1886" t="s">
        <v>1525</v>
      </c>
      <c r="J48" s="1887" t="s">
        <v>3080</v>
      </c>
      <c r="K48" s="1888" t="s">
        <v>1526</v>
      </c>
      <c r="L48" s="1889">
        <f ca="1">INDIRECT("'数据-取费表'!f"&amp;$G$1)</f>
        <v>43.52</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3031</v>
      </c>
      <c r="E49" s="1829" t="s">
        <v>1486</v>
      </c>
      <c r="F49" s="1281"/>
      <c r="G49" s="1890"/>
      <c r="H49" s="793"/>
      <c r="I49" s="1886" t="s">
        <v>1529</v>
      </c>
      <c r="J49" s="1891">
        <v>2020</v>
      </c>
      <c r="K49" s="1888" t="s">
        <v>1530</v>
      </c>
      <c r="L49" s="1892"/>
      <c r="O49" s="1893" t="s">
        <v>1039</v>
      </c>
      <c r="P49" s="1884" t="s">
        <v>1531</v>
      </c>
      <c r="Q49" s="1885">
        <f ca="1">C29</f>
        <v>21243</v>
      </c>
      <c r="R49" s="1885" t="s">
        <v>1524</v>
      </c>
    </row>
    <row r="50" spans="1:18" s="1841" customFormat="1" ht="13.5" thickBot="1">
      <c r="A50" s="1195"/>
      <c r="B50" s="1198"/>
      <c r="C50" s="1368"/>
      <c r="D50" s="1172"/>
      <c r="E50" s="1277" t="s">
        <v>1401</v>
      </c>
      <c r="F50" s="1278">
        <f ca="1">F7</f>
        <v>28977.16</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61</v>
      </c>
      <c r="K51" s="1899" t="s">
        <v>1536</v>
      </c>
      <c r="L51" s="1900">
        <f ca="1">ROUND(-PV(INDIRECT("'数据-取费表'!h"&amp;$G$1),L48,(C39-C13*C76),0),0)</f>
        <v>30097</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41.870000000000005</v>
      </c>
      <c r="R52" s="1885" t="s">
        <v>1541</v>
      </c>
    </row>
    <row r="53" spans="1:18" s="1841" customFormat="1" ht="24.75" thickBot="1">
      <c r="A53" s="1405" t="s">
        <v>1134</v>
      </c>
      <c r="B53" s="1830" t="s">
        <v>1404</v>
      </c>
      <c r="C53" s="361">
        <f ca="1">ROUND(IF(F53="押一",C49/12*F11,IF(F53="押二",C49/12*2*F11,IF(F53="押三",C49/12*3*F11,C54*F11))),0)</f>
        <v>0</v>
      </c>
      <c r="D53" s="1823" t="s">
        <v>3038</v>
      </c>
      <c r="E53" s="358" t="s">
        <v>1405</v>
      </c>
      <c r="F53" s="1366"/>
      <c r="I53" s="1904" t="s">
        <v>1542</v>
      </c>
      <c r="J53" s="2950">
        <f ca="1">IF(M47="住宅",IF(D1="——",MAX(J51,L48),MAX(J51,L48-'数据-取费表'!B24)),IF(D1="——",MIN(J51,L48),MIN(J51,L48-'数据-取费表'!B24)))</f>
        <v>41.870000000000005</v>
      </c>
      <c r="K53" s="3212" t="s">
        <v>1543</v>
      </c>
      <c r="L53" s="3213"/>
      <c r="O53" s="1883" t="s">
        <v>1043</v>
      </c>
      <c r="P53" s="1884" t="s">
        <v>1544</v>
      </c>
      <c r="Q53" s="1885">
        <f ca="1">Q47+Q48</f>
        <v>75807</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21243</v>
      </c>
      <c r="D56" s="1912"/>
      <c r="E56" s="1913"/>
      <c r="F56" s="1905"/>
      <c r="I56" s="1914" t="s">
        <v>1549</v>
      </c>
      <c r="J56" s="1915" t="s">
        <v>3063</v>
      </c>
      <c r="K56" s="1886" t="s">
        <v>1550</v>
      </c>
      <c r="L56" s="1889" t="str">
        <f ca="1">IF(L48&lt;J51,"——",L48-J53)</f>
        <v>——</v>
      </c>
      <c r="O56" s="1883" t="s">
        <v>1037</v>
      </c>
      <c r="P56" s="1884" t="s">
        <v>1523</v>
      </c>
      <c r="Q56" s="1885">
        <f ca="1">C40+J29</f>
        <v>75807</v>
      </c>
      <c r="R56" s="1885" t="s">
        <v>1524</v>
      </c>
    </row>
    <row r="57" spans="1:18" s="1841" customFormat="1" ht="24.75" thickBot="1">
      <c r="A57" s="1916"/>
      <c r="B57" s="1169" t="s">
        <v>1473</v>
      </c>
      <c r="C57" s="282">
        <f ca="1">C29</f>
        <v>21243</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2146</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1785.2</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1784.41</v>
      </c>
      <c r="D61" s="1827" t="s">
        <v>1433</v>
      </c>
      <c r="E61" s="1169" t="s">
        <v>1489</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0.79</v>
      </c>
      <c r="D62" s="1184" t="s">
        <v>1492</v>
      </c>
      <c r="E62" s="1169" t="s">
        <v>1493</v>
      </c>
      <c r="F62" s="371">
        <f t="shared" si="0"/>
        <v>1.5</v>
      </c>
      <c r="I62" s="1927" t="s">
        <v>1565</v>
      </c>
      <c r="J62" s="1928" t="s">
        <v>1566</v>
      </c>
      <c r="K62" s="1928" t="s">
        <v>1567</v>
      </c>
      <c r="L62" s="1928" t="s">
        <v>1568</v>
      </c>
      <c r="M62" s="1929" t="s">
        <v>1569</v>
      </c>
      <c r="O62" s="1883" t="s">
        <v>1043</v>
      </c>
      <c r="P62" s="1884" t="s">
        <v>1570</v>
      </c>
      <c r="Q62" s="1885">
        <f ca="1">Q56+Q57</f>
        <v>75807</v>
      </c>
      <c r="R62" s="1885" t="s">
        <v>1044</v>
      </c>
    </row>
    <row r="63" spans="1:18" s="1841" customFormat="1" ht="13.5" thickBot="1">
      <c r="A63" s="372"/>
      <c r="B63" s="1175"/>
      <c r="C63" s="29"/>
      <c r="D63" s="1185"/>
      <c r="E63" s="1169" t="s">
        <v>1494</v>
      </c>
      <c r="F63" s="348">
        <f t="shared" ca="1" si="0"/>
        <v>5245.16</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318.60000000000002</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42.5</v>
      </c>
      <c r="D65" s="1183" t="s">
        <v>1449</v>
      </c>
      <c r="E65" s="1169" t="s">
        <v>1450</v>
      </c>
      <c r="F65" s="376">
        <f t="shared" ca="1" si="0"/>
        <v>2E-3</v>
      </c>
      <c r="I65" s="1927" t="s">
        <v>1574</v>
      </c>
      <c r="J65" s="1928">
        <v>40</v>
      </c>
      <c r="K65" s="1928">
        <v>30</v>
      </c>
      <c r="L65" s="1928">
        <v>50</v>
      </c>
      <c r="M65" s="1930">
        <v>0.02</v>
      </c>
      <c r="O65" s="1883" t="s">
        <v>1037</v>
      </c>
      <c r="P65" s="1884" t="s">
        <v>1575</v>
      </c>
      <c r="Q65" s="1885">
        <f ca="1">C40+J29</f>
        <v>75807</v>
      </c>
      <c r="R65" s="1885" t="s">
        <v>1524</v>
      </c>
    </row>
    <row r="66" spans="1:18" s="1841" customFormat="1" ht="16.5" thickBot="1">
      <c r="A66" s="1201" t="s">
        <v>1499</v>
      </c>
      <c r="B66" s="1169" t="s">
        <v>1434</v>
      </c>
      <c r="C66" s="24">
        <f ca="1">ROUND(C48*F66,1)</f>
        <v>0</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-2146</v>
      </c>
      <c r="D67" s="1182" t="s">
        <v>1459</v>
      </c>
      <c r="E67" s="1187"/>
      <c r="F67" s="1188"/>
      <c r="O67" s="1893" t="s">
        <v>1039</v>
      </c>
      <c r="P67" s="1884" t="s">
        <v>1557</v>
      </c>
      <c r="Q67" s="1931">
        <f ca="1">L51</f>
        <v>30097</v>
      </c>
      <c r="R67" s="1885" t="s">
        <v>1577</v>
      </c>
    </row>
    <row r="68" spans="1:18" s="1841" customFormat="1" ht="16.5" thickBot="1">
      <c r="A68" s="1166" t="s">
        <v>1029</v>
      </c>
      <c r="B68" s="1167" t="s">
        <v>1480</v>
      </c>
      <c r="C68" s="346">
        <f ca="1">ROUND(C67*(1-((1+F70)/(1+F68))^F69)/(F68-F70),0)</f>
        <v>-32648</v>
      </c>
      <c r="D68" s="1184" t="s">
        <v>1464</v>
      </c>
      <c r="E68" s="1169" t="s">
        <v>1465</v>
      </c>
      <c r="F68" s="357">
        <f ca="1">F40</f>
        <v>0.06</v>
      </c>
      <c r="O68" s="1893" t="s">
        <v>1040</v>
      </c>
      <c r="P68" s="1932" t="s">
        <v>1578</v>
      </c>
      <c r="Q68" s="1885">
        <f ca="1">ROUND(Q69-Q70*Q71,0)</f>
        <v>1709</v>
      </c>
      <c r="R68" s="1885" t="s">
        <v>1048</v>
      </c>
    </row>
    <row r="69" spans="1:18" s="1841" customFormat="1" ht="13.5" thickBot="1">
      <c r="A69" s="1170"/>
      <c r="B69" s="1171"/>
      <c r="C69" s="351"/>
      <c r="D69" s="1189" t="s">
        <v>1468</v>
      </c>
      <c r="E69" s="1169" t="s">
        <v>1469</v>
      </c>
      <c r="F69" s="379">
        <f ca="1">F41</f>
        <v>41.870000000000005</v>
      </c>
      <c r="O69" s="1893" t="s">
        <v>1045</v>
      </c>
      <c r="P69" s="1932" t="s">
        <v>1579</v>
      </c>
      <c r="Q69" s="1885">
        <f ca="1">C39</f>
        <v>3515</v>
      </c>
      <c r="R69" s="1885" t="s">
        <v>1524</v>
      </c>
    </row>
    <row r="70" spans="1:18" s="1841" customFormat="1" ht="13.5" thickBot="1">
      <c r="A70" s="1173"/>
      <c r="B70" s="1174"/>
      <c r="C70" s="355"/>
      <c r="D70" s="1185"/>
      <c r="E70" s="1169" t="s">
        <v>1472</v>
      </c>
      <c r="F70" s="1275"/>
      <c r="O70" s="1893" t="s">
        <v>1046</v>
      </c>
      <c r="P70" s="1932" t="s">
        <v>1580</v>
      </c>
      <c r="Q70" s="1885">
        <f ca="1">C13</f>
        <v>21243</v>
      </c>
      <c r="R70" s="1885" t="s">
        <v>1524</v>
      </c>
    </row>
    <row r="71" spans="1:18" s="1841" customFormat="1" ht="13.5" thickBot="1">
      <c r="A71" s="1190" t="s">
        <v>1030</v>
      </c>
      <c r="B71" s="1191" t="s">
        <v>1482</v>
      </c>
      <c r="C71" s="382">
        <f ca="1">ROUND(C68*10000/F71,0)</f>
        <v>-11267</v>
      </c>
      <c r="D71" s="1192" t="s">
        <v>1483</v>
      </c>
      <c r="E71" s="1193" t="s">
        <v>1484</v>
      </c>
      <c r="F71" s="385">
        <f ca="1">F43</f>
        <v>28977.16</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1806</v>
      </c>
      <c r="D75" s="1841"/>
      <c r="E75" s="1841"/>
      <c r="F75" s="1841"/>
      <c r="K75" s="1867"/>
      <c r="L75" s="1841"/>
      <c r="O75" s="1883" t="s">
        <v>1043</v>
      </c>
      <c r="P75" s="1884" t="s">
        <v>1544</v>
      </c>
      <c r="Q75" s="1885">
        <f ca="1">Q65+Q66</f>
        <v>75807</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0.48599999999999999</v>
      </c>
    </row>
    <row r="80" spans="1:18">
      <c r="B80" s="386" t="s">
        <v>1506</v>
      </c>
      <c r="C80" s="318">
        <f ca="1">ROUND(C75/C39,3)</f>
        <v>0.51400000000000001</v>
      </c>
    </row>
    <row r="81" spans="2:3">
      <c r="B81" s="314" t="s">
        <v>1507</v>
      </c>
      <c r="C81" s="282"/>
    </row>
    <row r="82" spans="2:3">
      <c r="B82" s="317" t="s">
        <v>1508</v>
      </c>
      <c r="C82" s="319">
        <f ca="1">1-C83</f>
        <v>0.72</v>
      </c>
    </row>
    <row r="83" spans="2:3">
      <c r="B83" s="317" t="s">
        <v>1509</v>
      </c>
      <c r="C83" s="318">
        <f ca="1">ROUND(C13/C40,3)</f>
        <v>0.28000000000000003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-1.65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14" t="s">
        <v>1398</v>
      </c>
      <c r="C6" s="1296">
        <f ca="1">ROUND(F6*F8*F7*(1-F9),0)</f>
        <v>0</v>
      </c>
      <c r="D6" s="164" t="s">
        <v>3027</v>
      </c>
      <c r="E6" s="347" t="s">
        <v>1400</v>
      </c>
      <c r="F6" s="348">
        <f ca="1">INDIRECT("'数据-取费表'!u"&amp;$G$1)</f>
        <v>0</v>
      </c>
      <c r="G6" s="1850"/>
      <c r="H6" s="1291" t="s">
        <v>1032</v>
      </c>
      <c r="I6" s="3214" t="s">
        <v>1398</v>
      </c>
      <c r="J6" s="346">
        <f ca="1">ROUND(M6*M8*M7*(1-M9),0)</f>
        <v>0</v>
      </c>
      <c r="K6" s="1833" t="s">
        <v>3028</v>
      </c>
      <c r="L6" s="347" t="s">
        <v>1400</v>
      </c>
      <c r="M6" s="348">
        <f ca="1">INDIRECT("'数据-取费表'!z"&amp;$G$1)</f>
        <v>0</v>
      </c>
    </row>
    <row r="7" spans="1:37" ht="18" customHeight="1">
      <c r="A7" s="1295"/>
      <c r="B7" s="3215"/>
      <c r="C7" s="1297"/>
      <c r="D7" s="352"/>
      <c r="E7" s="1298" t="s">
        <v>1401</v>
      </c>
      <c r="F7" s="348">
        <f ca="1">IF(INDIRECT("'数据-取费表'!ah"&amp;$G$1)="",INDIRECT("'数据-取费表'!k"&amp;$G$1),INDIRECT("'数据-取费表'!ah"&amp;$G$1))</f>
        <v>0</v>
      </c>
      <c r="G7" s="1850"/>
      <c r="H7" s="349"/>
      <c r="I7" s="3215"/>
      <c r="J7" s="351"/>
      <c r="K7" s="352"/>
      <c r="L7" s="347" t="s">
        <v>1401</v>
      </c>
      <c r="M7" s="348">
        <f ca="1">F7</f>
        <v>0</v>
      </c>
    </row>
    <row r="8" spans="1:37" ht="18" customHeight="1">
      <c r="A8" s="349"/>
      <c r="B8" s="3215"/>
      <c r="C8" s="351"/>
      <c r="D8" s="352"/>
      <c r="E8" s="347" t="s">
        <v>1402</v>
      </c>
      <c r="F8" s="348">
        <f ca="1">INDIRECT("'数据-取费表'!ai"&amp;$G$1)</f>
        <v>0</v>
      </c>
      <c r="G8" s="1850"/>
      <c r="H8" s="349"/>
      <c r="I8" s="3215"/>
      <c r="J8" s="351"/>
      <c r="K8" s="352"/>
      <c r="L8" s="347" t="s">
        <v>1402</v>
      </c>
      <c r="M8" s="348">
        <f ca="1">INDIRECT("'数据-取费表'!ai"&amp;$G$1)</f>
        <v>0</v>
      </c>
    </row>
    <row r="9" spans="1:37" ht="18" customHeight="1">
      <c r="A9" s="349"/>
      <c r="B9" s="3216"/>
      <c r="C9" s="351"/>
      <c r="D9" s="352"/>
      <c r="E9" s="347" t="s">
        <v>1403</v>
      </c>
      <c r="F9" s="357">
        <f ca="1">INDIRECT("'数据-取费表'!w"&amp;$G$1)</f>
        <v>0</v>
      </c>
      <c r="G9" s="1850"/>
      <c r="H9" s="349"/>
      <c r="I9" s="3216"/>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3038</v>
      </c>
      <c r="E10" s="358" t="s">
        <v>1405</v>
      </c>
      <c r="F10" s="1366"/>
      <c r="G10" s="1850"/>
      <c r="H10" s="1291" t="s">
        <v>1036</v>
      </c>
      <c r="I10" s="1822" t="s">
        <v>1404</v>
      </c>
      <c r="J10" s="346">
        <f ca="1">ROUND(IF(M10="押一",J6/12*M11,IF(M10="押二",J6/12*2*M11,IF(M10="押三",J6/12*3*M11,J11*M11))),0)</f>
        <v>0</v>
      </c>
      <c r="K10" s="1834" t="s">
        <v>3040</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-1.65</v>
      </c>
      <c r="R52" s="1885" t="s">
        <v>1541</v>
      </c>
    </row>
    <row r="53" spans="1:18" s="1841" customFormat="1" ht="30.75" customHeight="1" thickBot="1">
      <c r="A53" s="1361" t="s">
        <v>1134</v>
      </c>
      <c r="B53" s="369" t="s">
        <v>1404</v>
      </c>
      <c r="C53" s="361">
        <f ca="1">ROUND(IF(F53="押一",C49/12*F11,IF(F53="押二",C49/12*2*F11,IF(F53="押三",C49/12*3*F11,C54*F11))),0)</f>
        <v>0</v>
      </c>
      <c r="D53" s="1823" t="s">
        <v>3041</v>
      </c>
      <c r="E53" s="358" t="s">
        <v>1405</v>
      </c>
      <c r="F53" s="1366"/>
      <c r="I53" s="1904" t="s">
        <v>1542</v>
      </c>
      <c r="J53" s="2950">
        <f ca="1">IF(M47="住宅",IF(D1="——",MAX(J51,L48),MAX(J51,L48-'数据-取费表'!B24)),IF(D1="——",MIN(J51,L48),MIN(J51,L48-'数据-取费表'!B24)))</f>
        <v>-1.65</v>
      </c>
      <c r="K53" s="3212" t="s">
        <v>1543</v>
      </c>
      <c r="L53" s="3213"/>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2328</v>
      </c>
      <c r="B2" s="2565">
        <f ca="1">SUMIF(B6:B13,"&lt;&gt;#ref!",B6:B13)</f>
        <v>183832</v>
      </c>
      <c r="C2" s="2566" t="s">
        <v>2517</v>
      </c>
      <c r="D2" s="2567" t="s">
        <v>2518</v>
      </c>
      <c r="E2" s="2568">
        <f>SUM(E6:E13)</f>
        <v>95896.06</v>
      </c>
    </row>
    <row r="3" spans="1:6" ht="15.75">
      <c r="A3" s="2564" t="s">
        <v>1390</v>
      </c>
      <c r="B3" s="2565">
        <f ca="1">ROUND(B2*10000/E2,0)</f>
        <v>19170</v>
      </c>
      <c r="C3" s="2566" t="s">
        <v>2525</v>
      </c>
      <c r="D3" s="2569"/>
      <c r="E3" s="2570"/>
    </row>
    <row r="4" spans="1:6" ht="15.75">
      <c r="A4" s="2571"/>
      <c r="B4" s="2569"/>
      <c r="C4" s="2569"/>
      <c r="D4" s="2569"/>
      <c r="E4" s="2570"/>
    </row>
    <row r="5" spans="1:6" ht="15">
      <c r="A5" s="2572" t="s">
        <v>2519</v>
      </c>
      <c r="B5" s="3217" t="s">
        <v>2520</v>
      </c>
      <c r="C5" s="3217"/>
      <c r="D5" s="2573"/>
      <c r="E5" s="2574" t="s">
        <v>2521</v>
      </c>
      <c r="F5" s="2575" t="s">
        <v>2522</v>
      </c>
    </row>
    <row r="6" spans="1:6">
      <c r="A6" s="2576" t="str">
        <f>'数据-取费表'!AN6</f>
        <v>收益法-办公</v>
      </c>
      <c r="B6" s="2575">
        <f ca="1">IF(F6="是",'数据-取费表'!AO6,0)</f>
        <v>75807</v>
      </c>
      <c r="C6" s="2566" t="s">
        <v>2517</v>
      </c>
      <c r="D6" s="2569"/>
      <c r="E6" s="2577">
        <f>IF(OR(A6=0,F6="否"),0,'数据-取费表'!K6+'数据-取费表'!S6)</f>
        <v>32150.61</v>
      </c>
      <c r="F6" s="2578" t="s">
        <v>2523</v>
      </c>
    </row>
    <row r="7" spans="1:6">
      <c r="A7" s="2576" t="str">
        <f>'数据-取费表'!AN7</f>
        <v>收益法-商业</v>
      </c>
      <c r="B7" s="2575">
        <f ca="1">IF(F7="是",'数据-取费表'!AO7,0)</f>
        <v>103656</v>
      </c>
      <c r="C7" s="2566" t="s">
        <v>2517</v>
      </c>
      <c r="D7" s="2569"/>
      <c r="E7" s="2577">
        <f>IF(OR(A7=0,F7="否"),0,'数据-取费表'!K7+'数据-取费表'!S7)</f>
        <v>43073.439999999995</v>
      </c>
      <c r="F7" s="2578" t="s">
        <v>2523</v>
      </c>
    </row>
    <row r="8" spans="1:6">
      <c r="A8" s="2576" t="str">
        <f>'数据-取费表'!AN8</f>
        <v>收益法-车库</v>
      </c>
      <c r="B8" s="2575">
        <f ca="1">IF(F8="是",'数据-取费表'!AO8,0)</f>
        <v>4369</v>
      </c>
      <c r="C8" s="2566" t="s">
        <v>2517</v>
      </c>
      <c r="D8" s="2569"/>
      <c r="E8" s="2577">
        <f>IF(OR(A8=0,F8="否"),0,'数据-取费表'!K8+'数据-取费表'!S8)</f>
        <v>20672.010000000002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4" t="s">
        <v>1073</v>
      </c>
      <c r="B1" s="3235"/>
      <c r="C1" s="3236"/>
      <c r="D1" s="3237">
        <f>SUM(I10,I15,I20,I21,I23)</f>
        <v>0</v>
      </c>
      <c r="E1" s="3237"/>
      <c r="F1" s="3237"/>
      <c r="G1" s="3237"/>
      <c r="H1" s="3237"/>
      <c r="I1" s="3238"/>
    </row>
    <row r="2" spans="1:9">
      <c r="A2" s="3224" t="s">
        <v>1074</v>
      </c>
      <c r="B2" s="3225" t="s">
        <v>1075</v>
      </c>
      <c r="C2" s="3225"/>
      <c r="D2" s="1301" t="s">
        <v>1076</v>
      </c>
      <c r="E2" s="1301" t="s">
        <v>1077</v>
      </c>
      <c r="F2" s="1301" t="s">
        <v>1078</v>
      </c>
      <c r="G2" s="1301" t="s">
        <v>1079</v>
      </c>
      <c r="H2" s="1301" t="s">
        <v>1080</v>
      </c>
      <c r="I2" s="1302" t="s">
        <v>1081</v>
      </c>
    </row>
    <row r="3" spans="1:9">
      <c r="A3" s="3224"/>
      <c r="B3" s="3225" t="s">
        <v>1082</v>
      </c>
      <c r="C3" s="3225"/>
      <c r="D3" s="1303"/>
      <c r="E3" s="1301"/>
      <c r="F3" s="1304"/>
      <c r="G3" s="1304"/>
      <c r="H3" s="1305"/>
      <c r="I3" s="1306">
        <f>ROUND(D3*E3*F3*G3*H3/10000,0)</f>
        <v>0</v>
      </c>
    </row>
    <row r="4" spans="1:9">
      <c r="A4" s="3224"/>
      <c r="B4" s="3225" t="s">
        <v>1083</v>
      </c>
      <c r="C4" s="3225"/>
      <c r="D4" s="1303"/>
      <c r="E4" s="1301"/>
      <c r="F4" s="1304"/>
      <c r="G4" s="1304"/>
      <c r="H4" s="1305"/>
      <c r="I4" s="1306">
        <f t="shared" ref="I4:I9" si="0">ROUND(D4*E4*F4*G4*H4/10000,0)</f>
        <v>0</v>
      </c>
    </row>
    <row r="5" spans="1:9">
      <c r="A5" s="3224"/>
      <c r="B5" s="3225" t="s">
        <v>1084</v>
      </c>
      <c r="C5" s="3225"/>
      <c r="D5" s="1303"/>
      <c r="E5" s="1301"/>
      <c r="F5" s="1304"/>
      <c r="G5" s="1304"/>
      <c r="H5" s="1305"/>
      <c r="I5" s="1306">
        <f t="shared" si="0"/>
        <v>0</v>
      </c>
    </row>
    <row r="6" spans="1:9">
      <c r="A6" s="3224"/>
      <c r="B6" s="3225" t="s">
        <v>1085</v>
      </c>
      <c r="C6" s="3225"/>
      <c r="D6" s="1303"/>
      <c r="E6" s="1301"/>
      <c r="F6" s="1304"/>
      <c r="G6" s="1304"/>
      <c r="H6" s="1305"/>
      <c r="I6" s="1306">
        <f t="shared" si="0"/>
        <v>0</v>
      </c>
    </row>
    <row r="7" spans="1:9">
      <c r="A7" s="3224"/>
      <c r="B7" s="3225" t="s">
        <v>1086</v>
      </c>
      <c r="C7" s="3225"/>
      <c r="D7" s="1303"/>
      <c r="E7" s="1301"/>
      <c r="F7" s="1304"/>
      <c r="G7" s="1304"/>
      <c r="H7" s="1305"/>
      <c r="I7" s="1306">
        <f t="shared" si="0"/>
        <v>0</v>
      </c>
    </row>
    <row r="8" spans="1:9">
      <c r="A8" s="3224"/>
      <c r="B8" s="3225" t="s">
        <v>1087</v>
      </c>
      <c r="C8" s="3225"/>
      <c r="D8" s="1303"/>
      <c r="E8" s="1301"/>
      <c r="F8" s="1304"/>
      <c r="G8" s="1304"/>
      <c r="H8" s="1305"/>
      <c r="I8" s="1306">
        <f t="shared" si="0"/>
        <v>0</v>
      </c>
    </row>
    <row r="9" spans="1:9">
      <c r="A9" s="3224"/>
      <c r="B9" s="3225" t="s">
        <v>1088</v>
      </c>
      <c r="C9" s="3225"/>
      <c r="D9" s="1303"/>
      <c r="E9" s="1301"/>
      <c r="F9" s="1304"/>
      <c r="G9" s="1304"/>
      <c r="H9" s="1305"/>
      <c r="I9" s="1306">
        <f t="shared" si="0"/>
        <v>0</v>
      </c>
    </row>
    <row r="10" spans="1:9">
      <c r="A10" s="3224"/>
      <c r="B10" s="3226" t="s">
        <v>1089</v>
      </c>
      <c r="C10" s="3226"/>
      <c r="D10" s="1307"/>
      <c r="E10" s="1307" t="e">
        <f>ROUND(D1*10000/D10/H9,0)</f>
        <v>#DIV/0!</v>
      </c>
      <c r="F10" s="1308"/>
      <c r="G10" s="1308"/>
      <c r="H10" s="1309"/>
      <c r="I10" s="1310">
        <f>SUM(I3:I9)</f>
        <v>0</v>
      </c>
    </row>
    <row r="11" spans="1:9" ht="14.25">
      <c r="A11" s="3224" t="s">
        <v>1090</v>
      </c>
      <c r="B11" s="3225" t="s">
        <v>1091</v>
      </c>
      <c r="C11" s="3225"/>
      <c r="D11" s="1303" t="s">
        <v>1092</v>
      </c>
      <c r="E11" s="1303" t="s">
        <v>1093</v>
      </c>
      <c r="F11" s="1304" t="s">
        <v>1094</v>
      </c>
      <c r="G11" s="1304" t="s">
        <v>1080</v>
      </c>
      <c r="H11" s="1311" t="s">
        <v>1095</v>
      </c>
      <c r="I11" s="1302" t="s">
        <v>1081</v>
      </c>
    </row>
    <row r="12" spans="1:9">
      <c r="A12" s="3224"/>
      <c r="B12" s="3225" t="s">
        <v>1096</v>
      </c>
      <c r="C12" s="3225"/>
      <c r="D12" s="1303"/>
      <c r="E12" s="1303"/>
      <c r="F12" s="1304"/>
      <c r="G12" s="1305"/>
      <c r="H12" s="1312"/>
      <c r="I12" s="1302">
        <f>ROUND(D12*E12*F12*G12/10000,0)</f>
        <v>0</v>
      </c>
    </row>
    <row r="13" spans="1:9">
      <c r="A13" s="3224"/>
      <c r="B13" s="3225" t="s">
        <v>1097</v>
      </c>
      <c r="C13" s="3225"/>
      <c r="D13" s="1303"/>
      <c r="E13" s="1303"/>
      <c r="F13" s="1304"/>
      <c r="G13" s="1305"/>
      <c r="H13" s="1312"/>
      <c r="I13" s="1302">
        <f>ROUND(D13*E13*F13*G13/10000,0)</f>
        <v>0</v>
      </c>
    </row>
    <row r="14" spans="1:9">
      <c r="A14" s="3224"/>
      <c r="B14" s="3225" t="s">
        <v>1098</v>
      </c>
      <c r="C14" s="3225"/>
      <c r="D14" s="1303"/>
      <c r="E14" s="1303"/>
      <c r="F14" s="1304"/>
      <c r="G14" s="1305"/>
      <c r="H14" s="1312"/>
      <c r="I14" s="1302">
        <f>ROUND(D14*E14*F14*G14/10000,0)</f>
        <v>0</v>
      </c>
    </row>
    <row r="15" spans="1:9">
      <c r="A15" s="3224"/>
      <c r="B15" s="3226" t="s">
        <v>1089</v>
      </c>
      <c r="C15" s="3226"/>
      <c r="D15" s="1307"/>
      <c r="E15" s="1307">
        <f>SUM(E12:E14)</f>
        <v>0</v>
      </c>
      <c r="F15" s="1308"/>
      <c r="G15" s="1305"/>
      <c r="H15" s="1312"/>
      <c r="I15" s="1313">
        <f>SUM(I12:I14)</f>
        <v>0</v>
      </c>
    </row>
    <row r="16" spans="1:9" ht="24">
      <c r="A16" s="3224" t="s">
        <v>1099</v>
      </c>
      <c r="B16" s="3225" t="s">
        <v>1100</v>
      </c>
      <c r="C16" s="3225"/>
      <c r="D16" s="1303" t="s">
        <v>1076</v>
      </c>
      <c r="E16" s="1314" t="s">
        <v>1101</v>
      </c>
      <c r="F16" s="1304" t="s">
        <v>1102</v>
      </c>
      <c r="G16" s="1305" t="s">
        <v>1080</v>
      </c>
      <c r="H16" s="1311" t="s">
        <v>1095</v>
      </c>
      <c r="I16" s="1302" t="s">
        <v>1081</v>
      </c>
    </row>
    <row r="17" spans="1:9" ht="14.25">
      <c r="A17" s="3224"/>
      <c r="B17" s="3225" t="s">
        <v>1103</v>
      </c>
      <c r="C17" s="3225"/>
      <c r="D17" s="1303"/>
      <c r="E17" s="1303"/>
      <c r="F17" s="1304"/>
      <c r="G17" s="1305"/>
      <c r="H17" s="1315"/>
      <c r="I17" s="1316">
        <f>ROUND(D17*E17*F17*G17/10000,0)</f>
        <v>0</v>
      </c>
    </row>
    <row r="18" spans="1:9" ht="14.25">
      <c r="A18" s="3224"/>
      <c r="B18" s="3225" t="s">
        <v>1104</v>
      </c>
      <c r="C18" s="3225"/>
      <c r="D18" s="1303"/>
      <c r="E18" s="1303"/>
      <c r="F18" s="1304"/>
      <c r="G18" s="1305"/>
      <c r="H18" s="1315"/>
      <c r="I18" s="1316">
        <f>ROUND(D18*E18*F18*G18/10000,0)</f>
        <v>0</v>
      </c>
    </row>
    <row r="19" spans="1:9" ht="14.25">
      <c r="A19" s="3224"/>
      <c r="B19" s="3225" t="s">
        <v>1105</v>
      </c>
      <c r="C19" s="3225"/>
      <c r="D19" s="1303"/>
      <c r="E19" s="1303"/>
      <c r="F19" s="1304"/>
      <c r="G19" s="1305"/>
      <c r="H19" s="1315"/>
      <c r="I19" s="1316">
        <f>ROUND(D19*E19*F19*G19/10000,0)</f>
        <v>0</v>
      </c>
    </row>
    <row r="20" spans="1:9">
      <c r="A20" s="3224"/>
      <c r="B20" s="3226" t="s">
        <v>1089</v>
      </c>
      <c r="C20" s="3226"/>
      <c r="D20" s="1307">
        <f>SUM(D17:D19)</f>
        <v>0</v>
      </c>
      <c r="E20" s="1307"/>
      <c r="F20" s="1308"/>
      <c r="G20" s="1305"/>
      <c r="H20" s="1312"/>
      <c r="I20" s="1313">
        <f>SUM(I17:I19)</f>
        <v>0</v>
      </c>
    </row>
    <row r="21" spans="1:9">
      <c r="A21" s="3224" t="s">
        <v>1106</v>
      </c>
      <c r="B21" s="3227"/>
      <c r="C21" s="3227"/>
      <c r="D21" s="3227"/>
      <c r="E21" s="3227"/>
      <c r="F21" s="3227"/>
      <c r="G21" s="3227"/>
      <c r="H21" s="1764">
        <v>0.1</v>
      </c>
      <c r="I21" s="1310">
        <f>ROUND(I10*H21,0)</f>
        <v>0</v>
      </c>
    </row>
    <row r="22" spans="1:9" ht="14.25">
      <c r="A22" s="3228" t="s">
        <v>1107</v>
      </c>
      <c r="B22" s="3229"/>
      <c r="C22" s="3230"/>
      <c r="D22" s="1317" t="s">
        <v>1108</v>
      </c>
      <c r="E22" s="1317" t="s">
        <v>1109</v>
      </c>
      <c r="F22" s="1318" t="s">
        <v>1110</v>
      </c>
      <c r="G22" s="1318" t="s">
        <v>1111</v>
      </c>
      <c r="H22" s="1311" t="s">
        <v>1112</v>
      </c>
      <c r="I22" s="1302" t="s">
        <v>1113</v>
      </c>
    </row>
    <row r="23" spans="1:9" ht="14.25" thickBot="1">
      <c r="A23" s="3231"/>
      <c r="B23" s="3232"/>
      <c r="C23" s="3233"/>
      <c r="D23" s="1319"/>
      <c r="E23" s="1319"/>
      <c r="F23" s="1319"/>
      <c r="G23" s="1320"/>
      <c r="H23" s="1321"/>
      <c r="I23" s="1322">
        <f>ROUND(E23*D23*F23*(1-G23)/10000,0)</f>
        <v>0</v>
      </c>
    </row>
    <row r="26" spans="1:9">
      <c r="A26" s="1323" t="s">
        <v>1114</v>
      </c>
      <c r="B26" s="1323"/>
      <c r="C26" s="1323"/>
      <c r="D26" s="1323"/>
      <c r="E26" s="3221">
        <f>C27-C30-C31-C32</f>
        <v>0</v>
      </c>
      <c r="F26" s="3221"/>
      <c r="G26" s="3221"/>
      <c r="H26" s="1736" t="s">
        <v>1336</v>
      </c>
    </row>
    <row r="27" spans="1:9">
      <c r="A27" s="1324">
        <v>1</v>
      </c>
      <c r="B27" s="1325" t="s">
        <v>1115</v>
      </c>
      <c r="C27" s="1325">
        <f>C28+C29</f>
        <v>0</v>
      </c>
      <c r="D27" s="1325"/>
      <c r="E27" s="3222"/>
      <c r="F27" s="3222"/>
      <c r="G27" s="3222"/>
    </row>
    <row r="28" spans="1:9">
      <c r="A28" s="1326" t="s">
        <v>1116</v>
      </c>
      <c r="B28" s="1325" t="s">
        <v>1117</v>
      </c>
      <c r="C28" s="1325"/>
      <c r="D28" s="1325"/>
      <c r="E28" s="3222"/>
      <c r="F28" s="3222"/>
      <c r="G28" s="322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3"/>
      <c r="F32" s="3223"/>
      <c r="G32" s="3223"/>
    </row>
    <row r="33" spans="1:7" hidden="1">
      <c r="A33" s="3218" t="s">
        <v>1126</v>
      </c>
      <c r="B33" s="3219"/>
      <c r="C33" s="3219"/>
      <c r="D33" s="3220"/>
      <c r="E33" s="3221"/>
      <c r="F33" s="3221"/>
      <c r="G33" s="3221"/>
    </row>
    <row r="34" spans="1:7" hidden="1">
      <c r="A34" s="1328">
        <v>1</v>
      </c>
      <c r="B34" s="1325" t="s">
        <v>1127</v>
      </c>
      <c r="C34" s="1325"/>
      <c r="D34" s="1325"/>
      <c r="E34" s="3222"/>
      <c r="F34" s="3222"/>
      <c r="G34" s="3222"/>
    </row>
    <row r="35" spans="1:7" hidden="1">
      <c r="A35" s="1328">
        <v>2</v>
      </c>
      <c r="B35" s="1325" t="s">
        <v>1128</v>
      </c>
      <c r="C35" s="1325"/>
      <c r="D35" s="1325"/>
      <c r="E35" s="3222"/>
      <c r="F35" s="3222"/>
      <c r="G35" s="3222"/>
    </row>
    <row r="36" spans="1:7" hidden="1">
      <c r="A36" s="1328">
        <v>3</v>
      </c>
      <c r="B36" s="1325" t="s">
        <v>1129</v>
      </c>
      <c r="C36" s="1325"/>
      <c r="D36" s="1325"/>
      <c r="E36" s="3222"/>
      <c r="F36" s="3222"/>
      <c r="G36" s="3222"/>
    </row>
    <row r="37" spans="1:7" hidden="1">
      <c r="A37" s="1328">
        <v>4</v>
      </c>
      <c r="B37" s="1325" t="s">
        <v>1130</v>
      </c>
      <c r="C37" s="1325"/>
      <c r="D37" s="1325"/>
      <c r="E37" s="3222"/>
      <c r="F37" s="3222"/>
      <c r="G37" s="3222"/>
    </row>
    <row r="38" spans="1:7" hidden="1">
      <c r="A38" s="3218" t="s">
        <v>1131</v>
      </c>
      <c r="B38" s="3219"/>
      <c r="C38" s="3219"/>
      <c r="D38" s="3220"/>
      <c r="E38" s="3221"/>
      <c r="F38" s="3221"/>
      <c r="G38" s="32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2532</v>
      </c>
      <c r="D3" s="399">
        <f>IF(D1="",'数据-汇总表'!E3,SUMIF('数据-汇总表'!$C19:$C33,D1,'数据-汇总表'!$E19:$E33))</f>
        <v>95896.06</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73" t="s">
        <v>2534</v>
      </c>
      <c r="D4" s="3186"/>
      <c r="E4" s="3187" t="s">
        <v>2535</v>
      </c>
      <c r="F4" s="3188"/>
      <c r="G4" s="3173" t="s">
        <v>2536</v>
      </c>
      <c r="H4" s="3186"/>
      <c r="I4" s="3173" t="s">
        <v>2537</v>
      </c>
      <c r="J4" s="3186"/>
      <c r="K4" s="2596" t="s">
        <v>2538</v>
      </c>
      <c r="L4" s="1130"/>
      <c r="M4" s="1131"/>
      <c r="N4" s="1131"/>
      <c r="O4" s="1131"/>
      <c r="P4" s="3189" t="s">
        <v>2539</v>
      </c>
      <c r="Q4" s="3190"/>
      <c r="R4" s="3195" t="s">
        <v>2535</v>
      </c>
      <c r="S4" s="3196"/>
      <c r="T4" s="3195" t="s">
        <v>2536</v>
      </c>
      <c r="U4" s="3196"/>
      <c r="V4" s="3182" t="s">
        <v>2537</v>
      </c>
      <c r="W4" s="3182"/>
      <c r="X4" s="1812"/>
      <c r="Y4" s="3195" t="s">
        <v>2539</v>
      </c>
      <c r="Z4" s="3196"/>
      <c r="AA4" s="3183" t="s">
        <v>2535</v>
      </c>
      <c r="AB4" s="3183" t="s">
        <v>2536</v>
      </c>
      <c r="AC4" s="3183" t="s">
        <v>2537</v>
      </c>
    </row>
    <row r="5" spans="1:29" ht="15">
      <c r="A5" s="404"/>
      <c r="B5" s="405"/>
      <c r="C5" s="3203" t="s">
        <v>2540</v>
      </c>
      <c r="D5" s="3204"/>
      <c r="E5" s="3210" t="s">
        <v>2541</v>
      </c>
      <c r="F5" s="3211"/>
      <c r="G5" s="3203" t="s">
        <v>2542</v>
      </c>
      <c r="H5" s="3204"/>
      <c r="I5" s="3203" t="s">
        <v>2543</v>
      </c>
      <c r="J5" s="3204"/>
      <c r="K5" s="2597"/>
      <c r="L5" s="1130"/>
      <c r="M5" s="1131"/>
      <c r="N5" s="1131"/>
      <c r="O5" s="1131"/>
      <c r="P5" s="3191"/>
      <c r="Q5" s="3192"/>
      <c r="R5" s="3197"/>
      <c r="S5" s="3198"/>
      <c r="T5" s="3197"/>
      <c r="U5" s="3198"/>
      <c r="V5" s="3182"/>
      <c r="W5" s="3182"/>
      <c r="X5" s="1812"/>
      <c r="Y5" s="3197"/>
      <c r="Z5" s="3198"/>
      <c r="AA5" s="3184"/>
      <c r="AB5" s="3184"/>
      <c r="AC5" s="3184"/>
    </row>
    <row r="6" spans="1:29" ht="15.75" thickBot="1">
      <c r="A6" s="406"/>
      <c r="B6" s="407"/>
      <c r="C6" s="3201" t="s">
        <v>2544</v>
      </c>
      <c r="D6" s="3202"/>
      <c r="E6" s="3208" t="s">
        <v>2544</v>
      </c>
      <c r="F6" s="3209"/>
      <c r="G6" s="3201" t="s">
        <v>2544</v>
      </c>
      <c r="H6" s="3202"/>
      <c r="I6" s="3201" t="s">
        <v>2544</v>
      </c>
      <c r="J6" s="3202"/>
      <c r="K6" s="2597" t="s">
        <v>2545</v>
      </c>
      <c r="L6" s="1130"/>
      <c r="M6" s="1131"/>
      <c r="N6" s="1131"/>
      <c r="O6" s="1131"/>
      <c r="P6" s="3193"/>
      <c r="Q6" s="3194"/>
      <c r="R6" s="3197"/>
      <c r="S6" s="3198"/>
      <c r="T6" s="3199"/>
      <c r="U6" s="3200"/>
      <c r="V6" s="3182"/>
      <c r="W6" s="3182"/>
      <c r="X6" s="1812"/>
      <c r="Y6" s="3199"/>
      <c r="Z6" s="3200"/>
      <c r="AA6" s="3185"/>
      <c r="AB6" s="3185"/>
      <c r="AC6" s="3185"/>
    </row>
    <row r="7" spans="1:29" s="117" customFormat="1" ht="15.75" thickBot="1">
      <c r="A7" s="408" t="s">
        <v>2546</v>
      </c>
      <c r="B7" s="409"/>
      <c r="C7" s="410">
        <f>'数据-取费表'!B2</f>
        <v>43782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5" t="s">
        <v>2547</v>
      </c>
      <c r="Q7" s="3207"/>
      <c r="R7" s="770" t="s">
        <v>23</v>
      </c>
      <c r="S7" s="771">
        <f t="shared" ref="S7:S15" si="0">F7</f>
        <v>0</v>
      </c>
      <c r="T7" s="770" t="s">
        <v>23</v>
      </c>
      <c r="U7" s="771">
        <f t="shared" ref="U7:U15" si="1">H7</f>
        <v>0</v>
      </c>
      <c r="V7" s="770" t="s">
        <v>23</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5" t="s">
        <v>2550</v>
      </c>
      <c r="Q8" s="3206"/>
      <c r="R8" s="770" t="s">
        <v>23</v>
      </c>
      <c r="S8" s="771">
        <f t="shared" si="0"/>
        <v>0</v>
      </c>
      <c r="T8" s="770" t="s">
        <v>23</v>
      </c>
      <c r="U8" s="771">
        <f t="shared" si="1"/>
        <v>0</v>
      </c>
      <c r="V8" s="770" t="s">
        <v>23</v>
      </c>
      <c r="W8" s="771">
        <f t="shared" si="2"/>
        <v>0</v>
      </c>
      <c r="X8" s="772"/>
      <c r="Y8" s="3205" t="s">
        <v>2550</v>
      </c>
      <c r="Z8" s="320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5" t="s">
        <v>2553</v>
      </c>
      <c r="Q9" s="1794" t="str">
        <f t="shared" ref="Q9:Q15" si="6">B9</f>
        <v>用途</v>
      </c>
      <c r="R9" s="770" t="s">
        <v>17</v>
      </c>
      <c r="S9" s="771">
        <f t="shared" si="0"/>
        <v>100</v>
      </c>
      <c r="T9" s="770" t="s">
        <v>17</v>
      </c>
      <c r="U9" s="771">
        <f t="shared" si="1"/>
        <v>100</v>
      </c>
      <c r="V9" s="770" t="s">
        <v>17</v>
      </c>
      <c r="W9" s="771">
        <f t="shared" si="2"/>
        <v>100</v>
      </c>
      <c r="X9" s="772"/>
      <c r="Y9" s="302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5"/>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5"/>
      <c r="Q11" s="1794"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75"/>
      <c r="Q12" s="1794">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75"/>
      <c r="Q13" s="1794">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75"/>
      <c r="Q14" s="1794">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5" t="s">
        <v>2558</v>
      </c>
      <c r="Q15" s="1809" t="str">
        <f t="shared" si="6"/>
        <v>居住社区成熟度</v>
      </c>
      <c r="R15" s="774" t="s">
        <v>21</v>
      </c>
      <c r="S15" s="775">
        <f t="shared" si="0"/>
        <v>100</v>
      </c>
      <c r="T15" s="774" t="s">
        <v>21</v>
      </c>
      <c r="U15" s="775">
        <f t="shared" si="1"/>
        <v>100</v>
      </c>
      <c r="V15" s="774" t="s">
        <v>21</v>
      </c>
      <c r="W15" s="775">
        <f t="shared" si="2"/>
        <v>100</v>
      </c>
      <c r="X15" s="1812"/>
      <c r="Y15" s="3178"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46"/>
      <c r="Q16" s="1809"/>
      <c r="R16" s="774"/>
      <c r="S16" s="775"/>
      <c r="T16" s="774"/>
      <c r="U16" s="775"/>
      <c r="V16" s="774"/>
      <c r="W16" s="775"/>
      <c r="X16" s="1812"/>
      <c r="Y16" s="3179"/>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6"/>
      <c r="Q17" s="1809" t="str">
        <f>B17</f>
        <v>交通便捷度</v>
      </c>
      <c r="R17" s="774" t="s">
        <v>21</v>
      </c>
      <c r="S17" s="775">
        <f>F17</f>
        <v>100</v>
      </c>
      <c r="T17" s="774" t="s">
        <v>21</v>
      </c>
      <c r="U17" s="775">
        <f>H17</f>
        <v>100</v>
      </c>
      <c r="V17" s="774" t="s">
        <v>21</v>
      </c>
      <c r="W17" s="775">
        <f>J17</f>
        <v>100</v>
      </c>
      <c r="X17" s="1812"/>
      <c r="Y17" s="3179"/>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46"/>
      <c r="Q18" s="1809"/>
      <c r="R18" s="774"/>
      <c r="S18" s="775"/>
      <c r="T18" s="774"/>
      <c r="U18" s="775"/>
      <c r="V18" s="774"/>
      <c r="W18" s="775"/>
      <c r="X18" s="1812"/>
      <c r="Y18" s="3179"/>
      <c r="Z18" s="1813"/>
      <c r="AA18" s="1810">
        <v>1</v>
      </c>
      <c r="AB18" s="1810">
        <v>1</v>
      </c>
      <c r="AC18" s="1810">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6"/>
      <c r="Q19" s="1809" t="str">
        <f>B19</f>
        <v>公共配套设施</v>
      </c>
      <c r="R19" s="774" t="s">
        <v>21</v>
      </c>
      <c r="S19" s="775">
        <f>F19</f>
        <v>100</v>
      </c>
      <c r="T19" s="774" t="s">
        <v>21</v>
      </c>
      <c r="U19" s="775">
        <f>H19</f>
        <v>100</v>
      </c>
      <c r="V19" s="774" t="s">
        <v>21</v>
      </c>
      <c r="W19" s="775">
        <f>J19</f>
        <v>100</v>
      </c>
      <c r="X19" s="1812"/>
      <c r="Y19" s="3179"/>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46"/>
      <c r="Q20" s="1809"/>
      <c r="R20" s="774"/>
      <c r="S20" s="775"/>
      <c r="T20" s="774"/>
      <c r="U20" s="775"/>
      <c r="V20" s="774"/>
      <c r="W20" s="775"/>
      <c r="X20" s="1812"/>
      <c r="Y20" s="3179"/>
      <c r="Z20" s="1813"/>
      <c r="AA20" s="1810">
        <v>1</v>
      </c>
      <c r="AB20" s="1810">
        <v>1</v>
      </c>
      <c r="AC20" s="1810">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6"/>
      <c r="Q21" s="1809" t="str">
        <f>B21</f>
        <v>基础设施水平</v>
      </c>
      <c r="R21" s="774" t="s">
        <v>17</v>
      </c>
      <c r="S21" s="775">
        <f>F21</f>
        <v>100</v>
      </c>
      <c r="T21" s="774" t="s">
        <v>17</v>
      </c>
      <c r="U21" s="775">
        <f>H21</f>
        <v>100</v>
      </c>
      <c r="V21" s="774" t="s">
        <v>17</v>
      </c>
      <c r="W21" s="775">
        <f>J21</f>
        <v>100</v>
      </c>
      <c r="X21" s="1812"/>
      <c r="Y21" s="3179"/>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46"/>
      <c r="Q22" s="1809"/>
      <c r="R22" s="774"/>
      <c r="S22" s="775"/>
      <c r="T22" s="774"/>
      <c r="U22" s="775"/>
      <c r="V22" s="774"/>
      <c r="W22" s="775"/>
      <c r="X22" s="1812"/>
      <c r="Y22" s="3179"/>
      <c r="Z22" s="1813"/>
      <c r="AA22" s="1810">
        <v>1</v>
      </c>
      <c r="AB22" s="1810">
        <v>1</v>
      </c>
      <c r="AC22" s="1810">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6"/>
      <c r="Q23" s="1809" t="str">
        <f>B23</f>
        <v>自然及人文环境</v>
      </c>
      <c r="R23" s="774" t="s">
        <v>21</v>
      </c>
      <c r="S23" s="775">
        <f>F23</f>
        <v>100</v>
      </c>
      <c r="T23" s="774" t="s">
        <v>21</v>
      </c>
      <c r="U23" s="775">
        <f>H23</f>
        <v>100</v>
      </c>
      <c r="V23" s="774" t="s">
        <v>21</v>
      </c>
      <c r="W23" s="775">
        <f>J23</f>
        <v>100</v>
      </c>
      <c r="X23" s="1812"/>
      <c r="Y23" s="3179"/>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46"/>
      <c r="Q24" s="1809"/>
      <c r="R24" s="774"/>
      <c r="S24" s="775"/>
      <c r="T24" s="774"/>
      <c r="U24" s="775"/>
      <c r="V24" s="774"/>
      <c r="W24" s="775"/>
      <c r="X24" s="1812"/>
      <c r="Y24" s="3179"/>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4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9"/>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46"/>
      <c r="Q26" s="1809" t="str">
        <f t="shared" si="11"/>
        <v>朝向</v>
      </c>
      <c r="R26" s="774" t="s">
        <v>21</v>
      </c>
      <c r="S26" s="775">
        <f t="shared" si="12"/>
        <v>100</v>
      </c>
      <c r="T26" s="774" t="s">
        <v>21</v>
      </c>
      <c r="U26" s="775">
        <f t="shared" si="13"/>
        <v>100</v>
      </c>
      <c r="V26" s="774" t="s">
        <v>21</v>
      </c>
      <c r="W26" s="775">
        <f t="shared" si="14"/>
        <v>100</v>
      </c>
      <c r="X26" s="1812"/>
      <c r="Y26" s="3179"/>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46"/>
      <c r="Q27" s="1794">
        <f t="shared" si="11"/>
        <v>111</v>
      </c>
      <c r="R27" s="770" t="s">
        <v>21</v>
      </c>
      <c r="S27" s="771">
        <f t="shared" si="12"/>
        <v>100</v>
      </c>
      <c r="T27" s="770" t="s">
        <v>21</v>
      </c>
      <c r="U27" s="771">
        <f t="shared" si="13"/>
        <v>100</v>
      </c>
      <c r="V27" s="770" t="s">
        <v>21</v>
      </c>
      <c r="W27" s="771">
        <f t="shared" si="14"/>
        <v>100</v>
      </c>
      <c r="X27" s="772"/>
      <c r="Y27" s="3179"/>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46"/>
      <c r="Q28" s="1809">
        <f t="shared" si="11"/>
        <v>111</v>
      </c>
      <c r="R28" s="774" t="s">
        <v>21</v>
      </c>
      <c r="S28" s="775">
        <f t="shared" si="12"/>
        <v>100</v>
      </c>
      <c r="T28" s="774" t="s">
        <v>21</v>
      </c>
      <c r="U28" s="775">
        <f t="shared" si="13"/>
        <v>100</v>
      </c>
      <c r="V28" s="774" t="s">
        <v>21</v>
      </c>
      <c r="W28" s="775">
        <f t="shared" si="14"/>
        <v>100</v>
      </c>
      <c r="X28" s="1812"/>
      <c r="Y28" s="3179"/>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46"/>
      <c r="Q29" s="1809">
        <f t="shared" si="11"/>
        <v>111</v>
      </c>
      <c r="R29" s="774" t="s">
        <v>21</v>
      </c>
      <c r="S29" s="775">
        <f t="shared" si="12"/>
        <v>100</v>
      </c>
      <c r="T29" s="774" t="s">
        <v>21</v>
      </c>
      <c r="U29" s="775">
        <f t="shared" si="13"/>
        <v>100</v>
      </c>
      <c r="V29" s="774" t="s">
        <v>21</v>
      </c>
      <c r="W29" s="775">
        <f t="shared" si="14"/>
        <v>100</v>
      </c>
      <c r="X29" s="1812"/>
      <c r="Y29" s="3179"/>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46"/>
      <c r="Q30" s="1809">
        <f t="shared" si="11"/>
        <v>111</v>
      </c>
      <c r="R30" s="774" t="s">
        <v>21</v>
      </c>
      <c r="S30" s="775">
        <f t="shared" si="12"/>
        <v>100</v>
      </c>
      <c r="T30" s="774" t="s">
        <v>21</v>
      </c>
      <c r="U30" s="775">
        <f t="shared" si="13"/>
        <v>100</v>
      </c>
      <c r="V30" s="774" t="s">
        <v>21</v>
      </c>
      <c r="W30" s="775">
        <f t="shared" si="14"/>
        <v>100</v>
      </c>
      <c r="X30" s="1812"/>
      <c r="Y30" s="3179"/>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46"/>
      <c r="Q31" s="1809">
        <f t="shared" si="11"/>
        <v>111</v>
      </c>
      <c r="R31" s="774" t="s">
        <v>21</v>
      </c>
      <c r="S31" s="775">
        <f t="shared" si="12"/>
        <v>100</v>
      </c>
      <c r="T31" s="774" t="s">
        <v>21</v>
      </c>
      <c r="U31" s="775">
        <f t="shared" si="13"/>
        <v>100</v>
      </c>
      <c r="V31" s="774" t="s">
        <v>21</v>
      </c>
      <c r="W31" s="775">
        <f t="shared" si="14"/>
        <v>100</v>
      </c>
      <c r="X31" s="1812"/>
      <c r="Y31" s="3179"/>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1" t="s">
        <v>2563</v>
      </c>
      <c r="Q32" s="1809" t="str">
        <f t="shared" si="11"/>
        <v>建筑类型</v>
      </c>
      <c r="R32" s="774" t="s">
        <v>21</v>
      </c>
      <c r="S32" s="775">
        <f t="shared" si="12"/>
        <v>100</v>
      </c>
      <c r="T32" s="774" t="s">
        <v>21</v>
      </c>
      <c r="U32" s="775">
        <f t="shared" si="13"/>
        <v>100</v>
      </c>
      <c r="V32" s="774" t="s">
        <v>21</v>
      </c>
      <c r="W32" s="775">
        <f t="shared" si="14"/>
        <v>100</v>
      </c>
      <c r="X32" s="1812"/>
      <c r="Y32" s="3181"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2"/>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2"/>
      <c r="Q34" s="1809" t="str">
        <f t="shared" si="11"/>
        <v>建筑结构</v>
      </c>
      <c r="R34" s="774" t="s">
        <v>21</v>
      </c>
      <c r="S34" s="775">
        <f t="shared" si="12"/>
        <v>100</v>
      </c>
      <c r="T34" s="774" t="s">
        <v>21</v>
      </c>
      <c r="U34" s="775">
        <f t="shared" si="13"/>
        <v>100</v>
      </c>
      <c r="V34" s="774" t="s">
        <v>21</v>
      </c>
      <c r="W34" s="775">
        <f t="shared" si="14"/>
        <v>100</v>
      </c>
      <c r="X34" s="1812"/>
      <c r="Y34" s="3181"/>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2"/>
      <c r="Q35" s="1809" t="str">
        <f t="shared" si="11"/>
        <v>建筑品质</v>
      </c>
      <c r="R35" s="774" t="s">
        <v>21</v>
      </c>
      <c r="S35" s="775">
        <f t="shared" si="12"/>
        <v>100</v>
      </c>
      <c r="T35" s="774" t="s">
        <v>21</v>
      </c>
      <c r="U35" s="775">
        <f t="shared" si="13"/>
        <v>100</v>
      </c>
      <c r="V35" s="774" t="s">
        <v>21</v>
      </c>
      <c r="W35" s="775">
        <f t="shared" si="14"/>
        <v>100</v>
      </c>
      <c r="X35" s="1812"/>
      <c r="Y35" s="3181"/>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2"/>
      <c r="Q36" s="1809" t="str">
        <f t="shared" si="11"/>
        <v>公共部分装修</v>
      </c>
      <c r="R36" s="774" t="s">
        <v>21</v>
      </c>
      <c r="S36" s="775">
        <f t="shared" si="12"/>
        <v>100</v>
      </c>
      <c r="T36" s="774" t="s">
        <v>21</v>
      </c>
      <c r="U36" s="775">
        <f t="shared" si="13"/>
        <v>100</v>
      </c>
      <c r="V36" s="774" t="s">
        <v>21</v>
      </c>
      <c r="W36" s="775">
        <f t="shared" si="14"/>
        <v>100</v>
      </c>
      <c r="X36" s="1812"/>
      <c r="Y36" s="3181"/>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2"/>
      <c r="Q37" s="1794"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2" t="s">
        <v>2563</v>
      </c>
      <c r="Q38" s="1809" t="str">
        <f t="shared" si="11"/>
        <v>物业管理</v>
      </c>
      <c r="R38" s="774" t="s">
        <v>21</v>
      </c>
      <c r="S38" s="775">
        <f t="shared" si="12"/>
        <v>100</v>
      </c>
      <c r="T38" s="774" t="s">
        <v>21</v>
      </c>
      <c r="U38" s="775">
        <f t="shared" si="13"/>
        <v>100</v>
      </c>
      <c r="V38" s="774" t="s">
        <v>21</v>
      </c>
      <c r="W38" s="775">
        <f t="shared" si="14"/>
        <v>100</v>
      </c>
      <c r="X38" s="1812"/>
      <c r="Y38" s="3181"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2"/>
      <c r="Q39" s="1809" t="str">
        <f t="shared" si="11"/>
        <v>市政基础设施</v>
      </c>
      <c r="R39" s="774" t="s">
        <v>21</v>
      </c>
      <c r="S39" s="775">
        <f t="shared" si="12"/>
        <v>100</v>
      </c>
      <c r="T39" s="774" t="s">
        <v>21</v>
      </c>
      <c r="U39" s="775">
        <f t="shared" si="13"/>
        <v>100</v>
      </c>
      <c r="V39" s="774" t="s">
        <v>21</v>
      </c>
      <c r="W39" s="775">
        <f t="shared" si="14"/>
        <v>100</v>
      </c>
      <c r="X39" s="1812"/>
      <c r="Y39" s="3181"/>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2"/>
      <c r="Q40" s="1809" t="str">
        <f t="shared" si="11"/>
        <v>房型</v>
      </c>
      <c r="R40" s="774" t="s">
        <v>21</v>
      </c>
      <c r="S40" s="775">
        <f t="shared" si="12"/>
        <v>100</v>
      </c>
      <c r="T40" s="774" t="s">
        <v>21</v>
      </c>
      <c r="U40" s="775">
        <f t="shared" si="13"/>
        <v>100</v>
      </c>
      <c r="V40" s="774" t="s">
        <v>21</v>
      </c>
      <c r="W40" s="775">
        <f t="shared" si="14"/>
        <v>100</v>
      </c>
      <c r="X40" s="1812"/>
      <c r="Y40" s="3181"/>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2"/>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2"/>
      <c r="Q42" s="1809" t="str">
        <f t="shared" si="11"/>
        <v>内部装修</v>
      </c>
      <c r="R42" s="774" t="s">
        <v>21</v>
      </c>
      <c r="S42" s="775">
        <f t="shared" si="12"/>
        <v>100</v>
      </c>
      <c r="T42" s="774" t="s">
        <v>21</v>
      </c>
      <c r="U42" s="775">
        <f t="shared" si="13"/>
        <v>100</v>
      </c>
      <c r="V42" s="774" t="s">
        <v>21</v>
      </c>
      <c r="W42" s="775">
        <f t="shared" si="14"/>
        <v>100</v>
      </c>
      <c r="X42" s="1812"/>
      <c r="Y42" s="3181"/>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2"/>
      <c r="Q43" s="1809" t="str">
        <f t="shared" si="11"/>
        <v>内部装修维护情况</v>
      </c>
      <c r="R43" s="774" t="s">
        <v>21</v>
      </c>
      <c r="S43" s="775">
        <f t="shared" si="12"/>
        <v>100</v>
      </c>
      <c r="T43" s="774" t="s">
        <v>21</v>
      </c>
      <c r="U43" s="775">
        <f t="shared" si="13"/>
        <v>100</v>
      </c>
      <c r="V43" s="774" t="s">
        <v>21</v>
      </c>
      <c r="W43" s="775">
        <f t="shared" si="14"/>
        <v>100</v>
      </c>
      <c r="X43" s="1812"/>
      <c r="Y43" s="3181"/>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2"/>
      <c r="Q44" s="1794">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2"/>
      <c r="Q45" s="1809">
        <f t="shared" si="11"/>
        <v>111</v>
      </c>
      <c r="R45" s="774" t="s">
        <v>21</v>
      </c>
      <c r="S45" s="775">
        <f t="shared" si="12"/>
        <v>100</v>
      </c>
      <c r="T45" s="774" t="s">
        <v>21</v>
      </c>
      <c r="U45" s="775">
        <f t="shared" si="13"/>
        <v>100</v>
      </c>
      <c r="V45" s="774" t="s">
        <v>21</v>
      </c>
      <c r="W45" s="775">
        <f t="shared" si="14"/>
        <v>100</v>
      </c>
      <c r="X45" s="1812"/>
      <c r="Y45" s="3181"/>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3"/>
      <c r="Q46" s="1809">
        <f t="shared" si="11"/>
        <v>111</v>
      </c>
      <c r="R46" s="774" t="s">
        <v>20</v>
      </c>
      <c r="S46" s="775">
        <f t="shared" si="12"/>
        <v>100</v>
      </c>
      <c r="T46" s="774" t="s">
        <v>20</v>
      </c>
      <c r="U46" s="775">
        <f t="shared" si="13"/>
        <v>100</v>
      </c>
      <c r="V46" s="774" t="s">
        <v>20</v>
      </c>
      <c r="W46" s="775">
        <f t="shared" si="14"/>
        <v>100</v>
      </c>
      <c r="X46" s="1812"/>
      <c r="Y46" s="3244"/>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76" t="str">
        <f>A47</f>
        <v>成交单价（元/平方米）</v>
      </c>
      <c r="Q47" s="3176"/>
      <c r="R47" s="3240">
        <f>E47</f>
        <v>0</v>
      </c>
      <c r="S47" s="3240"/>
      <c r="T47" s="3240">
        <f>G47</f>
        <v>0</v>
      </c>
      <c r="U47" s="3240"/>
      <c r="V47" s="3240">
        <f>I47</f>
        <v>0</v>
      </c>
      <c r="W47" s="3240"/>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76" t="str">
        <f>A48</f>
        <v>比较价值（元/平方米）</v>
      </c>
      <c r="Q48" s="3176"/>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70" t="str">
        <f>A49</f>
        <v>估价对象XX用房的比较价值（楼面单价，元/平方米）</v>
      </c>
      <c r="Q49" s="3171"/>
      <c r="R49" s="3239" t="e">
        <f>IF(F1="售价",ROUND(AVERAGE(R48:V48),0),ROUND(AVERAGE(R48:V48),1))</f>
        <v>#DIV/0!</v>
      </c>
      <c r="S49" s="3239"/>
      <c r="T49" s="3239"/>
      <c r="U49" s="3239"/>
      <c r="V49" s="3239"/>
      <c r="W49" s="323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95896.06</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73" t="s">
        <v>2644</v>
      </c>
      <c r="D4" s="3186"/>
      <c r="E4" s="3187" t="s">
        <v>2645</v>
      </c>
      <c r="F4" s="3188"/>
      <c r="G4" s="3173" t="s">
        <v>2646</v>
      </c>
      <c r="H4" s="3186"/>
      <c r="I4" s="3173" t="s">
        <v>2647</v>
      </c>
      <c r="J4" s="3186"/>
      <c r="K4" s="610" t="s">
        <v>2648</v>
      </c>
      <c r="L4" s="1130"/>
      <c r="M4" s="1131"/>
      <c r="N4" s="1131"/>
      <c r="O4" s="1131"/>
      <c r="P4" s="3189" t="s">
        <v>2649</v>
      </c>
      <c r="Q4" s="3190"/>
      <c r="R4" s="3195" t="s">
        <v>2645</v>
      </c>
      <c r="S4" s="3196"/>
      <c r="T4" s="3195" t="s">
        <v>2646</v>
      </c>
      <c r="U4" s="3196"/>
      <c r="V4" s="3182" t="s">
        <v>2647</v>
      </c>
      <c r="W4" s="3182"/>
      <c r="X4" s="1812"/>
      <c r="Y4" s="3195" t="s">
        <v>2649</v>
      </c>
      <c r="Z4" s="3196"/>
      <c r="AA4" s="3183" t="s">
        <v>2645</v>
      </c>
      <c r="AB4" s="3182" t="s">
        <v>2646</v>
      </c>
      <c r="AC4" s="3183" t="s">
        <v>2647</v>
      </c>
    </row>
    <row r="5" spans="1:29" ht="15">
      <c r="A5" s="404"/>
      <c r="B5" s="405"/>
      <c r="C5" s="3203" t="s">
        <v>2540</v>
      </c>
      <c r="D5" s="3204"/>
      <c r="E5" s="3210" t="s">
        <v>2541</v>
      </c>
      <c r="F5" s="3211"/>
      <c r="G5" s="3203" t="s">
        <v>2542</v>
      </c>
      <c r="H5" s="3204"/>
      <c r="I5" s="3203" t="s">
        <v>2543</v>
      </c>
      <c r="J5" s="3204"/>
      <c r="K5" s="610"/>
      <c r="L5" s="1130"/>
      <c r="M5" s="1131"/>
      <c r="N5" s="1131"/>
      <c r="O5" s="1131"/>
      <c r="P5" s="3191"/>
      <c r="Q5" s="3192"/>
      <c r="R5" s="3197"/>
      <c r="S5" s="3198"/>
      <c r="T5" s="3197"/>
      <c r="U5" s="3198"/>
      <c r="V5" s="3182"/>
      <c r="W5" s="3182"/>
      <c r="X5" s="1812"/>
      <c r="Y5" s="3197"/>
      <c r="Z5" s="3198"/>
      <c r="AA5" s="3184"/>
      <c r="AB5" s="3182"/>
      <c r="AC5" s="3184"/>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193"/>
      <c r="Q6" s="3194"/>
      <c r="R6" s="3197"/>
      <c r="S6" s="3198"/>
      <c r="T6" s="3199"/>
      <c r="U6" s="3200"/>
      <c r="V6" s="3182"/>
      <c r="W6" s="3182"/>
      <c r="X6" s="1812"/>
      <c r="Y6" s="3199"/>
      <c r="Z6" s="3200"/>
      <c r="AA6" s="3185"/>
      <c r="AB6" s="3182"/>
      <c r="AC6" s="3185"/>
    </row>
    <row r="7" spans="1:29" s="117" customFormat="1" ht="15.75" thickBot="1">
      <c r="A7" s="408" t="s">
        <v>2546</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5"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5" t="s">
        <v>2553</v>
      </c>
      <c r="Q9" s="1794" t="str">
        <f t="shared" ref="Q9:Q15" si="6">B9</f>
        <v>用途</v>
      </c>
      <c r="R9" s="770" t="s">
        <v>17</v>
      </c>
      <c r="S9" s="771">
        <f t="shared" si="0"/>
        <v>100</v>
      </c>
      <c r="T9" s="770" t="s">
        <v>17</v>
      </c>
      <c r="U9" s="771">
        <f t="shared" si="1"/>
        <v>100</v>
      </c>
      <c r="V9" s="770" t="s">
        <v>17</v>
      </c>
      <c r="W9" s="771">
        <f t="shared" si="2"/>
        <v>100</v>
      </c>
      <c r="X9" s="772"/>
      <c r="Y9" s="302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5"/>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5"/>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5"/>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5"/>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5"/>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5" t="s">
        <v>2558</v>
      </c>
      <c r="Q15" s="1809" t="str">
        <f t="shared" si="6"/>
        <v>商业繁华度</v>
      </c>
      <c r="R15" s="774" t="s">
        <v>17</v>
      </c>
      <c r="S15" s="775">
        <f t="shared" si="0"/>
        <v>100</v>
      </c>
      <c r="T15" s="774" t="s">
        <v>17</v>
      </c>
      <c r="U15" s="775">
        <f t="shared" si="1"/>
        <v>100</v>
      </c>
      <c r="V15" s="774" t="s">
        <v>17</v>
      </c>
      <c r="W15" s="775">
        <f t="shared" si="2"/>
        <v>100</v>
      </c>
      <c r="X15" s="1812"/>
      <c r="Y15" s="3178"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6"/>
      <c r="Q16" s="1809"/>
      <c r="R16" s="774"/>
      <c r="S16" s="775"/>
      <c r="T16" s="774"/>
      <c r="U16" s="775"/>
      <c r="V16" s="774"/>
      <c r="W16" s="775"/>
      <c r="X16" s="1812"/>
      <c r="Y16" s="3179"/>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6"/>
      <c r="Q17" s="1809" t="str">
        <f>B17</f>
        <v>交通便捷度</v>
      </c>
      <c r="R17" s="774" t="s">
        <v>17</v>
      </c>
      <c r="S17" s="775">
        <f>F17</f>
        <v>100</v>
      </c>
      <c r="T17" s="774" t="s">
        <v>17</v>
      </c>
      <c r="U17" s="775">
        <f>H17</f>
        <v>100</v>
      </c>
      <c r="V17" s="774" t="s">
        <v>17</v>
      </c>
      <c r="W17" s="775">
        <f>J17</f>
        <v>100</v>
      </c>
      <c r="X17" s="1812"/>
      <c r="Y17" s="3179"/>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46"/>
      <c r="Q18" s="1809"/>
      <c r="R18" s="774"/>
      <c r="S18" s="775"/>
      <c r="T18" s="774"/>
      <c r="U18" s="775"/>
      <c r="V18" s="774"/>
      <c r="W18" s="775"/>
      <c r="X18" s="1812"/>
      <c r="Y18" s="3179"/>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6"/>
      <c r="Q19" s="1809" t="str">
        <f>B19</f>
        <v>公共配套设施</v>
      </c>
      <c r="R19" s="774" t="s">
        <v>17</v>
      </c>
      <c r="S19" s="775">
        <f>F19</f>
        <v>100</v>
      </c>
      <c r="T19" s="774" t="s">
        <v>17</v>
      </c>
      <c r="U19" s="775">
        <f>H19</f>
        <v>100</v>
      </c>
      <c r="V19" s="774" t="s">
        <v>17</v>
      </c>
      <c r="W19" s="775">
        <f>J19</f>
        <v>100</v>
      </c>
      <c r="X19" s="1812"/>
      <c r="Y19" s="3179"/>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46"/>
      <c r="Q20" s="1809"/>
      <c r="R20" s="774"/>
      <c r="S20" s="775"/>
      <c r="T20" s="774"/>
      <c r="U20" s="775"/>
      <c r="V20" s="774"/>
      <c r="W20" s="775"/>
      <c r="X20" s="1812"/>
      <c r="Y20" s="3179"/>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6"/>
      <c r="Q21" s="1809" t="str">
        <f>B21</f>
        <v>基础设施水平</v>
      </c>
      <c r="R21" s="774" t="s">
        <v>17</v>
      </c>
      <c r="S21" s="775">
        <f>F21</f>
        <v>100</v>
      </c>
      <c r="T21" s="774" t="s">
        <v>17</v>
      </c>
      <c r="U21" s="775">
        <f>H21</f>
        <v>100</v>
      </c>
      <c r="V21" s="774" t="s">
        <v>17</v>
      </c>
      <c r="W21" s="775">
        <f>J21</f>
        <v>100</v>
      </c>
      <c r="X21" s="1812"/>
      <c r="Y21" s="3179"/>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46"/>
      <c r="Q22" s="1809"/>
      <c r="R22" s="774"/>
      <c r="S22" s="775"/>
      <c r="T22" s="774"/>
      <c r="U22" s="775"/>
      <c r="V22" s="774"/>
      <c r="W22" s="775"/>
      <c r="X22" s="1812"/>
      <c r="Y22" s="3179"/>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6"/>
      <c r="Q23" s="1809" t="str">
        <f>B23</f>
        <v>自然及人文环境</v>
      </c>
      <c r="R23" s="774" t="s">
        <v>17</v>
      </c>
      <c r="S23" s="775">
        <f>F23</f>
        <v>100</v>
      </c>
      <c r="T23" s="774" t="s">
        <v>17</v>
      </c>
      <c r="U23" s="775">
        <f>H23</f>
        <v>100</v>
      </c>
      <c r="V23" s="774" t="s">
        <v>17</v>
      </c>
      <c r="W23" s="775">
        <f>J23</f>
        <v>100</v>
      </c>
      <c r="X23" s="1812"/>
      <c r="Y23" s="3179"/>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46"/>
      <c r="Q24" s="1809"/>
      <c r="R24" s="774"/>
      <c r="S24" s="775"/>
      <c r="T24" s="774"/>
      <c r="U24" s="775"/>
      <c r="V24" s="774"/>
      <c r="W24" s="775"/>
      <c r="X24" s="1812"/>
      <c r="Y24" s="3179"/>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6"/>
      <c r="Q25" s="1809" t="str">
        <f t="shared" ref="Q25:Q46" si="11">B25</f>
        <v>临街状况</v>
      </c>
      <c r="R25" s="774" t="s">
        <v>17</v>
      </c>
      <c r="S25" s="775">
        <f>F25</f>
        <v>100</v>
      </c>
      <c r="T25" s="774" t="s">
        <v>17</v>
      </c>
      <c r="U25" s="775">
        <f>H25</f>
        <v>100</v>
      </c>
      <c r="V25" s="774" t="s">
        <v>17</v>
      </c>
      <c r="W25" s="775">
        <f>J25</f>
        <v>100</v>
      </c>
      <c r="X25" s="1812"/>
      <c r="Y25" s="3179"/>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6"/>
      <c r="Q26" s="1809" t="str">
        <f t="shared" si="11"/>
        <v>平面位置/可视性</v>
      </c>
      <c r="R26" s="774" t="s">
        <v>17</v>
      </c>
      <c r="S26" s="775">
        <f>F26</f>
        <v>100</v>
      </c>
      <c r="T26" s="774" t="s">
        <v>17</v>
      </c>
      <c r="U26" s="775">
        <f>H26</f>
        <v>100</v>
      </c>
      <c r="V26" s="774" t="s">
        <v>17</v>
      </c>
      <c r="W26" s="775">
        <f>J26</f>
        <v>100</v>
      </c>
      <c r="X26" s="1812"/>
      <c r="Y26" s="3179"/>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46"/>
      <c r="Q27" s="1794" t="str">
        <f t="shared" si="11"/>
        <v>人流量</v>
      </c>
      <c r="R27" s="770" t="s">
        <v>17</v>
      </c>
      <c r="S27" s="771">
        <f>F27</f>
        <v>100</v>
      </c>
      <c r="T27" s="770" t="s">
        <v>17</v>
      </c>
      <c r="U27" s="771">
        <f>H27</f>
        <v>100</v>
      </c>
      <c r="V27" s="770" t="s">
        <v>17</v>
      </c>
      <c r="W27" s="771">
        <f>J27</f>
        <v>100</v>
      </c>
      <c r="X27" s="772"/>
      <c r="Y27" s="3179"/>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9"/>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1809">
        <f t="shared" si="11"/>
        <v>111</v>
      </c>
      <c r="R29" s="774" t="s">
        <v>17</v>
      </c>
      <c r="S29" s="775">
        <f t="shared" si="12"/>
        <v>100</v>
      </c>
      <c r="T29" s="774" t="s">
        <v>17</v>
      </c>
      <c r="U29" s="775">
        <f t="shared" si="13"/>
        <v>100</v>
      </c>
      <c r="V29" s="774" t="s">
        <v>17</v>
      </c>
      <c r="W29" s="775">
        <f t="shared" si="14"/>
        <v>100</v>
      </c>
      <c r="X29" s="1812"/>
      <c r="Y29" s="3179"/>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1809">
        <f t="shared" si="11"/>
        <v>111</v>
      </c>
      <c r="R30" s="774" t="s">
        <v>17</v>
      </c>
      <c r="S30" s="775">
        <f t="shared" si="12"/>
        <v>100</v>
      </c>
      <c r="T30" s="774" t="s">
        <v>17</v>
      </c>
      <c r="U30" s="775">
        <f t="shared" si="13"/>
        <v>100</v>
      </c>
      <c r="V30" s="774" t="s">
        <v>17</v>
      </c>
      <c r="W30" s="775">
        <f t="shared" si="14"/>
        <v>100</v>
      </c>
      <c r="X30" s="1812"/>
      <c r="Y30" s="3179"/>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1809">
        <f t="shared" si="11"/>
        <v>111</v>
      </c>
      <c r="R31" s="774" t="s">
        <v>17</v>
      </c>
      <c r="S31" s="775">
        <f t="shared" si="12"/>
        <v>100</v>
      </c>
      <c r="T31" s="774" t="s">
        <v>17</v>
      </c>
      <c r="U31" s="775">
        <f t="shared" si="13"/>
        <v>100</v>
      </c>
      <c r="V31" s="774" t="s">
        <v>17</v>
      </c>
      <c r="W31" s="775">
        <f t="shared" si="14"/>
        <v>100</v>
      </c>
      <c r="X31" s="1812"/>
      <c r="Y31" s="3179"/>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1" t="s">
        <v>2563</v>
      </c>
      <c r="Q32" s="1809" t="str">
        <f t="shared" si="11"/>
        <v>商业类型</v>
      </c>
      <c r="R32" s="774" t="s">
        <v>17</v>
      </c>
      <c r="S32" s="775">
        <f t="shared" si="12"/>
        <v>100</v>
      </c>
      <c r="T32" s="774" t="s">
        <v>17</v>
      </c>
      <c r="U32" s="775">
        <f t="shared" si="13"/>
        <v>100</v>
      </c>
      <c r="V32" s="774" t="s">
        <v>17</v>
      </c>
      <c r="W32" s="775">
        <f t="shared" si="14"/>
        <v>100</v>
      </c>
      <c r="X32" s="1812"/>
      <c r="Y32" s="3181"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2"/>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2"/>
      <c r="Q34" s="1809" t="str">
        <f t="shared" si="11"/>
        <v>建筑结构</v>
      </c>
      <c r="R34" s="774" t="s">
        <v>17</v>
      </c>
      <c r="S34" s="775">
        <f t="shared" si="12"/>
        <v>100</v>
      </c>
      <c r="T34" s="774" t="s">
        <v>17</v>
      </c>
      <c r="U34" s="775">
        <f t="shared" si="13"/>
        <v>100</v>
      </c>
      <c r="V34" s="774" t="s">
        <v>17</v>
      </c>
      <c r="W34" s="775">
        <f t="shared" si="14"/>
        <v>100</v>
      </c>
      <c r="X34" s="1812"/>
      <c r="Y34" s="3181"/>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2"/>
      <c r="Q35" s="1809" t="str">
        <f t="shared" si="11"/>
        <v>公共部分装修</v>
      </c>
      <c r="R35" s="774" t="s">
        <v>17</v>
      </c>
      <c r="S35" s="775">
        <f t="shared" si="12"/>
        <v>100</v>
      </c>
      <c r="T35" s="774" t="s">
        <v>17</v>
      </c>
      <c r="U35" s="775">
        <f t="shared" si="13"/>
        <v>100</v>
      </c>
      <c r="V35" s="774" t="s">
        <v>17</v>
      </c>
      <c r="W35" s="775">
        <f t="shared" si="14"/>
        <v>100</v>
      </c>
      <c r="X35" s="1812"/>
      <c r="Y35" s="3181"/>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2"/>
      <c r="Q36" s="1809" t="str">
        <f t="shared" si="11"/>
        <v>成新度</v>
      </c>
      <c r="R36" s="774" t="s">
        <v>17</v>
      </c>
      <c r="S36" s="775" t="e">
        <f t="shared" si="12"/>
        <v>#N/A</v>
      </c>
      <c r="T36" s="774" t="s">
        <v>17</v>
      </c>
      <c r="U36" s="775" t="e">
        <f t="shared" si="13"/>
        <v>#N/A</v>
      </c>
      <c r="V36" s="774" t="s">
        <v>17</v>
      </c>
      <c r="W36" s="775" t="e">
        <f t="shared" si="14"/>
        <v>#N/A</v>
      </c>
      <c r="X36" s="1812"/>
      <c r="Y36" s="3181"/>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2"/>
      <c r="Q37" s="1794"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2" t="s">
        <v>2563</v>
      </c>
      <c r="Q38" s="1809" t="str">
        <f t="shared" si="11"/>
        <v>业态</v>
      </c>
      <c r="R38" s="774" t="s">
        <v>17</v>
      </c>
      <c r="S38" s="775">
        <f t="shared" si="12"/>
        <v>100</v>
      </c>
      <c r="T38" s="774" t="s">
        <v>17</v>
      </c>
      <c r="U38" s="775">
        <f t="shared" si="13"/>
        <v>100</v>
      </c>
      <c r="V38" s="774" t="s">
        <v>17</v>
      </c>
      <c r="W38" s="775">
        <f t="shared" si="14"/>
        <v>100</v>
      </c>
      <c r="X38" s="1812"/>
      <c r="Y38" s="3181"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2"/>
      <c r="Q39" s="1809" t="str">
        <f t="shared" si="11"/>
        <v>层高</v>
      </c>
      <c r="R39" s="774" t="s">
        <v>17</v>
      </c>
      <c r="S39" s="775">
        <f t="shared" si="12"/>
        <v>100</v>
      </c>
      <c r="T39" s="774" t="s">
        <v>17</v>
      </c>
      <c r="U39" s="775">
        <f t="shared" si="13"/>
        <v>100</v>
      </c>
      <c r="V39" s="774" t="s">
        <v>17</v>
      </c>
      <c r="W39" s="775">
        <f t="shared" si="14"/>
        <v>100</v>
      </c>
      <c r="X39" s="1812"/>
      <c r="Y39" s="3181"/>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2"/>
      <c r="Q40" s="1809" t="str">
        <f t="shared" si="11"/>
        <v>单套建筑面积</v>
      </c>
      <c r="R40" s="774" t="s">
        <v>17</v>
      </c>
      <c r="S40" s="775">
        <f t="shared" si="12"/>
        <v>100</v>
      </c>
      <c r="T40" s="774" t="s">
        <v>17</v>
      </c>
      <c r="U40" s="775">
        <f t="shared" si="13"/>
        <v>100</v>
      </c>
      <c r="V40" s="774" t="s">
        <v>17</v>
      </c>
      <c r="W40" s="775">
        <f t="shared" si="14"/>
        <v>100</v>
      </c>
      <c r="X40" s="1812"/>
      <c r="Y40" s="3181"/>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2"/>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2"/>
      <c r="Q42" s="1809" t="str">
        <f t="shared" si="11"/>
        <v>内部装修</v>
      </c>
      <c r="R42" s="774" t="s">
        <v>17</v>
      </c>
      <c r="S42" s="775">
        <f t="shared" si="12"/>
        <v>100</v>
      </c>
      <c r="T42" s="774" t="s">
        <v>17</v>
      </c>
      <c r="U42" s="775">
        <f t="shared" si="13"/>
        <v>100</v>
      </c>
      <c r="V42" s="774" t="s">
        <v>17</v>
      </c>
      <c r="W42" s="775">
        <f t="shared" si="14"/>
        <v>100</v>
      </c>
      <c r="X42" s="1812"/>
      <c r="Y42" s="3181"/>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2"/>
      <c r="Q43" s="1809" t="str">
        <f t="shared" si="11"/>
        <v>内部装修维护情况</v>
      </c>
      <c r="R43" s="774" t="s">
        <v>17</v>
      </c>
      <c r="S43" s="775">
        <f t="shared" si="12"/>
        <v>100</v>
      </c>
      <c r="T43" s="774" t="s">
        <v>17</v>
      </c>
      <c r="U43" s="775">
        <f t="shared" si="13"/>
        <v>100</v>
      </c>
      <c r="V43" s="774" t="s">
        <v>17</v>
      </c>
      <c r="W43" s="775">
        <f t="shared" si="14"/>
        <v>100</v>
      </c>
      <c r="X43" s="1812"/>
      <c r="Y43" s="3181"/>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2"/>
      <c r="Q44" s="1794">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2"/>
      <c r="Q45" s="1809">
        <f t="shared" si="11"/>
        <v>111</v>
      </c>
      <c r="R45" s="774" t="s">
        <v>17</v>
      </c>
      <c r="S45" s="775">
        <f t="shared" si="12"/>
        <v>100</v>
      </c>
      <c r="T45" s="774" t="s">
        <v>17</v>
      </c>
      <c r="U45" s="775">
        <f t="shared" si="13"/>
        <v>100</v>
      </c>
      <c r="V45" s="774" t="s">
        <v>17</v>
      </c>
      <c r="W45" s="775">
        <f t="shared" si="14"/>
        <v>100</v>
      </c>
      <c r="X45" s="1812"/>
      <c r="Y45" s="3181"/>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3"/>
      <c r="Q46" s="1809">
        <f t="shared" si="11"/>
        <v>111</v>
      </c>
      <c r="R46" s="774" t="s">
        <v>17</v>
      </c>
      <c r="S46" s="775">
        <f t="shared" si="12"/>
        <v>100</v>
      </c>
      <c r="T46" s="774" t="s">
        <v>17</v>
      </c>
      <c r="U46" s="775">
        <f t="shared" si="13"/>
        <v>100</v>
      </c>
      <c r="V46" s="774" t="s">
        <v>17</v>
      </c>
      <c r="W46" s="775">
        <f t="shared" si="14"/>
        <v>100</v>
      </c>
      <c r="X46" s="1812"/>
      <c r="Y46" s="3244"/>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76" t="str">
        <f>A47</f>
        <v>成交单价（元/平方米）</v>
      </c>
      <c r="Q47" s="3176"/>
      <c r="R47" s="3182">
        <f>E47</f>
        <v>0</v>
      </c>
      <c r="S47" s="3182"/>
      <c r="T47" s="3182">
        <f>G47</f>
        <v>0</v>
      </c>
      <c r="U47" s="3182"/>
      <c r="V47" s="3182">
        <f>I47</f>
        <v>0</v>
      </c>
      <c r="W47" s="3182"/>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76" t="str">
        <f>A48</f>
        <v>比较价值（元/平方米）</v>
      </c>
      <c r="Q48" s="3176"/>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70" t="str">
        <f>A49</f>
        <v>估价对象XX用房的比较价值（楼面单价，元/平方米）</v>
      </c>
      <c r="Q49" s="3171"/>
      <c r="R49" s="3239" t="e">
        <f>IF(F1="售价",ROUND(AVERAGE(R48:V48),0),ROUND(AVERAGE(R48:V48),1))</f>
        <v>#DIV/0!</v>
      </c>
      <c r="S49" s="3239"/>
      <c r="T49" s="3239"/>
      <c r="U49" s="3239"/>
      <c r="V49" s="3239"/>
      <c r="W49" s="323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2019年11月13日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95896.06</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73" t="s">
        <v>2644</v>
      </c>
      <c r="D4" s="3186"/>
      <c r="E4" s="3187" t="s">
        <v>2645</v>
      </c>
      <c r="F4" s="3188"/>
      <c r="G4" s="3173" t="s">
        <v>2646</v>
      </c>
      <c r="H4" s="3186"/>
      <c r="I4" s="3173" t="s">
        <v>2647</v>
      </c>
      <c r="J4" s="3186"/>
      <c r="K4" s="610" t="s">
        <v>2648</v>
      </c>
      <c r="L4" s="1130"/>
      <c r="M4" s="1131"/>
      <c r="N4" s="1131"/>
      <c r="O4" s="1131"/>
      <c r="P4" s="3253" t="s">
        <v>2649</v>
      </c>
      <c r="Q4" s="3254"/>
      <c r="R4" s="3257" t="s">
        <v>2645</v>
      </c>
      <c r="S4" s="3258"/>
      <c r="T4" s="3257" t="s">
        <v>2646</v>
      </c>
      <c r="U4" s="3258"/>
      <c r="V4" s="3259" t="s">
        <v>2647</v>
      </c>
      <c r="W4" s="3259"/>
      <c r="X4" s="2670"/>
      <c r="Y4" s="3257" t="s">
        <v>2649</v>
      </c>
      <c r="Z4" s="3258"/>
      <c r="AA4" s="3261" t="s">
        <v>2645</v>
      </c>
      <c r="AB4" s="3261" t="s">
        <v>2646</v>
      </c>
      <c r="AC4" s="3250" t="s">
        <v>2647</v>
      </c>
    </row>
    <row r="5" spans="1:29" ht="15">
      <c r="A5" s="404"/>
      <c r="B5" s="405"/>
      <c r="C5" s="3203" t="s">
        <v>2540</v>
      </c>
      <c r="D5" s="3204"/>
      <c r="E5" s="3210" t="s">
        <v>2541</v>
      </c>
      <c r="F5" s="3211"/>
      <c r="G5" s="3203" t="s">
        <v>2542</v>
      </c>
      <c r="H5" s="3204"/>
      <c r="I5" s="3203" t="s">
        <v>2543</v>
      </c>
      <c r="J5" s="3204"/>
      <c r="K5" s="610"/>
      <c r="L5" s="1130"/>
      <c r="M5" s="1131"/>
      <c r="N5" s="1131"/>
      <c r="O5" s="1131"/>
      <c r="P5" s="3255"/>
      <c r="Q5" s="3192"/>
      <c r="R5" s="3197"/>
      <c r="S5" s="3198"/>
      <c r="T5" s="3197"/>
      <c r="U5" s="3198"/>
      <c r="V5" s="3182"/>
      <c r="W5" s="3182"/>
      <c r="X5" s="1812"/>
      <c r="Y5" s="3197"/>
      <c r="Z5" s="3198"/>
      <c r="AA5" s="3184"/>
      <c r="AB5" s="3184"/>
      <c r="AC5" s="3251"/>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256"/>
      <c r="Q6" s="3194"/>
      <c r="R6" s="3197"/>
      <c r="S6" s="3198"/>
      <c r="T6" s="3199"/>
      <c r="U6" s="3200"/>
      <c r="V6" s="3182"/>
      <c r="W6" s="3182"/>
      <c r="X6" s="1812"/>
      <c r="Y6" s="3199"/>
      <c r="Z6" s="3200"/>
      <c r="AA6" s="3185"/>
      <c r="AB6" s="3185"/>
      <c r="AC6" s="3252"/>
    </row>
    <row r="7" spans="1:29" s="117" customFormat="1" ht="15.75" thickBot="1">
      <c r="A7" s="408" t="s">
        <v>2546</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0"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0" t="s">
        <v>2550</v>
      </c>
      <c r="Q8" s="3206"/>
      <c r="R8" s="770" t="s">
        <v>17</v>
      </c>
      <c r="S8" s="771">
        <f t="shared" si="0"/>
        <v>0</v>
      </c>
      <c r="T8" s="770" t="s">
        <v>17</v>
      </c>
      <c r="U8" s="771">
        <f t="shared" si="1"/>
        <v>0</v>
      </c>
      <c r="V8" s="770" t="s">
        <v>17</v>
      </c>
      <c r="W8" s="771">
        <f t="shared" si="2"/>
        <v>0</v>
      </c>
      <c r="X8" s="772"/>
      <c r="Y8" s="3205" t="s">
        <v>2550</v>
      </c>
      <c r="Z8" s="3206"/>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5" t="s">
        <v>2553</v>
      </c>
      <c r="Q9" s="1794" t="str">
        <f t="shared" ref="Q9:Q15" si="6">B9</f>
        <v>用途</v>
      </c>
      <c r="R9" s="770" t="s">
        <v>17</v>
      </c>
      <c r="S9" s="771">
        <f t="shared" si="0"/>
        <v>100</v>
      </c>
      <c r="T9" s="770" t="s">
        <v>17</v>
      </c>
      <c r="U9" s="771">
        <f t="shared" si="1"/>
        <v>100</v>
      </c>
      <c r="V9" s="770" t="s">
        <v>17</v>
      </c>
      <c r="W9" s="771">
        <f t="shared" si="2"/>
        <v>100</v>
      </c>
      <c r="X9" s="772"/>
      <c r="Y9" s="3024"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5"/>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5"/>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75"/>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75"/>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75"/>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5" t="s">
        <v>2558</v>
      </c>
      <c r="Q15" s="1809" t="str">
        <f t="shared" si="6"/>
        <v>办公集聚程度</v>
      </c>
      <c r="R15" s="774" t="s">
        <v>17</v>
      </c>
      <c r="S15" s="775">
        <f t="shared" si="0"/>
        <v>100</v>
      </c>
      <c r="T15" s="774" t="s">
        <v>17</v>
      </c>
      <c r="U15" s="775">
        <f t="shared" si="1"/>
        <v>100</v>
      </c>
      <c r="V15" s="774" t="s">
        <v>17</v>
      </c>
      <c r="W15" s="775">
        <f t="shared" si="2"/>
        <v>100</v>
      </c>
      <c r="X15" s="1812"/>
      <c r="Y15" s="3178"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46"/>
      <c r="Q16" s="1809"/>
      <c r="R16" s="774"/>
      <c r="S16" s="775"/>
      <c r="T16" s="774"/>
      <c r="U16" s="775"/>
      <c r="V16" s="774"/>
      <c r="W16" s="775"/>
      <c r="X16" s="1812"/>
      <c r="Y16" s="3179"/>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6"/>
      <c r="Q17" s="1809" t="str">
        <f>B17</f>
        <v>交通便捷度</v>
      </c>
      <c r="R17" s="774" t="s">
        <v>17</v>
      </c>
      <c r="S17" s="775">
        <f>F17</f>
        <v>100</v>
      </c>
      <c r="T17" s="774" t="s">
        <v>17</v>
      </c>
      <c r="U17" s="775">
        <f>H17</f>
        <v>100</v>
      </c>
      <c r="V17" s="774" t="s">
        <v>17</v>
      </c>
      <c r="W17" s="775">
        <f>J17</f>
        <v>100</v>
      </c>
      <c r="X17" s="1812"/>
      <c r="Y17" s="3179"/>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46"/>
      <c r="Q18" s="1809"/>
      <c r="R18" s="774"/>
      <c r="S18" s="775"/>
      <c r="T18" s="774"/>
      <c r="U18" s="775"/>
      <c r="V18" s="774"/>
      <c r="W18" s="775"/>
      <c r="X18" s="1812"/>
      <c r="Y18" s="3179"/>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6"/>
      <c r="Q19" s="1809" t="str">
        <f>B19</f>
        <v>公共配套设施</v>
      </c>
      <c r="R19" s="774" t="s">
        <v>17</v>
      </c>
      <c r="S19" s="775">
        <f>F19</f>
        <v>100</v>
      </c>
      <c r="T19" s="774" t="s">
        <v>17</v>
      </c>
      <c r="U19" s="775">
        <f>H19</f>
        <v>100</v>
      </c>
      <c r="V19" s="774" t="s">
        <v>17</v>
      </c>
      <c r="W19" s="775">
        <f>J19</f>
        <v>100</v>
      </c>
      <c r="X19" s="1812"/>
      <c r="Y19" s="3179"/>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46"/>
      <c r="Q20" s="1809"/>
      <c r="R20" s="774"/>
      <c r="S20" s="775"/>
      <c r="T20" s="774"/>
      <c r="U20" s="775"/>
      <c r="V20" s="774"/>
      <c r="W20" s="775"/>
      <c r="X20" s="1812"/>
      <c r="Y20" s="3179"/>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6"/>
      <c r="Q21" s="1809" t="str">
        <f>B21</f>
        <v>基础设施水平</v>
      </c>
      <c r="R21" s="774" t="s">
        <v>17</v>
      </c>
      <c r="S21" s="775">
        <f>F21</f>
        <v>100</v>
      </c>
      <c r="T21" s="774" t="s">
        <v>17</v>
      </c>
      <c r="U21" s="775">
        <f>H21</f>
        <v>100</v>
      </c>
      <c r="V21" s="774" t="s">
        <v>17</v>
      </c>
      <c r="W21" s="775">
        <f>J21</f>
        <v>100</v>
      </c>
      <c r="X21" s="1812"/>
      <c r="Y21" s="3179"/>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46"/>
      <c r="Q22" s="1809"/>
      <c r="R22" s="774"/>
      <c r="S22" s="775"/>
      <c r="T22" s="774"/>
      <c r="U22" s="775"/>
      <c r="V22" s="774"/>
      <c r="W22" s="775"/>
      <c r="X22" s="1812"/>
      <c r="Y22" s="3179"/>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6"/>
      <c r="Q23" s="1809" t="str">
        <f>B23</f>
        <v>环境质量</v>
      </c>
      <c r="R23" s="774" t="s">
        <v>17</v>
      </c>
      <c r="S23" s="775">
        <f>F23</f>
        <v>100</v>
      </c>
      <c r="T23" s="774" t="s">
        <v>17</v>
      </c>
      <c r="U23" s="775">
        <f>H23</f>
        <v>100</v>
      </c>
      <c r="V23" s="774" t="s">
        <v>17</v>
      </c>
      <c r="W23" s="775">
        <f>J23</f>
        <v>100</v>
      </c>
      <c r="X23" s="1812"/>
      <c r="Y23" s="3179"/>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46"/>
      <c r="Q24" s="1809"/>
      <c r="R24" s="774"/>
      <c r="S24" s="775"/>
      <c r="T24" s="774"/>
      <c r="U24" s="775"/>
      <c r="V24" s="774"/>
      <c r="W24" s="775"/>
      <c r="X24" s="1812"/>
      <c r="Y24" s="3179"/>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46"/>
      <c r="Q25" s="1809" t="str">
        <f>B25</f>
        <v>毗邻道路的类型与等级</v>
      </c>
      <c r="R25" s="774" t="s">
        <v>17</v>
      </c>
      <c r="S25" s="775">
        <f>F25</f>
        <v>100</v>
      </c>
      <c r="T25" s="774" t="s">
        <v>17</v>
      </c>
      <c r="U25" s="775">
        <f>H25</f>
        <v>100</v>
      </c>
      <c r="V25" s="774" t="s">
        <v>17</v>
      </c>
      <c r="W25" s="775">
        <f>J25</f>
        <v>100</v>
      </c>
      <c r="X25" s="1812"/>
      <c r="Y25" s="3179"/>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46"/>
      <c r="Q26" s="1809"/>
      <c r="R26" s="774"/>
      <c r="S26" s="775"/>
      <c r="T26" s="774"/>
      <c r="U26" s="775"/>
      <c r="V26" s="774"/>
      <c r="W26" s="775"/>
      <c r="X26" s="1812"/>
      <c r="Y26" s="3179"/>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6"/>
      <c r="Q27" s="1809" t="str">
        <f t="shared" ref="Q27:Q47" si="11">B27</f>
        <v>楼层</v>
      </c>
      <c r="R27" s="774" t="s">
        <v>17</v>
      </c>
      <c r="S27" s="775">
        <f>F27</f>
        <v>100</v>
      </c>
      <c r="T27" s="774" t="s">
        <v>17</v>
      </c>
      <c r="U27" s="775">
        <f>H27</f>
        <v>100</v>
      </c>
      <c r="V27" s="774" t="s">
        <v>17</v>
      </c>
      <c r="W27" s="775">
        <f>J27</f>
        <v>100</v>
      </c>
      <c r="X27" s="1812"/>
      <c r="Y27" s="3179"/>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46"/>
      <c r="Q28" s="1794" t="str">
        <f t="shared" si="11"/>
        <v>朝向</v>
      </c>
      <c r="R28" s="770" t="s">
        <v>17</v>
      </c>
      <c r="S28" s="771">
        <f>F28</f>
        <v>100</v>
      </c>
      <c r="T28" s="770" t="s">
        <v>17</v>
      </c>
      <c r="U28" s="771">
        <f>H28</f>
        <v>100</v>
      </c>
      <c r="V28" s="770" t="s">
        <v>17</v>
      </c>
      <c r="W28" s="771">
        <f>J28</f>
        <v>100</v>
      </c>
      <c r="X28" s="772"/>
      <c r="Y28" s="3179"/>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46"/>
      <c r="Q29" s="1809">
        <f t="shared" si="11"/>
        <v>111</v>
      </c>
      <c r="R29" s="774" t="s">
        <v>17</v>
      </c>
      <c r="S29" s="775">
        <f t="shared" ref="S29:S47" si="12">F29</f>
        <v>100</v>
      </c>
      <c r="T29" s="774" t="s">
        <v>17</v>
      </c>
      <c r="U29" s="775">
        <f t="shared" ref="U29:U47" si="13">H29</f>
        <v>100</v>
      </c>
      <c r="V29" s="774" t="s">
        <v>17</v>
      </c>
      <c r="W29" s="775">
        <f t="shared" ref="W29:W47" si="14">J29</f>
        <v>100</v>
      </c>
      <c r="X29" s="1812"/>
      <c r="Y29" s="3179"/>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46"/>
      <c r="Q30" s="1809">
        <f t="shared" si="11"/>
        <v>111</v>
      </c>
      <c r="R30" s="774" t="s">
        <v>17</v>
      </c>
      <c r="S30" s="775">
        <f t="shared" si="12"/>
        <v>100</v>
      </c>
      <c r="T30" s="774" t="s">
        <v>17</v>
      </c>
      <c r="U30" s="775">
        <f t="shared" si="13"/>
        <v>100</v>
      </c>
      <c r="V30" s="774" t="s">
        <v>17</v>
      </c>
      <c r="W30" s="775">
        <f t="shared" si="14"/>
        <v>100</v>
      </c>
      <c r="X30" s="1812"/>
      <c r="Y30" s="3179"/>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46"/>
      <c r="Q31" s="1809">
        <f t="shared" si="11"/>
        <v>111</v>
      </c>
      <c r="R31" s="774" t="s">
        <v>17</v>
      </c>
      <c r="S31" s="775">
        <f t="shared" si="12"/>
        <v>100</v>
      </c>
      <c r="T31" s="774" t="s">
        <v>17</v>
      </c>
      <c r="U31" s="775">
        <f t="shared" si="13"/>
        <v>100</v>
      </c>
      <c r="V31" s="774" t="s">
        <v>17</v>
      </c>
      <c r="W31" s="775">
        <f t="shared" si="14"/>
        <v>100</v>
      </c>
      <c r="X31" s="1812"/>
      <c r="Y31" s="3179"/>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46"/>
      <c r="Q32" s="1809">
        <f t="shared" si="11"/>
        <v>111</v>
      </c>
      <c r="R32" s="774" t="s">
        <v>17</v>
      </c>
      <c r="S32" s="775">
        <f t="shared" si="12"/>
        <v>100</v>
      </c>
      <c r="T32" s="774" t="s">
        <v>17</v>
      </c>
      <c r="U32" s="775">
        <f t="shared" si="13"/>
        <v>100</v>
      </c>
      <c r="V32" s="774" t="s">
        <v>17</v>
      </c>
      <c r="W32" s="775">
        <f t="shared" si="14"/>
        <v>100</v>
      </c>
      <c r="X32" s="1812"/>
      <c r="Y32" s="3179"/>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1" t="s">
        <v>2563</v>
      </c>
      <c r="Q33" s="1809" t="str">
        <f t="shared" si="11"/>
        <v>建筑类型</v>
      </c>
      <c r="R33" s="774" t="s">
        <v>17</v>
      </c>
      <c r="S33" s="775">
        <f t="shared" si="12"/>
        <v>100</v>
      </c>
      <c r="T33" s="774" t="s">
        <v>17</v>
      </c>
      <c r="U33" s="775">
        <f t="shared" si="13"/>
        <v>100</v>
      </c>
      <c r="V33" s="774" t="s">
        <v>17</v>
      </c>
      <c r="W33" s="775">
        <f t="shared" si="14"/>
        <v>100</v>
      </c>
      <c r="X33" s="1812"/>
      <c r="Y33" s="3181"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2"/>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2"/>
      <c r="Q35" s="1809" t="str">
        <f t="shared" si="11"/>
        <v>建筑结构</v>
      </c>
      <c r="R35" s="774" t="s">
        <v>17</v>
      </c>
      <c r="S35" s="775">
        <f t="shared" si="12"/>
        <v>100</v>
      </c>
      <c r="T35" s="774" t="s">
        <v>17</v>
      </c>
      <c r="U35" s="775">
        <f t="shared" si="13"/>
        <v>100</v>
      </c>
      <c r="V35" s="774" t="s">
        <v>17</v>
      </c>
      <c r="W35" s="775">
        <f t="shared" si="14"/>
        <v>100</v>
      </c>
      <c r="X35" s="1812"/>
      <c r="Y35" s="3181"/>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2"/>
      <c r="Q36" s="1809" t="str">
        <f t="shared" si="11"/>
        <v>公共部分装修</v>
      </c>
      <c r="R36" s="774" t="s">
        <v>17</v>
      </c>
      <c r="S36" s="775">
        <f t="shared" si="12"/>
        <v>100</v>
      </c>
      <c r="T36" s="774" t="s">
        <v>17</v>
      </c>
      <c r="U36" s="775">
        <f t="shared" si="13"/>
        <v>100</v>
      </c>
      <c r="V36" s="774" t="s">
        <v>17</v>
      </c>
      <c r="W36" s="775">
        <f t="shared" si="14"/>
        <v>100</v>
      </c>
      <c r="X36" s="1812"/>
      <c r="Y36" s="3181"/>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2"/>
      <c r="Q37" s="1809" t="str">
        <f t="shared" si="11"/>
        <v>成新度</v>
      </c>
      <c r="R37" s="774" t="s">
        <v>17</v>
      </c>
      <c r="S37" s="775" t="e">
        <f t="shared" si="12"/>
        <v>#N/A</v>
      </c>
      <c r="T37" s="774" t="s">
        <v>17</v>
      </c>
      <c r="U37" s="775" t="e">
        <f t="shared" si="13"/>
        <v>#N/A</v>
      </c>
      <c r="V37" s="774" t="s">
        <v>17</v>
      </c>
      <c r="W37" s="775" t="e">
        <f t="shared" si="14"/>
        <v>#N/A</v>
      </c>
      <c r="X37" s="1812"/>
      <c r="Y37" s="3181"/>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2"/>
      <c r="Q38" s="1794"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2" t="s">
        <v>2563</v>
      </c>
      <c r="Q39" s="1809" t="str">
        <f t="shared" si="11"/>
        <v>物业管理</v>
      </c>
      <c r="R39" s="774" t="s">
        <v>17</v>
      </c>
      <c r="S39" s="775">
        <f t="shared" si="12"/>
        <v>100</v>
      </c>
      <c r="T39" s="774" t="s">
        <v>17</v>
      </c>
      <c r="U39" s="775">
        <f t="shared" si="13"/>
        <v>100</v>
      </c>
      <c r="V39" s="774" t="s">
        <v>17</v>
      </c>
      <c r="W39" s="775">
        <f t="shared" si="14"/>
        <v>100</v>
      </c>
      <c r="X39" s="1812"/>
      <c r="Y39" s="3181"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2"/>
      <c r="Q40" s="1809" t="str">
        <f t="shared" si="11"/>
        <v>市政基础设施</v>
      </c>
      <c r="R40" s="774" t="s">
        <v>17</v>
      </c>
      <c r="S40" s="775">
        <f t="shared" si="12"/>
        <v>100</v>
      </c>
      <c r="T40" s="774" t="s">
        <v>17</v>
      </c>
      <c r="U40" s="775">
        <f t="shared" si="13"/>
        <v>100</v>
      </c>
      <c r="V40" s="774" t="s">
        <v>17</v>
      </c>
      <c r="W40" s="775">
        <f t="shared" si="14"/>
        <v>100</v>
      </c>
      <c r="X40" s="1812"/>
      <c r="Y40" s="3181"/>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2"/>
      <c r="Q41" s="1809" t="str">
        <f t="shared" si="11"/>
        <v>层高</v>
      </c>
      <c r="R41" s="774" t="s">
        <v>17</v>
      </c>
      <c r="S41" s="775">
        <f t="shared" si="12"/>
        <v>100</v>
      </c>
      <c r="T41" s="774" t="s">
        <v>17</v>
      </c>
      <c r="U41" s="775">
        <f t="shared" si="13"/>
        <v>100</v>
      </c>
      <c r="V41" s="774" t="s">
        <v>17</v>
      </c>
      <c r="W41" s="775">
        <f t="shared" si="14"/>
        <v>100</v>
      </c>
      <c r="X41" s="1812"/>
      <c r="Y41" s="3181"/>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2"/>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2"/>
      <c r="Q43" s="1809" t="str">
        <f t="shared" si="11"/>
        <v>内部装修</v>
      </c>
      <c r="R43" s="774" t="s">
        <v>17</v>
      </c>
      <c r="S43" s="775">
        <f t="shared" si="12"/>
        <v>100</v>
      </c>
      <c r="T43" s="774" t="s">
        <v>17</v>
      </c>
      <c r="U43" s="775">
        <f t="shared" si="13"/>
        <v>100</v>
      </c>
      <c r="V43" s="774" t="s">
        <v>17</v>
      </c>
      <c r="W43" s="775">
        <f t="shared" si="14"/>
        <v>100</v>
      </c>
      <c r="X43" s="1812"/>
      <c r="Y43" s="3181"/>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2"/>
      <c r="Q44" s="1809" t="str">
        <f t="shared" si="11"/>
        <v>内部装修维护情况</v>
      </c>
      <c r="R44" s="774" t="s">
        <v>17</v>
      </c>
      <c r="S44" s="775">
        <f t="shared" si="12"/>
        <v>100</v>
      </c>
      <c r="T44" s="774" t="s">
        <v>17</v>
      </c>
      <c r="U44" s="775">
        <f t="shared" si="13"/>
        <v>100</v>
      </c>
      <c r="V44" s="774" t="s">
        <v>17</v>
      </c>
      <c r="W44" s="775">
        <f t="shared" si="14"/>
        <v>100</v>
      </c>
      <c r="X44" s="1812"/>
      <c r="Y44" s="3181"/>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2"/>
      <c r="Q45" s="1794">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2"/>
      <c r="Q46" s="1809">
        <f t="shared" si="11"/>
        <v>111</v>
      </c>
      <c r="R46" s="774" t="s">
        <v>17</v>
      </c>
      <c r="S46" s="775">
        <f t="shared" si="12"/>
        <v>100</v>
      </c>
      <c r="T46" s="774" t="s">
        <v>17</v>
      </c>
      <c r="U46" s="775">
        <f t="shared" si="13"/>
        <v>100</v>
      </c>
      <c r="V46" s="774" t="s">
        <v>17</v>
      </c>
      <c r="W46" s="775">
        <f t="shared" si="14"/>
        <v>100</v>
      </c>
      <c r="X46" s="1812"/>
      <c r="Y46" s="3181"/>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3"/>
      <c r="Q47" s="1809">
        <f t="shared" si="11"/>
        <v>111</v>
      </c>
      <c r="R47" s="774" t="s">
        <v>17</v>
      </c>
      <c r="S47" s="775">
        <f t="shared" si="12"/>
        <v>100</v>
      </c>
      <c r="T47" s="774" t="s">
        <v>17</v>
      </c>
      <c r="U47" s="775">
        <f t="shared" si="13"/>
        <v>100</v>
      </c>
      <c r="V47" s="774" t="s">
        <v>17</v>
      </c>
      <c r="W47" s="775">
        <f t="shared" si="14"/>
        <v>100</v>
      </c>
      <c r="X47" s="1812"/>
      <c r="Y47" s="3244"/>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75" t="str">
        <f>A48</f>
        <v>成交单价（元/平方米）</v>
      </c>
      <c r="Q48" s="3176"/>
      <c r="R48" s="3240">
        <f>E48</f>
        <v>0</v>
      </c>
      <c r="S48" s="3240"/>
      <c r="T48" s="3240">
        <f>G48</f>
        <v>0</v>
      </c>
      <c r="U48" s="3240"/>
      <c r="V48" s="3240">
        <f>I48</f>
        <v>0</v>
      </c>
      <c r="W48" s="3240"/>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75" t="str">
        <f>A49</f>
        <v>比较价值（元/平方米）</v>
      </c>
      <c r="Q49" s="3176"/>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47" t="str">
        <f>A50</f>
        <v>估价对象XX用房的比较价值（楼面单价，元/平方米）</v>
      </c>
      <c r="Q50" s="3248"/>
      <c r="R50" s="3249" t="e">
        <f>IF(F1="售价",ROUND(AVERAGE(R49:V49),0),ROUND(AVERAGE(R49:V49),1))</f>
        <v>#DIV/0!</v>
      </c>
      <c r="S50" s="3249"/>
      <c r="T50" s="3249"/>
      <c r="U50" s="3249"/>
      <c r="V50" s="3249"/>
      <c r="W50" s="3249"/>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95896.06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3" t="s">
        <v>2644</v>
      </c>
      <c r="D4" s="3186"/>
      <c r="E4" s="3187" t="s">
        <v>2645</v>
      </c>
      <c r="F4" s="3188"/>
      <c r="G4" s="3173" t="s">
        <v>2646</v>
      </c>
      <c r="H4" s="3186"/>
      <c r="I4" s="3173" t="s">
        <v>2647</v>
      </c>
      <c r="J4" s="3186"/>
      <c r="K4" s="610" t="s">
        <v>2648</v>
      </c>
      <c r="L4" s="1130"/>
      <c r="M4" s="1131"/>
      <c r="N4" s="1131"/>
      <c r="O4" s="1131"/>
      <c r="P4" s="3189" t="s">
        <v>2649</v>
      </c>
      <c r="Q4" s="3190"/>
      <c r="R4" s="3195" t="s">
        <v>2645</v>
      </c>
      <c r="S4" s="3196"/>
      <c r="T4" s="3195" t="s">
        <v>2646</v>
      </c>
      <c r="U4" s="3196"/>
      <c r="V4" s="3182" t="s">
        <v>2647</v>
      </c>
      <c r="W4" s="3182"/>
      <c r="X4" s="1812"/>
      <c r="Y4" s="3195" t="s">
        <v>2649</v>
      </c>
      <c r="Z4" s="3196"/>
      <c r="AA4" s="3183" t="s">
        <v>2645</v>
      </c>
      <c r="AB4" s="3184" t="s">
        <v>2646</v>
      </c>
      <c r="AC4" s="3183" t="s">
        <v>2647</v>
      </c>
    </row>
    <row r="5" spans="1:29" ht="15">
      <c r="A5" s="404"/>
      <c r="B5" s="405"/>
      <c r="C5" s="3203" t="s">
        <v>2540</v>
      </c>
      <c r="D5" s="3204"/>
      <c r="E5" s="3210" t="s">
        <v>2541</v>
      </c>
      <c r="F5" s="3211"/>
      <c r="G5" s="3203" t="s">
        <v>2542</v>
      </c>
      <c r="H5" s="3204"/>
      <c r="I5" s="3203" t="s">
        <v>2543</v>
      </c>
      <c r="J5" s="3204"/>
      <c r="K5" s="610"/>
      <c r="L5" s="1130"/>
      <c r="M5" s="1131"/>
      <c r="N5" s="1131"/>
      <c r="O5" s="1131"/>
      <c r="P5" s="3191"/>
      <c r="Q5" s="3192"/>
      <c r="R5" s="3197"/>
      <c r="S5" s="3198"/>
      <c r="T5" s="3197"/>
      <c r="U5" s="3198"/>
      <c r="V5" s="3182"/>
      <c r="W5" s="3182"/>
      <c r="X5" s="1812"/>
      <c r="Y5" s="3197"/>
      <c r="Z5" s="3198"/>
      <c r="AA5" s="3184"/>
      <c r="AB5" s="3184"/>
      <c r="AC5" s="3184"/>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193"/>
      <c r="Q6" s="3194"/>
      <c r="R6" s="3197"/>
      <c r="S6" s="3198"/>
      <c r="T6" s="3199"/>
      <c r="U6" s="3200"/>
      <c r="V6" s="3182"/>
      <c r="W6" s="3182"/>
      <c r="X6" s="1812"/>
      <c r="Y6" s="3199"/>
      <c r="Z6" s="3200"/>
      <c r="AA6" s="3185"/>
      <c r="AB6" s="3185"/>
      <c r="AC6" s="3185"/>
    </row>
    <row r="7" spans="1:29" s="117" customFormat="1" ht="15.75" thickBot="1">
      <c r="A7" s="408" t="s">
        <v>2546</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5"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2553</v>
      </c>
      <c r="Q9" s="1794" t="str">
        <f t="shared" ref="Q9:Q15" si="6">B9</f>
        <v>用途</v>
      </c>
      <c r="R9" s="770" t="s">
        <v>17</v>
      </c>
      <c r="S9" s="771">
        <f t="shared" si="0"/>
        <v>100</v>
      </c>
      <c r="T9" s="770" t="s">
        <v>17</v>
      </c>
      <c r="U9" s="771">
        <f t="shared" si="1"/>
        <v>100</v>
      </c>
      <c r="V9" s="770" t="s">
        <v>17</v>
      </c>
      <c r="W9" s="771">
        <f t="shared" si="2"/>
        <v>100</v>
      </c>
      <c r="X9" s="772"/>
      <c r="Y9" s="302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6"/>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6"/>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6"/>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6"/>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8" t="s">
        <v>2558</v>
      </c>
      <c r="Q15" s="1809" t="str">
        <f t="shared" si="6"/>
        <v>产业集聚程度</v>
      </c>
      <c r="R15" s="774" t="s">
        <v>17</v>
      </c>
      <c r="S15" s="775">
        <f t="shared" si="0"/>
        <v>100</v>
      </c>
      <c r="T15" s="774" t="s">
        <v>17</v>
      </c>
      <c r="U15" s="775">
        <f t="shared" si="1"/>
        <v>100</v>
      </c>
      <c r="V15" s="774" t="s">
        <v>17</v>
      </c>
      <c r="W15" s="775">
        <f t="shared" si="2"/>
        <v>100</v>
      </c>
      <c r="X15" s="1812"/>
      <c r="Y15" s="3178"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9"/>
      <c r="Q16" s="1809"/>
      <c r="R16" s="774"/>
      <c r="S16" s="775"/>
      <c r="T16" s="774"/>
      <c r="U16" s="775"/>
      <c r="V16" s="774"/>
      <c r="W16" s="775"/>
      <c r="X16" s="1812"/>
      <c r="Y16" s="3179"/>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9"/>
      <c r="Q17" s="1809" t="str">
        <f>B17</f>
        <v>交通便捷度</v>
      </c>
      <c r="R17" s="774" t="s">
        <v>17</v>
      </c>
      <c r="S17" s="775">
        <f>F17</f>
        <v>100</v>
      </c>
      <c r="T17" s="774" t="s">
        <v>17</v>
      </c>
      <c r="U17" s="775">
        <f>H17</f>
        <v>100</v>
      </c>
      <c r="V17" s="774" t="s">
        <v>17</v>
      </c>
      <c r="W17" s="775">
        <f>J17</f>
        <v>100</v>
      </c>
      <c r="X17" s="1812"/>
      <c r="Y17" s="3179"/>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79"/>
      <c r="Q18" s="1809"/>
      <c r="R18" s="774"/>
      <c r="S18" s="775"/>
      <c r="T18" s="774"/>
      <c r="U18" s="775"/>
      <c r="V18" s="774"/>
      <c r="W18" s="775"/>
      <c r="X18" s="1812"/>
      <c r="Y18" s="3179"/>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9"/>
      <c r="Q19" s="1809" t="str">
        <f>B19</f>
        <v>公共配套设施</v>
      </c>
      <c r="R19" s="774" t="s">
        <v>17</v>
      </c>
      <c r="S19" s="775">
        <f>F19</f>
        <v>100</v>
      </c>
      <c r="T19" s="774" t="s">
        <v>17</v>
      </c>
      <c r="U19" s="775">
        <f>H19</f>
        <v>100</v>
      </c>
      <c r="V19" s="774" t="s">
        <v>17</v>
      </c>
      <c r="W19" s="775">
        <f>J19</f>
        <v>100</v>
      </c>
      <c r="X19" s="1812"/>
      <c r="Y19" s="3179"/>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79"/>
      <c r="Q20" s="1809"/>
      <c r="R20" s="774"/>
      <c r="S20" s="775"/>
      <c r="T20" s="774"/>
      <c r="U20" s="775"/>
      <c r="V20" s="774"/>
      <c r="W20" s="775"/>
      <c r="X20" s="1812"/>
      <c r="Y20" s="3179"/>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9"/>
      <c r="Q21" s="1809" t="str">
        <f>B21</f>
        <v>基础设施水平</v>
      </c>
      <c r="R21" s="774" t="s">
        <v>17</v>
      </c>
      <c r="S21" s="775">
        <f>F21</f>
        <v>100</v>
      </c>
      <c r="T21" s="774" t="s">
        <v>17</v>
      </c>
      <c r="U21" s="775">
        <f>H21</f>
        <v>100</v>
      </c>
      <c r="V21" s="774" t="s">
        <v>17</v>
      </c>
      <c r="W21" s="775">
        <f>J21</f>
        <v>100</v>
      </c>
      <c r="X21" s="1812"/>
      <c r="Y21" s="3179"/>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179"/>
      <c r="Q22" s="1809"/>
      <c r="R22" s="774"/>
      <c r="S22" s="775"/>
      <c r="T22" s="774"/>
      <c r="U22" s="775"/>
      <c r="V22" s="774"/>
      <c r="W22" s="775"/>
      <c r="X22" s="1812"/>
      <c r="Y22" s="3179"/>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9"/>
      <c r="Q23" s="1809" t="str">
        <f>B23</f>
        <v>环境质量</v>
      </c>
      <c r="R23" s="774" t="s">
        <v>17</v>
      </c>
      <c r="S23" s="775">
        <f>F23</f>
        <v>100</v>
      </c>
      <c r="T23" s="774" t="s">
        <v>17</v>
      </c>
      <c r="U23" s="775">
        <f>H23</f>
        <v>100</v>
      </c>
      <c r="V23" s="774" t="s">
        <v>17</v>
      </c>
      <c r="W23" s="775">
        <f>J23</f>
        <v>100</v>
      </c>
      <c r="X23" s="1812"/>
      <c r="Y23" s="3179"/>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179"/>
      <c r="Q24" s="1809"/>
      <c r="R24" s="774"/>
      <c r="S24" s="775"/>
      <c r="T24" s="774"/>
      <c r="U24" s="775"/>
      <c r="V24" s="774"/>
      <c r="W24" s="775"/>
      <c r="X24" s="1812"/>
      <c r="Y24" s="3179"/>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9"/>
      <c r="Q25" s="1809">
        <f>B25</f>
        <v>111</v>
      </c>
      <c r="R25" s="774" t="s">
        <v>17</v>
      </c>
      <c r="S25" s="775">
        <f>F25</f>
        <v>100</v>
      </c>
      <c r="T25" s="774" t="s">
        <v>17</v>
      </c>
      <c r="U25" s="775">
        <f>H25</f>
        <v>100</v>
      </c>
      <c r="V25" s="774" t="s">
        <v>17</v>
      </c>
      <c r="W25" s="775">
        <f>J25</f>
        <v>100</v>
      </c>
      <c r="X25" s="1812"/>
      <c r="Y25" s="3179"/>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9"/>
      <c r="Q26" s="1809">
        <f t="shared" ref="Q26:Q40" si="11">B26</f>
        <v>111</v>
      </c>
      <c r="R26" s="774" t="s">
        <v>17</v>
      </c>
      <c r="S26" s="775">
        <f>F26</f>
        <v>100</v>
      </c>
      <c r="T26" s="774" t="s">
        <v>17</v>
      </c>
      <c r="U26" s="775">
        <f>H26</f>
        <v>100</v>
      </c>
      <c r="V26" s="774" t="s">
        <v>17</v>
      </c>
      <c r="W26" s="775">
        <f>J26</f>
        <v>100</v>
      </c>
      <c r="X26" s="1812"/>
      <c r="Y26" s="3179"/>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9"/>
      <c r="Q27" s="1794">
        <f t="shared" si="11"/>
        <v>111</v>
      </c>
      <c r="R27" s="770" t="s">
        <v>17</v>
      </c>
      <c r="S27" s="771">
        <f>F27</f>
        <v>100</v>
      </c>
      <c r="T27" s="770" t="s">
        <v>17</v>
      </c>
      <c r="U27" s="771">
        <f>H27</f>
        <v>100</v>
      </c>
      <c r="V27" s="770" t="s">
        <v>17</v>
      </c>
      <c r="W27" s="771">
        <f>J27</f>
        <v>100</v>
      </c>
      <c r="X27" s="772"/>
      <c r="Y27" s="3179"/>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9"/>
      <c r="Q28" s="1809">
        <f t="shared" si="11"/>
        <v>111</v>
      </c>
      <c r="R28" s="774" t="s">
        <v>17</v>
      </c>
      <c r="S28" s="775">
        <f t="shared" ref="S28:S40" si="12">F28</f>
        <v>100</v>
      </c>
      <c r="T28" s="774" t="s">
        <v>17</v>
      </c>
      <c r="U28" s="775">
        <f t="shared" ref="U28:U40" si="13">H28</f>
        <v>100</v>
      </c>
      <c r="V28" s="774" t="s">
        <v>17</v>
      </c>
      <c r="W28" s="775">
        <f t="shared" ref="W28:W40" si="14">J28</f>
        <v>100</v>
      </c>
      <c r="X28" s="1812"/>
      <c r="Y28" s="3179"/>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0" t="s">
        <v>2563</v>
      </c>
      <c r="Q29" s="1809" t="str">
        <f t="shared" si="11"/>
        <v>建筑类型</v>
      </c>
      <c r="R29" s="774" t="s">
        <v>17</v>
      </c>
      <c r="S29" s="775">
        <f t="shared" si="12"/>
        <v>100</v>
      </c>
      <c r="T29" s="774" t="s">
        <v>17</v>
      </c>
      <c r="U29" s="775">
        <f t="shared" si="13"/>
        <v>100</v>
      </c>
      <c r="V29" s="774" t="s">
        <v>17</v>
      </c>
      <c r="W29" s="775">
        <f t="shared" si="14"/>
        <v>100</v>
      </c>
      <c r="X29" s="1812"/>
      <c r="Y29" s="3181"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1"/>
      <c r="Q31" s="1809" t="str">
        <f t="shared" si="11"/>
        <v>建筑结构</v>
      </c>
      <c r="R31" s="774" t="s">
        <v>17</v>
      </c>
      <c r="S31" s="775">
        <f t="shared" si="12"/>
        <v>100</v>
      </c>
      <c r="T31" s="774" t="s">
        <v>17</v>
      </c>
      <c r="U31" s="775">
        <f t="shared" si="13"/>
        <v>100</v>
      </c>
      <c r="V31" s="774" t="s">
        <v>17</v>
      </c>
      <c r="W31" s="775">
        <f t="shared" si="14"/>
        <v>100</v>
      </c>
      <c r="X31" s="1812"/>
      <c r="Y31" s="3181"/>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1"/>
      <c r="Q32" s="1809" t="str">
        <f t="shared" si="11"/>
        <v>公共部分装修</v>
      </c>
      <c r="R32" s="774" t="s">
        <v>17</v>
      </c>
      <c r="S32" s="775">
        <f t="shared" si="12"/>
        <v>100</v>
      </c>
      <c r="T32" s="774" t="s">
        <v>17</v>
      </c>
      <c r="U32" s="775">
        <f t="shared" si="13"/>
        <v>100</v>
      </c>
      <c r="V32" s="774" t="s">
        <v>17</v>
      </c>
      <c r="W32" s="775">
        <f t="shared" si="14"/>
        <v>100</v>
      </c>
      <c r="X32" s="1812"/>
      <c r="Y32" s="3181"/>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1"/>
      <c r="Q33" s="1809" t="str">
        <f t="shared" si="11"/>
        <v>成新度</v>
      </c>
      <c r="R33" s="774" t="s">
        <v>17</v>
      </c>
      <c r="S33" s="775" t="e">
        <f t="shared" si="12"/>
        <v>#N/A</v>
      </c>
      <c r="T33" s="774" t="s">
        <v>17</v>
      </c>
      <c r="U33" s="775" t="e">
        <f t="shared" si="13"/>
        <v>#N/A</v>
      </c>
      <c r="V33" s="774" t="s">
        <v>17</v>
      </c>
      <c r="W33" s="775" t="e">
        <f t="shared" si="14"/>
        <v>#N/A</v>
      </c>
      <c r="X33" s="1812"/>
      <c r="Y33" s="3181"/>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1"/>
      <c r="Q34" s="1794"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1" t="s">
        <v>2563</v>
      </c>
      <c r="Q35" s="1809" t="str">
        <f t="shared" si="11"/>
        <v>市政基础设施</v>
      </c>
      <c r="R35" s="774" t="s">
        <v>17</v>
      </c>
      <c r="S35" s="775">
        <f t="shared" si="12"/>
        <v>100</v>
      </c>
      <c r="T35" s="774" t="s">
        <v>17</v>
      </c>
      <c r="U35" s="775">
        <f t="shared" si="13"/>
        <v>100</v>
      </c>
      <c r="V35" s="774" t="s">
        <v>17</v>
      </c>
      <c r="W35" s="775">
        <f t="shared" si="14"/>
        <v>100</v>
      </c>
      <c r="X35" s="1812"/>
      <c r="Y35" s="3181"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1"/>
      <c r="Q36" s="1809" t="str">
        <f t="shared" si="11"/>
        <v>内部装修</v>
      </c>
      <c r="R36" s="774" t="s">
        <v>17</v>
      </c>
      <c r="S36" s="775">
        <f t="shared" si="12"/>
        <v>100</v>
      </c>
      <c r="T36" s="774" t="s">
        <v>17</v>
      </c>
      <c r="U36" s="775">
        <f t="shared" si="13"/>
        <v>100</v>
      </c>
      <c r="V36" s="774" t="s">
        <v>17</v>
      </c>
      <c r="W36" s="775">
        <f t="shared" si="14"/>
        <v>100</v>
      </c>
      <c r="X36" s="1812"/>
      <c r="Y36" s="3181"/>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1"/>
      <c r="Q37" s="1809" t="str">
        <f t="shared" si="11"/>
        <v>内部装修状况</v>
      </c>
      <c r="R37" s="774" t="s">
        <v>17</v>
      </c>
      <c r="S37" s="775">
        <f t="shared" si="12"/>
        <v>100</v>
      </c>
      <c r="T37" s="774" t="s">
        <v>17</v>
      </c>
      <c r="U37" s="775">
        <f t="shared" si="13"/>
        <v>100</v>
      </c>
      <c r="V37" s="774" t="s">
        <v>17</v>
      </c>
      <c r="W37" s="775">
        <f t="shared" si="14"/>
        <v>100</v>
      </c>
      <c r="X37" s="1812"/>
      <c r="Y37" s="318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1"/>
      <c r="Q39" s="1809">
        <f t="shared" si="11"/>
        <v>111</v>
      </c>
      <c r="R39" s="774" t="s">
        <v>17</v>
      </c>
      <c r="S39" s="775">
        <f t="shared" si="12"/>
        <v>100</v>
      </c>
      <c r="T39" s="774" t="s">
        <v>17</v>
      </c>
      <c r="U39" s="775">
        <f t="shared" si="13"/>
        <v>100</v>
      </c>
      <c r="V39" s="774" t="s">
        <v>17</v>
      </c>
      <c r="W39" s="775">
        <f t="shared" si="14"/>
        <v>100</v>
      </c>
      <c r="X39" s="1812"/>
      <c r="Y39" s="3181"/>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09">
        <f t="shared" si="11"/>
        <v>111</v>
      </c>
      <c r="R40" s="774" t="s">
        <v>17</v>
      </c>
      <c r="S40" s="775">
        <f t="shared" si="12"/>
        <v>100</v>
      </c>
      <c r="T40" s="774" t="s">
        <v>17</v>
      </c>
      <c r="U40" s="775">
        <f t="shared" si="13"/>
        <v>100</v>
      </c>
      <c r="V40" s="774" t="s">
        <v>17</v>
      </c>
      <c r="W40" s="775">
        <f t="shared" si="14"/>
        <v>100</v>
      </c>
      <c r="X40" s="1812"/>
      <c r="Y40" s="3244"/>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76" t="str">
        <f>A41</f>
        <v>成交单价（元/平方米）</v>
      </c>
      <c r="Q41" s="3176"/>
      <c r="R41" s="3240">
        <f>E41</f>
        <v>0</v>
      </c>
      <c r="S41" s="3240"/>
      <c r="T41" s="3240">
        <f>G41</f>
        <v>0</v>
      </c>
      <c r="U41" s="3240"/>
      <c r="V41" s="3240">
        <f>I41</f>
        <v>0</v>
      </c>
      <c r="W41" s="3240"/>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76" t="str">
        <f>A42</f>
        <v>比较价值（元/平方米）</v>
      </c>
      <c r="Q42" s="3176"/>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70" t="str">
        <f>A43</f>
        <v>估价对象XX用房的比较价值（楼面单价，元/平方米）</v>
      </c>
      <c r="Q43" s="3171"/>
      <c r="R43" s="3239" t="e">
        <f>IF(F1="售价",ROUND(AVERAGE(R42:V42),0),ROUND(AVERAGE(R42:V42),1))</f>
        <v>#DIV/0!</v>
      </c>
      <c r="S43" s="3239"/>
      <c r="T43" s="3239"/>
      <c r="U43" s="3239"/>
      <c r="V43" s="3239"/>
      <c r="W43" s="323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73" t="s">
        <v>2644</v>
      </c>
      <c r="D4" s="3186"/>
      <c r="E4" s="3187" t="s">
        <v>2645</v>
      </c>
      <c r="F4" s="3188"/>
      <c r="G4" s="3173" t="s">
        <v>2646</v>
      </c>
      <c r="H4" s="3186"/>
      <c r="I4" s="3173" t="s">
        <v>2647</v>
      </c>
      <c r="J4" s="3186"/>
      <c r="K4" s="610" t="s">
        <v>2648</v>
      </c>
      <c r="L4" s="1130"/>
      <c r="M4" s="1131"/>
      <c r="N4" s="1131"/>
      <c r="O4" s="1131"/>
      <c r="P4" s="3189" t="s">
        <v>2649</v>
      </c>
      <c r="Q4" s="3190"/>
      <c r="R4" s="3195" t="s">
        <v>2645</v>
      </c>
      <c r="S4" s="3196"/>
      <c r="T4" s="3195" t="s">
        <v>2646</v>
      </c>
      <c r="U4" s="3196"/>
      <c r="V4" s="3182" t="s">
        <v>2647</v>
      </c>
      <c r="W4" s="3182"/>
      <c r="X4" s="1812"/>
      <c r="Y4" s="3195" t="s">
        <v>2649</v>
      </c>
      <c r="Z4" s="3196"/>
      <c r="AA4" s="3183" t="s">
        <v>2645</v>
      </c>
      <c r="AB4" s="3184" t="s">
        <v>2646</v>
      </c>
      <c r="AC4" s="3183" t="s">
        <v>2647</v>
      </c>
    </row>
    <row r="5" spans="1:29" ht="15">
      <c r="A5" s="404"/>
      <c r="B5" s="405"/>
      <c r="C5" s="3203" t="s">
        <v>2540</v>
      </c>
      <c r="D5" s="3204"/>
      <c r="E5" s="3210" t="s">
        <v>2541</v>
      </c>
      <c r="F5" s="3211"/>
      <c r="G5" s="3203" t="s">
        <v>2542</v>
      </c>
      <c r="H5" s="3204"/>
      <c r="I5" s="3203" t="s">
        <v>2543</v>
      </c>
      <c r="J5" s="3204"/>
      <c r="K5" s="610"/>
      <c r="L5" s="1130"/>
      <c r="M5" s="1131"/>
      <c r="N5" s="1131"/>
      <c r="O5" s="1131"/>
      <c r="P5" s="3191"/>
      <c r="Q5" s="3192"/>
      <c r="R5" s="3197"/>
      <c r="S5" s="3198"/>
      <c r="T5" s="3197"/>
      <c r="U5" s="3198"/>
      <c r="V5" s="3182"/>
      <c r="W5" s="3182"/>
      <c r="X5" s="1812"/>
      <c r="Y5" s="3197"/>
      <c r="Z5" s="3198"/>
      <c r="AA5" s="3184"/>
      <c r="AB5" s="3184"/>
      <c r="AC5" s="3184"/>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193"/>
      <c r="Q6" s="3194"/>
      <c r="R6" s="3197"/>
      <c r="S6" s="3198"/>
      <c r="T6" s="3199"/>
      <c r="U6" s="3200"/>
      <c r="V6" s="3182"/>
      <c r="W6" s="3182"/>
      <c r="X6" s="1812"/>
      <c r="Y6" s="3199"/>
      <c r="Z6" s="3200"/>
      <c r="AA6" s="3185"/>
      <c r="AB6" s="3185"/>
      <c r="AC6" s="3185"/>
    </row>
    <row r="7" spans="1:29" s="117" customFormat="1" ht="15.75" thickBot="1">
      <c r="A7" s="408" t="s">
        <v>2546</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5" t="s">
        <v>2547</v>
      </c>
      <c r="Q7" s="3207"/>
      <c r="R7" s="770" t="s">
        <v>17</v>
      </c>
      <c r="S7" s="771">
        <f t="shared" ref="S7:S14" si="0">F7</f>
        <v>0</v>
      </c>
      <c r="T7" s="770" t="s">
        <v>17</v>
      </c>
      <c r="U7" s="771">
        <f t="shared" ref="U7:U14" si="1">H7</f>
        <v>0</v>
      </c>
      <c r="V7" s="770" t="s">
        <v>17</v>
      </c>
      <c r="W7" s="771">
        <f t="shared" ref="W7:W14"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2553</v>
      </c>
      <c r="Q9" s="1794" t="str">
        <f t="shared" ref="Q9:Q14" si="6">B9</f>
        <v>用途</v>
      </c>
      <c r="R9" s="770" t="s">
        <v>17</v>
      </c>
      <c r="S9" s="771">
        <f t="shared" si="0"/>
        <v>100</v>
      </c>
      <c r="T9" s="770" t="s">
        <v>17</v>
      </c>
      <c r="U9" s="771">
        <f t="shared" si="1"/>
        <v>100</v>
      </c>
      <c r="V9" s="770" t="s">
        <v>17</v>
      </c>
      <c r="W9" s="771">
        <f t="shared" si="2"/>
        <v>100</v>
      </c>
      <c r="X9" s="772"/>
      <c r="Y9" s="3024"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4">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8" t="s">
        <v>2558</v>
      </c>
      <c r="Q14" s="1809" t="str">
        <f t="shared" si="6"/>
        <v>交通便捷度</v>
      </c>
      <c r="R14" s="774" t="s">
        <v>17</v>
      </c>
      <c r="S14" s="775">
        <f t="shared" si="0"/>
        <v>100</v>
      </c>
      <c r="T14" s="774" t="s">
        <v>17</v>
      </c>
      <c r="U14" s="775">
        <f t="shared" si="1"/>
        <v>100</v>
      </c>
      <c r="V14" s="774" t="s">
        <v>17</v>
      </c>
      <c r="W14" s="775">
        <f t="shared" si="2"/>
        <v>100</v>
      </c>
      <c r="X14" s="1812"/>
      <c r="Y14" s="3178"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9"/>
      <c r="Q15" s="1809"/>
      <c r="R15" s="774"/>
      <c r="S15" s="775"/>
      <c r="T15" s="774"/>
      <c r="U15" s="775"/>
      <c r="V15" s="774"/>
      <c r="W15" s="775"/>
      <c r="X15" s="1812"/>
      <c r="Y15" s="3179"/>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9"/>
      <c r="Q16" s="1809" t="str">
        <f>B16</f>
        <v>公共配套设施</v>
      </c>
      <c r="R16" s="774" t="s">
        <v>17</v>
      </c>
      <c r="S16" s="775">
        <f>F16</f>
        <v>100</v>
      </c>
      <c r="T16" s="774" t="s">
        <v>17</v>
      </c>
      <c r="U16" s="775">
        <f>H16</f>
        <v>100</v>
      </c>
      <c r="V16" s="774" t="s">
        <v>17</v>
      </c>
      <c r="W16" s="775">
        <f>J16</f>
        <v>100</v>
      </c>
      <c r="X16" s="1812"/>
      <c r="Y16" s="3179"/>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79"/>
      <c r="Q17" s="1809"/>
      <c r="R17" s="774"/>
      <c r="S17" s="775"/>
      <c r="T17" s="774"/>
      <c r="U17" s="775"/>
      <c r="V17" s="774"/>
      <c r="W17" s="775"/>
      <c r="X17" s="1812"/>
      <c r="Y17" s="3179"/>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9"/>
      <c r="Q18" s="1809" t="str">
        <f>B18</f>
        <v>基础设施水平</v>
      </c>
      <c r="R18" s="774" t="s">
        <v>17</v>
      </c>
      <c r="S18" s="775">
        <f>F18</f>
        <v>100</v>
      </c>
      <c r="T18" s="774" t="s">
        <v>17</v>
      </c>
      <c r="U18" s="775">
        <f>H18</f>
        <v>100</v>
      </c>
      <c r="V18" s="774" t="s">
        <v>17</v>
      </c>
      <c r="W18" s="775">
        <f>J18</f>
        <v>100</v>
      </c>
      <c r="X18" s="1812"/>
      <c r="Y18" s="3179"/>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179"/>
      <c r="Q19" s="1809"/>
      <c r="R19" s="774"/>
      <c r="S19" s="775"/>
      <c r="T19" s="774"/>
      <c r="U19" s="775"/>
      <c r="V19" s="774"/>
      <c r="W19" s="775"/>
      <c r="X19" s="1812"/>
      <c r="Y19" s="3179"/>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9"/>
      <c r="Q20" s="1809" t="str">
        <f>B20</f>
        <v>自然及人文环境</v>
      </c>
      <c r="R20" s="774" t="s">
        <v>17</v>
      </c>
      <c r="S20" s="775">
        <f>F20</f>
        <v>100</v>
      </c>
      <c r="T20" s="774" t="s">
        <v>17</v>
      </c>
      <c r="U20" s="775">
        <f>H20</f>
        <v>100</v>
      </c>
      <c r="V20" s="774" t="s">
        <v>17</v>
      </c>
      <c r="W20" s="775">
        <f>J20</f>
        <v>100</v>
      </c>
      <c r="X20" s="1812"/>
      <c r="Y20" s="3179"/>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9"/>
      <c r="Q21" s="1809"/>
      <c r="R21" s="774"/>
      <c r="S21" s="775"/>
      <c r="T21" s="774"/>
      <c r="U21" s="775"/>
      <c r="V21" s="774"/>
      <c r="W21" s="775"/>
      <c r="X21" s="1812"/>
      <c r="Y21" s="3179"/>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9"/>
      <c r="Q22" s="1809" t="str">
        <f>B22</f>
        <v>楼层</v>
      </c>
      <c r="R22" s="774" t="s">
        <v>17</v>
      </c>
      <c r="S22" s="775">
        <f>F22</f>
        <v>100</v>
      </c>
      <c r="T22" s="774" t="s">
        <v>17</v>
      </c>
      <c r="U22" s="775">
        <f>H22</f>
        <v>100</v>
      </c>
      <c r="V22" s="774" t="s">
        <v>17</v>
      </c>
      <c r="W22" s="775">
        <f>J22</f>
        <v>100</v>
      </c>
      <c r="X22" s="1812"/>
      <c r="Y22" s="317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9"/>
      <c r="Q23" s="1809">
        <f>B23</f>
        <v>111</v>
      </c>
      <c r="R23" s="774" t="s">
        <v>17</v>
      </c>
      <c r="S23" s="775">
        <f>F23</f>
        <v>100</v>
      </c>
      <c r="T23" s="774" t="s">
        <v>17</v>
      </c>
      <c r="U23" s="775">
        <f>H23</f>
        <v>100</v>
      </c>
      <c r="V23" s="774" t="s">
        <v>17</v>
      </c>
      <c r="W23" s="775">
        <f>J23</f>
        <v>100</v>
      </c>
      <c r="X23" s="1812"/>
      <c r="Y23" s="317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9"/>
      <c r="Q24" s="1809">
        <f t="shared" ref="Q24:Q36" si="11">B24</f>
        <v>111</v>
      </c>
      <c r="R24" s="774" t="s">
        <v>17</v>
      </c>
      <c r="S24" s="775">
        <f>F24</f>
        <v>100</v>
      </c>
      <c r="T24" s="774" t="s">
        <v>17</v>
      </c>
      <c r="U24" s="775">
        <f>H24</f>
        <v>100</v>
      </c>
      <c r="V24" s="774" t="s">
        <v>17</v>
      </c>
      <c r="W24" s="775">
        <f>J24</f>
        <v>100</v>
      </c>
      <c r="X24" s="1812"/>
      <c r="Y24" s="317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9"/>
      <c r="Q25" s="1794">
        <f t="shared" si="11"/>
        <v>111</v>
      </c>
      <c r="R25" s="770" t="s">
        <v>17</v>
      </c>
      <c r="S25" s="771">
        <f>F25</f>
        <v>100</v>
      </c>
      <c r="T25" s="770" t="s">
        <v>17</v>
      </c>
      <c r="U25" s="771">
        <f>H25</f>
        <v>100</v>
      </c>
      <c r="V25" s="770" t="s">
        <v>17</v>
      </c>
      <c r="W25" s="771">
        <f>J25</f>
        <v>100</v>
      </c>
      <c r="X25" s="772"/>
      <c r="Y25" s="3179"/>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0"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1"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1"/>
      <c r="Q28" s="1809" t="str">
        <f t="shared" si="11"/>
        <v>公共部分装修</v>
      </c>
      <c r="R28" s="774" t="s">
        <v>17</v>
      </c>
      <c r="S28" s="775">
        <f t="shared" si="12"/>
        <v>100</v>
      </c>
      <c r="T28" s="774" t="s">
        <v>17</v>
      </c>
      <c r="U28" s="775">
        <f t="shared" si="13"/>
        <v>100</v>
      </c>
      <c r="V28" s="774" t="s">
        <v>17</v>
      </c>
      <c r="W28" s="775">
        <f t="shared" si="14"/>
        <v>100</v>
      </c>
      <c r="X28" s="1812"/>
      <c r="Y28" s="3181"/>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1"/>
      <c r="Q29" s="1809" t="str">
        <f t="shared" si="11"/>
        <v>成新率</v>
      </c>
      <c r="R29" s="774" t="s">
        <v>17</v>
      </c>
      <c r="S29" s="775" t="e">
        <f t="shared" si="12"/>
        <v>#N/A</v>
      </c>
      <c r="T29" s="774" t="s">
        <v>17</v>
      </c>
      <c r="U29" s="775" t="e">
        <f t="shared" si="13"/>
        <v>#N/A</v>
      </c>
      <c r="V29" s="774" t="s">
        <v>17</v>
      </c>
      <c r="W29" s="775" t="e">
        <f t="shared" si="14"/>
        <v>#N/A</v>
      </c>
      <c r="X29" s="1812"/>
      <c r="Y29" s="3181"/>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1"/>
      <c r="Q30" s="1809" t="str">
        <f t="shared" si="11"/>
        <v>物业等级</v>
      </c>
      <c r="R30" s="774" t="s">
        <v>17</v>
      </c>
      <c r="S30" s="775">
        <f t="shared" si="12"/>
        <v>100</v>
      </c>
      <c r="T30" s="774" t="s">
        <v>17</v>
      </c>
      <c r="U30" s="775">
        <f t="shared" si="13"/>
        <v>100</v>
      </c>
      <c r="V30" s="774" t="s">
        <v>17</v>
      </c>
      <c r="W30" s="775">
        <f t="shared" si="14"/>
        <v>100</v>
      </c>
      <c r="X30" s="1812"/>
      <c r="Y30" s="3181"/>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1"/>
      <c r="Q31" s="1794"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1" t="s">
        <v>2563</v>
      </c>
      <c r="Q32" s="1809" t="str">
        <f t="shared" si="11"/>
        <v>车位类型</v>
      </c>
      <c r="R32" s="774" t="s">
        <v>17</v>
      </c>
      <c r="S32" s="775">
        <f t="shared" si="12"/>
        <v>100</v>
      </c>
      <c r="T32" s="774" t="s">
        <v>17</v>
      </c>
      <c r="U32" s="775">
        <f t="shared" si="13"/>
        <v>100</v>
      </c>
      <c r="V32" s="774" t="s">
        <v>17</v>
      </c>
      <c r="W32" s="775">
        <f t="shared" si="14"/>
        <v>100</v>
      </c>
      <c r="X32" s="1812"/>
      <c r="Y32" s="3181"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1"/>
      <c r="Q33" s="1809" t="str">
        <f t="shared" si="11"/>
        <v>是否直接入户</v>
      </c>
      <c r="R33" s="774" t="s">
        <v>17</v>
      </c>
      <c r="S33" s="775">
        <f t="shared" si="12"/>
        <v>100</v>
      </c>
      <c r="T33" s="774" t="s">
        <v>17</v>
      </c>
      <c r="U33" s="775">
        <f t="shared" si="13"/>
        <v>100</v>
      </c>
      <c r="V33" s="774" t="s">
        <v>17</v>
      </c>
      <c r="W33" s="775">
        <f t="shared" si="14"/>
        <v>100</v>
      </c>
      <c r="X33" s="1812"/>
      <c r="Y33" s="318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1"/>
      <c r="Q34" s="1809">
        <f t="shared" si="11"/>
        <v>111</v>
      </c>
      <c r="R34" s="774" t="s">
        <v>17</v>
      </c>
      <c r="S34" s="775">
        <f t="shared" si="12"/>
        <v>100</v>
      </c>
      <c r="T34" s="774" t="s">
        <v>17</v>
      </c>
      <c r="U34" s="775">
        <f t="shared" si="13"/>
        <v>100</v>
      </c>
      <c r="V34" s="774" t="s">
        <v>17</v>
      </c>
      <c r="W34" s="775">
        <f t="shared" si="14"/>
        <v>100</v>
      </c>
      <c r="X34" s="1812"/>
      <c r="Y34" s="318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1"/>
      <c r="Q36" s="1809">
        <f t="shared" si="11"/>
        <v>111</v>
      </c>
      <c r="R36" s="774" t="s">
        <v>17</v>
      </c>
      <c r="S36" s="775">
        <f t="shared" si="12"/>
        <v>100</v>
      </c>
      <c r="T36" s="774" t="s">
        <v>17</v>
      </c>
      <c r="U36" s="775">
        <f t="shared" si="13"/>
        <v>100</v>
      </c>
      <c r="V36" s="774" t="s">
        <v>17</v>
      </c>
      <c r="W36" s="775">
        <f t="shared" si="14"/>
        <v>100</v>
      </c>
      <c r="X36" s="1812"/>
      <c r="Y36" s="3181"/>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76" t="str">
        <f>A37</f>
        <v>成交单价</v>
      </c>
      <c r="Q37" s="3176"/>
      <c r="R37" s="3240">
        <f>E37</f>
        <v>0</v>
      </c>
      <c r="S37" s="3240"/>
      <c r="T37" s="3240">
        <f>G37</f>
        <v>0</v>
      </c>
      <c r="U37" s="3240"/>
      <c r="V37" s="3240">
        <f>I37</f>
        <v>0</v>
      </c>
      <c r="W37" s="3240"/>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6" t="str">
        <f>A38</f>
        <v>比较价值（元/平方米）</v>
      </c>
      <c r="Q38" s="3176"/>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70" t="str">
        <f>A39</f>
        <v>估价对象XX用房的比较价值（楼面单价，元/平方米）</v>
      </c>
      <c r="Q39" s="3171"/>
      <c r="R39" s="3239" t="e">
        <f>IF(F1="售价",ROUND(AVERAGE(R38:V38),0),ROUND(AVERAGE(R38:V38),1))</f>
        <v>#DIV/0!</v>
      </c>
      <c r="S39" s="3239"/>
      <c r="T39" s="3239"/>
      <c r="U39" s="3239"/>
      <c r="V39" s="3239"/>
      <c r="W39" s="323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3" t="s">
        <v>2644</v>
      </c>
      <c r="D4" s="3186"/>
      <c r="E4" s="3187" t="s">
        <v>2645</v>
      </c>
      <c r="F4" s="3188"/>
      <c r="G4" s="3173" t="s">
        <v>2646</v>
      </c>
      <c r="H4" s="3186"/>
      <c r="I4" s="3173" t="s">
        <v>2647</v>
      </c>
      <c r="J4" s="3186"/>
      <c r="K4" s="610" t="s">
        <v>2648</v>
      </c>
      <c r="L4" s="1130"/>
      <c r="M4" s="1131"/>
      <c r="N4" s="1131"/>
      <c r="O4" s="1131"/>
      <c r="P4" s="3189" t="s">
        <v>2649</v>
      </c>
      <c r="Q4" s="3190"/>
      <c r="R4" s="3195" t="s">
        <v>2645</v>
      </c>
      <c r="S4" s="3196"/>
      <c r="T4" s="3195" t="s">
        <v>2646</v>
      </c>
      <c r="U4" s="3196"/>
      <c r="V4" s="3182" t="s">
        <v>2647</v>
      </c>
      <c r="W4" s="3182"/>
      <c r="X4" s="1812"/>
      <c r="Y4" s="3195" t="s">
        <v>2649</v>
      </c>
      <c r="Z4" s="3196"/>
      <c r="AA4" s="3183" t="s">
        <v>2645</v>
      </c>
      <c r="AB4" s="3184" t="s">
        <v>2646</v>
      </c>
      <c r="AC4" s="3183" t="s">
        <v>2647</v>
      </c>
    </row>
    <row r="5" spans="1:29" ht="15">
      <c r="A5" s="404"/>
      <c r="B5" s="405"/>
      <c r="C5" s="3203" t="s">
        <v>2540</v>
      </c>
      <c r="D5" s="3204"/>
      <c r="E5" s="3210" t="s">
        <v>2541</v>
      </c>
      <c r="F5" s="3211"/>
      <c r="G5" s="3203" t="s">
        <v>2542</v>
      </c>
      <c r="H5" s="3204"/>
      <c r="I5" s="3203" t="s">
        <v>2543</v>
      </c>
      <c r="J5" s="3204"/>
      <c r="K5" s="610"/>
      <c r="L5" s="1130"/>
      <c r="M5" s="1131"/>
      <c r="N5" s="1131"/>
      <c r="O5" s="1131"/>
      <c r="P5" s="3191"/>
      <c r="Q5" s="3192"/>
      <c r="R5" s="3197"/>
      <c r="S5" s="3198"/>
      <c r="T5" s="3197"/>
      <c r="U5" s="3198"/>
      <c r="V5" s="3182"/>
      <c r="W5" s="3182"/>
      <c r="X5" s="1812"/>
      <c r="Y5" s="3197"/>
      <c r="Z5" s="3198"/>
      <c r="AA5" s="3184"/>
      <c r="AB5" s="3184"/>
      <c r="AC5" s="3184"/>
    </row>
    <row r="6" spans="1:29" ht="15.75" thickBot="1">
      <c r="A6" s="406"/>
      <c r="B6" s="407"/>
      <c r="C6" s="3201" t="s">
        <v>2544</v>
      </c>
      <c r="D6" s="3202"/>
      <c r="E6" s="3208" t="s">
        <v>2544</v>
      </c>
      <c r="F6" s="3209"/>
      <c r="G6" s="3201" t="s">
        <v>2544</v>
      </c>
      <c r="H6" s="3202"/>
      <c r="I6" s="3201" t="s">
        <v>2544</v>
      </c>
      <c r="J6" s="3202"/>
      <c r="K6" s="610" t="s">
        <v>2545</v>
      </c>
      <c r="L6" s="1130"/>
      <c r="M6" s="1131"/>
      <c r="N6" s="1131"/>
      <c r="O6" s="1131"/>
      <c r="P6" s="3193"/>
      <c r="Q6" s="3194"/>
      <c r="R6" s="3197"/>
      <c r="S6" s="3198"/>
      <c r="T6" s="3199"/>
      <c r="U6" s="3200"/>
      <c r="V6" s="3182"/>
      <c r="W6" s="3182"/>
      <c r="X6" s="1812"/>
      <c r="Y6" s="3199"/>
      <c r="Z6" s="3200"/>
      <c r="AA6" s="3185"/>
      <c r="AB6" s="3185"/>
      <c r="AC6" s="3185"/>
    </row>
    <row r="7" spans="1:29" s="117" customFormat="1" ht="15.75" thickBot="1">
      <c r="A7" s="408" t="s">
        <v>2546</v>
      </c>
      <c r="B7" s="409"/>
      <c r="C7" s="410">
        <f>'数据-取费表'!B2</f>
        <v>43782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5" t="s">
        <v>2547</v>
      </c>
      <c r="Q7" s="3207"/>
      <c r="R7" s="770" t="s">
        <v>17</v>
      </c>
      <c r="S7" s="771">
        <f t="shared" ref="S7:S14" si="0">F7</f>
        <v>0</v>
      </c>
      <c r="T7" s="770" t="s">
        <v>17</v>
      </c>
      <c r="U7" s="771">
        <f t="shared" ref="U7:U14" si="1">H7</f>
        <v>0</v>
      </c>
      <c r="V7" s="770" t="s">
        <v>17</v>
      </c>
      <c r="W7" s="771">
        <f t="shared" ref="W7:W14" si="2">J7</f>
        <v>0</v>
      </c>
      <c r="X7" s="772"/>
      <c r="Y7" s="3205" t="s">
        <v>2547</v>
      </c>
      <c r="Z7" s="320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2553</v>
      </c>
      <c r="Q9" s="1794" t="str">
        <f t="shared" ref="Q9:Q14" si="6">B9</f>
        <v>用途</v>
      </c>
      <c r="R9" s="770" t="s">
        <v>17</v>
      </c>
      <c r="S9" s="771">
        <f t="shared" si="0"/>
        <v>100</v>
      </c>
      <c r="T9" s="770" t="s">
        <v>17</v>
      </c>
      <c r="U9" s="771">
        <f t="shared" si="1"/>
        <v>100</v>
      </c>
      <c r="V9" s="770" t="s">
        <v>17</v>
      </c>
      <c r="W9" s="771">
        <f t="shared" si="2"/>
        <v>100</v>
      </c>
      <c r="X9" s="772"/>
      <c r="Y9" s="3024"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4"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4">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6"/>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8" t="s">
        <v>2558</v>
      </c>
      <c r="Q14" s="1809" t="str">
        <f t="shared" si="6"/>
        <v>交通便捷度</v>
      </c>
      <c r="R14" s="774" t="s">
        <v>17</v>
      </c>
      <c r="S14" s="775">
        <f t="shared" si="0"/>
        <v>100</v>
      </c>
      <c r="T14" s="774" t="s">
        <v>17</v>
      </c>
      <c r="U14" s="775">
        <f t="shared" si="1"/>
        <v>100</v>
      </c>
      <c r="V14" s="774" t="s">
        <v>17</v>
      </c>
      <c r="W14" s="775">
        <f t="shared" si="2"/>
        <v>100</v>
      </c>
      <c r="X14" s="1812"/>
      <c r="Y14" s="3178"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9"/>
      <c r="Q15" s="1809"/>
      <c r="R15" s="774"/>
      <c r="S15" s="775"/>
      <c r="T15" s="774"/>
      <c r="U15" s="775"/>
      <c r="V15" s="774"/>
      <c r="W15" s="775"/>
      <c r="X15" s="1812"/>
      <c r="Y15" s="3179"/>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9"/>
      <c r="Q16" s="1809" t="str">
        <f>B16</f>
        <v>公共配套设施</v>
      </c>
      <c r="R16" s="774" t="s">
        <v>17</v>
      </c>
      <c r="S16" s="775">
        <f>F16</f>
        <v>100</v>
      </c>
      <c r="T16" s="774" t="s">
        <v>17</v>
      </c>
      <c r="U16" s="775">
        <f>H16</f>
        <v>100</v>
      </c>
      <c r="V16" s="774" t="s">
        <v>17</v>
      </c>
      <c r="W16" s="775">
        <f>J16</f>
        <v>100</v>
      </c>
      <c r="X16" s="1812"/>
      <c r="Y16" s="3179"/>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79"/>
      <c r="Q17" s="1809"/>
      <c r="R17" s="774"/>
      <c r="S17" s="775"/>
      <c r="T17" s="774"/>
      <c r="U17" s="775"/>
      <c r="V17" s="774"/>
      <c r="W17" s="775"/>
      <c r="X17" s="1812"/>
      <c r="Y17" s="3179"/>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9"/>
      <c r="Q18" s="1809" t="str">
        <f>B18</f>
        <v>基础设施水平</v>
      </c>
      <c r="R18" s="774" t="s">
        <v>17</v>
      </c>
      <c r="S18" s="775">
        <f>F18</f>
        <v>100</v>
      </c>
      <c r="T18" s="774" t="s">
        <v>17</v>
      </c>
      <c r="U18" s="775">
        <f>H18</f>
        <v>100</v>
      </c>
      <c r="V18" s="774" t="s">
        <v>17</v>
      </c>
      <c r="W18" s="775">
        <f>J18</f>
        <v>100</v>
      </c>
      <c r="X18" s="1812"/>
      <c r="Y18" s="3179"/>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179"/>
      <c r="Q19" s="1809"/>
      <c r="R19" s="774"/>
      <c r="S19" s="775"/>
      <c r="T19" s="774"/>
      <c r="U19" s="775"/>
      <c r="V19" s="774"/>
      <c r="W19" s="775"/>
      <c r="X19" s="1812"/>
      <c r="Y19" s="3179"/>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9"/>
      <c r="Q20" s="1809" t="str">
        <f>B20</f>
        <v>自然及人文环境</v>
      </c>
      <c r="R20" s="774" t="s">
        <v>17</v>
      </c>
      <c r="S20" s="775">
        <f>F20</f>
        <v>100</v>
      </c>
      <c r="T20" s="774" t="s">
        <v>17</v>
      </c>
      <c r="U20" s="775">
        <f>H20</f>
        <v>100</v>
      </c>
      <c r="V20" s="774" t="s">
        <v>17</v>
      </c>
      <c r="W20" s="775">
        <f>J20</f>
        <v>100</v>
      </c>
      <c r="X20" s="1812"/>
      <c r="Y20" s="317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9"/>
      <c r="Q21" s="1809"/>
      <c r="R21" s="774"/>
      <c r="S21" s="775"/>
      <c r="T21" s="774"/>
      <c r="U21" s="775"/>
      <c r="V21" s="774"/>
      <c r="W21" s="775"/>
      <c r="X21" s="1812"/>
      <c r="Y21" s="3179"/>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9"/>
      <c r="Q22" s="1809" t="str">
        <f>B22</f>
        <v>楼层</v>
      </c>
      <c r="R22" s="774" t="s">
        <v>17</v>
      </c>
      <c r="S22" s="775">
        <f>F22</f>
        <v>100</v>
      </c>
      <c r="T22" s="774" t="s">
        <v>17</v>
      </c>
      <c r="U22" s="775">
        <f>H22</f>
        <v>100</v>
      </c>
      <c r="V22" s="774" t="s">
        <v>17</v>
      </c>
      <c r="W22" s="775">
        <f>J22</f>
        <v>100</v>
      </c>
      <c r="X22" s="1812"/>
      <c r="Y22" s="3179"/>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9"/>
      <c r="Q23" s="1809">
        <f>B23</f>
        <v>111</v>
      </c>
      <c r="R23" s="774" t="s">
        <v>17</v>
      </c>
      <c r="S23" s="775">
        <f>F23</f>
        <v>100</v>
      </c>
      <c r="T23" s="774" t="s">
        <v>17</v>
      </c>
      <c r="U23" s="775">
        <f>H23</f>
        <v>100</v>
      </c>
      <c r="V23" s="774" t="s">
        <v>17</v>
      </c>
      <c r="W23" s="775">
        <f>J23</f>
        <v>100</v>
      </c>
      <c r="X23" s="1812"/>
      <c r="Y23" s="3179"/>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9"/>
      <c r="Q24" s="1809">
        <f t="shared" ref="Q24:Q34" si="11">B24</f>
        <v>111</v>
      </c>
      <c r="R24" s="774" t="s">
        <v>17</v>
      </c>
      <c r="S24" s="775">
        <f>F24</f>
        <v>100</v>
      </c>
      <c r="T24" s="774" t="s">
        <v>17</v>
      </c>
      <c r="U24" s="775">
        <f>H24</f>
        <v>100</v>
      </c>
      <c r="V24" s="774" t="s">
        <v>17</v>
      </c>
      <c r="W24" s="775">
        <f>J24</f>
        <v>100</v>
      </c>
      <c r="X24" s="1812"/>
      <c r="Y24" s="3179"/>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79"/>
      <c r="Q25" s="1794">
        <f t="shared" si="11"/>
        <v>111</v>
      </c>
      <c r="R25" s="770" t="s">
        <v>17</v>
      </c>
      <c r="S25" s="771">
        <f>F25</f>
        <v>100</v>
      </c>
      <c r="T25" s="770" t="s">
        <v>17</v>
      </c>
      <c r="U25" s="771">
        <f>H25</f>
        <v>100</v>
      </c>
      <c r="V25" s="770" t="s">
        <v>17</v>
      </c>
      <c r="W25" s="771">
        <f>J25</f>
        <v>100</v>
      </c>
      <c r="X25" s="772"/>
      <c r="Y25" s="3179"/>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0"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1"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1"/>
      <c r="Q28" s="1809" t="str">
        <f t="shared" si="11"/>
        <v>物业等级</v>
      </c>
      <c r="R28" s="774" t="s">
        <v>17</v>
      </c>
      <c r="S28" s="775">
        <f t="shared" si="12"/>
        <v>100</v>
      </c>
      <c r="T28" s="774" t="s">
        <v>17</v>
      </c>
      <c r="U28" s="775">
        <f t="shared" si="13"/>
        <v>100</v>
      </c>
      <c r="V28" s="774" t="s">
        <v>17</v>
      </c>
      <c r="W28" s="775">
        <f t="shared" si="14"/>
        <v>100</v>
      </c>
      <c r="X28" s="1812"/>
      <c r="Y28" s="3181"/>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1"/>
      <c r="Q29" s="1809" t="str">
        <f t="shared" si="11"/>
        <v>有无电梯</v>
      </c>
      <c r="R29" s="774" t="s">
        <v>17</v>
      </c>
      <c r="S29" s="775">
        <f t="shared" si="12"/>
        <v>100</v>
      </c>
      <c r="T29" s="774" t="s">
        <v>17</v>
      </c>
      <c r="U29" s="775">
        <f t="shared" si="13"/>
        <v>100</v>
      </c>
      <c r="V29" s="774" t="s">
        <v>17</v>
      </c>
      <c r="W29" s="775">
        <f t="shared" si="14"/>
        <v>100</v>
      </c>
      <c r="X29" s="1812"/>
      <c r="Y29" s="3181"/>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1"/>
      <c r="Q30" s="1809" t="str">
        <f t="shared" si="11"/>
        <v>建筑面积</v>
      </c>
      <c r="R30" s="774" t="s">
        <v>17</v>
      </c>
      <c r="S30" s="775" t="e">
        <f t="shared" si="12"/>
        <v>#N/A</v>
      </c>
      <c r="T30" s="774" t="s">
        <v>17</v>
      </c>
      <c r="U30" s="775" t="e">
        <f t="shared" si="13"/>
        <v>#N/A</v>
      </c>
      <c r="V30" s="774" t="s">
        <v>17</v>
      </c>
      <c r="W30" s="775" t="e">
        <f t="shared" si="14"/>
        <v>#N/A</v>
      </c>
      <c r="X30" s="1812"/>
      <c r="Y30" s="3181"/>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1"/>
      <c r="Q31" s="1794"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1" t="s">
        <v>2563</v>
      </c>
      <c r="Q32" s="1809">
        <f t="shared" si="11"/>
        <v>111</v>
      </c>
      <c r="R32" s="774" t="s">
        <v>17</v>
      </c>
      <c r="S32" s="775">
        <f t="shared" si="12"/>
        <v>100</v>
      </c>
      <c r="T32" s="774" t="s">
        <v>17</v>
      </c>
      <c r="U32" s="775">
        <f t="shared" si="13"/>
        <v>100</v>
      </c>
      <c r="V32" s="774" t="s">
        <v>17</v>
      </c>
      <c r="W32" s="775">
        <f t="shared" si="14"/>
        <v>100</v>
      </c>
      <c r="X32" s="1812"/>
      <c r="Y32" s="3181"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1"/>
      <c r="Q33" s="1809">
        <f t="shared" si="11"/>
        <v>111</v>
      </c>
      <c r="R33" s="774" t="s">
        <v>17</v>
      </c>
      <c r="S33" s="775">
        <f t="shared" si="12"/>
        <v>100</v>
      </c>
      <c r="T33" s="774" t="s">
        <v>17</v>
      </c>
      <c r="U33" s="775">
        <f t="shared" si="13"/>
        <v>100</v>
      </c>
      <c r="V33" s="774" t="s">
        <v>17</v>
      </c>
      <c r="W33" s="775">
        <f t="shared" si="14"/>
        <v>100</v>
      </c>
      <c r="X33" s="1812"/>
      <c r="Y33" s="3181"/>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1"/>
      <c r="Q34" s="1809">
        <f t="shared" si="11"/>
        <v>111</v>
      </c>
      <c r="R34" s="774" t="s">
        <v>17</v>
      </c>
      <c r="S34" s="775">
        <f t="shared" si="12"/>
        <v>100</v>
      </c>
      <c r="T34" s="774" t="s">
        <v>17</v>
      </c>
      <c r="U34" s="775">
        <f t="shared" si="13"/>
        <v>100</v>
      </c>
      <c r="V34" s="774" t="s">
        <v>17</v>
      </c>
      <c r="W34" s="775">
        <f t="shared" si="14"/>
        <v>100</v>
      </c>
      <c r="X34" s="1812"/>
      <c r="Y34" s="3181"/>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76" t="str">
        <f>A35</f>
        <v>成交单价（元/平方米）</v>
      </c>
      <c r="Q35" s="3176"/>
      <c r="R35" s="3240">
        <f>E35</f>
        <v>0</v>
      </c>
      <c r="S35" s="3240"/>
      <c r="T35" s="3240">
        <f>G35</f>
        <v>0</v>
      </c>
      <c r="U35" s="3240"/>
      <c r="V35" s="3240">
        <f>I35</f>
        <v>0</v>
      </c>
      <c r="W35" s="3240"/>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76" t="str">
        <f>A36</f>
        <v>比较价值（元/平方米）</v>
      </c>
      <c r="Q36" s="3176"/>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70" t="str">
        <f>A37</f>
        <v>估价对象XX用房的比较价值（楼面单价，元/平方米）</v>
      </c>
      <c r="Q37" s="3171"/>
      <c r="R37" s="3239" t="e">
        <f>IF(F1="售价",ROUND(AVERAGE(R36:V36),0),ROUND(AVERAGE(R36:V36),1))</f>
        <v>#DIV/0!</v>
      </c>
      <c r="S37" s="3239"/>
      <c r="T37" s="3239"/>
      <c r="U37" s="3239"/>
      <c r="V37" s="3239"/>
      <c r="W37" s="323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D42" sqref="D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3077</v>
      </c>
      <c r="E1" s="1820" t="s">
        <v>1382</v>
      </c>
      <c r="F1" s="1283">
        <f ca="1">J53</f>
        <v>31.870000000000005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103656</v>
      </c>
      <c r="C2" s="1844" t="s">
        <v>1511</v>
      </c>
      <c r="D2" s="1844"/>
      <c r="E2" s="1845"/>
      <c r="F2" s="1846"/>
      <c r="G2" s="1847"/>
      <c r="H2" s="1839"/>
      <c r="I2" s="1839"/>
      <c r="J2" s="1839"/>
      <c r="K2" s="1840"/>
      <c r="L2" s="1839"/>
      <c r="M2" s="1839"/>
    </row>
    <row r="3" spans="1:37" ht="18" customHeight="1" thickBot="1">
      <c r="A3" s="1848" t="s">
        <v>1512</v>
      </c>
      <c r="B3" s="1849">
        <f ca="1">IF(ISERROR(B2*10000/F43),0,ROUND(B2*10000/F43,0))</f>
        <v>26700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7789</v>
      </c>
      <c r="D5" s="1821" t="s">
        <v>1397</v>
      </c>
      <c r="E5" s="1293"/>
      <c r="F5" s="1294"/>
      <c r="G5" s="1850"/>
      <c r="H5" s="344">
        <v>1</v>
      </c>
      <c r="I5" s="345" t="s">
        <v>1396</v>
      </c>
      <c r="J5" s="1292">
        <f ca="1">J6+J10+J12</f>
        <v>0</v>
      </c>
      <c r="K5" s="1821" t="s">
        <v>1397</v>
      </c>
      <c r="L5" s="1293"/>
      <c r="M5" s="1294"/>
    </row>
    <row r="6" spans="1:37" ht="18" customHeight="1">
      <c r="A6" s="1291" t="s">
        <v>1032</v>
      </c>
      <c r="B6" s="3214" t="s">
        <v>1398</v>
      </c>
      <c r="C6" s="1296">
        <f ca="1">ROUND(F6*F8*F7*(1-F9)/10000,0)</f>
        <v>7779</v>
      </c>
      <c r="D6" s="164" t="s">
        <v>3030</v>
      </c>
      <c r="E6" s="347" t="s">
        <v>1400</v>
      </c>
      <c r="F6" s="348">
        <f ca="1">INDIRECT("'数据-取费表'!u"&amp;$G$1)</f>
        <v>6.1</v>
      </c>
      <c r="G6" s="1850"/>
      <c r="H6" s="1291" t="s">
        <v>1032</v>
      </c>
      <c r="I6" s="3214" t="s">
        <v>1398</v>
      </c>
      <c r="J6" s="346">
        <f ca="1">ROUND(M6*M8*M7*(1-M9)/10000,0)</f>
        <v>0</v>
      </c>
      <c r="K6" s="164" t="s">
        <v>3029</v>
      </c>
      <c r="L6" s="347" t="s">
        <v>1400</v>
      </c>
      <c r="M6" s="348">
        <f ca="1">INDIRECT("'数据-取费表'!z"&amp;$G$1)</f>
        <v>0</v>
      </c>
    </row>
    <row r="7" spans="1:37" ht="18" customHeight="1">
      <c r="A7" s="1295"/>
      <c r="B7" s="3215"/>
      <c r="C7" s="1297"/>
      <c r="D7" s="352"/>
      <c r="E7" s="2955" t="s">
        <v>1401</v>
      </c>
      <c r="F7" s="348">
        <f ca="1">IF(INDIRECT("'数据-取费表'!ah"&amp;$G$1)="",INDIRECT("'数据-取费表'!k"&amp;$G$1),INDIRECT("'数据-取费表'!ah"&amp;$G$1))</f>
        <v>38821.839999999997</v>
      </c>
      <c r="G7" s="1850"/>
      <c r="H7" s="349"/>
      <c r="I7" s="3215"/>
      <c r="J7" s="351"/>
      <c r="K7" s="352"/>
      <c r="L7" s="347" t="s">
        <v>1401</v>
      </c>
      <c r="M7" s="348">
        <f ca="1">F7</f>
        <v>38821.839999999997</v>
      </c>
    </row>
    <row r="8" spans="1:37" ht="18" customHeight="1">
      <c r="A8" s="349"/>
      <c r="B8" s="3215"/>
      <c r="C8" s="351"/>
      <c r="D8" s="352"/>
      <c r="E8" s="347" t="s">
        <v>1402</v>
      </c>
      <c r="F8" s="348">
        <f ca="1">INDIRECT("'数据-取费表'!ai"&amp;$G$1)</f>
        <v>365</v>
      </c>
      <c r="G8" s="1850"/>
      <c r="H8" s="349"/>
      <c r="I8" s="3215"/>
      <c r="J8" s="351"/>
      <c r="K8" s="352"/>
      <c r="L8" s="347" t="s">
        <v>1402</v>
      </c>
      <c r="M8" s="348">
        <f ca="1">INDIRECT("'数据-取费表'!ai"&amp;$G$1)</f>
        <v>365</v>
      </c>
    </row>
    <row r="9" spans="1:37" ht="18" customHeight="1">
      <c r="A9" s="349"/>
      <c r="B9" s="3216"/>
      <c r="C9" s="351"/>
      <c r="D9" s="352"/>
      <c r="E9" s="347" t="s">
        <v>1403</v>
      </c>
      <c r="F9" s="357">
        <f ca="1">INDIRECT("'数据-取费表'!w"&amp;$G$1)</f>
        <v>0.1</v>
      </c>
      <c r="G9" s="1850"/>
      <c r="H9" s="349"/>
      <c r="I9" s="3216"/>
      <c r="J9" s="351"/>
      <c r="K9" s="352"/>
      <c r="L9" s="358" t="s">
        <v>1403</v>
      </c>
      <c r="M9" s="359">
        <f ca="1">INDIRECT("'数据-取费表'!ab"&amp;$G$1)</f>
        <v>0</v>
      </c>
    </row>
    <row r="10" spans="1:37" ht="18" customHeight="1">
      <c r="A10" s="1291" t="s">
        <v>1036</v>
      </c>
      <c r="B10" s="1822" t="s">
        <v>1404</v>
      </c>
      <c r="C10" s="361">
        <f ca="1">ROUND(IF(F10="押一",C6/12*F11,IF(F10="押二",C6/12*2*F11,IF(F10="押三",C6/12*3*F11,C11*F11))),0)</f>
        <v>10</v>
      </c>
      <c r="D10" s="1823" t="s">
        <v>3038</v>
      </c>
      <c r="E10" s="358" t="s">
        <v>1405</v>
      </c>
      <c r="F10" s="1366" t="s">
        <v>3081</v>
      </c>
      <c r="G10" s="1850"/>
      <c r="H10" s="1291" t="s">
        <v>1036</v>
      </c>
      <c r="I10" s="1822" t="s">
        <v>1404</v>
      </c>
      <c r="J10" s="346">
        <f ca="1">ROUND(IF(M10="押一",J6/12*M11,IF(M10="押二",J6/12*2*M11,IF(M10="押三",J6/12*3*M11,J11*M11))),0)</f>
        <v>0</v>
      </c>
      <c r="K10" s="1823" t="s">
        <v>3038</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26642</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16592</v>
      </c>
      <c r="D14" s="2958" t="s">
        <v>1413</v>
      </c>
      <c r="E14" s="2957"/>
      <c r="F14" s="364"/>
      <c r="G14" s="1850"/>
      <c r="H14" s="1201" t="s">
        <v>1032</v>
      </c>
      <c r="I14" s="347" t="s">
        <v>1414</v>
      </c>
      <c r="J14" s="24">
        <f ca="1">C29</f>
        <v>26642</v>
      </c>
      <c r="K14" s="2954"/>
      <c r="L14" s="979"/>
      <c r="M14" s="980"/>
    </row>
    <row r="15" spans="1:37" s="1857" customFormat="1" ht="18" customHeight="1" thickBot="1">
      <c r="A15" s="1201" t="s">
        <v>1033</v>
      </c>
      <c r="B15" s="347" t="s">
        <v>1415</v>
      </c>
      <c r="C15" s="24">
        <f ca="1">ROUND(C14*F15,0)</f>
        <v>498</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624</v>
      </c>
      <c r="K16" s="1337" t="s">
        <v>1420</v>
      </c>
      <c r="L16" s="2960"/>
      <c r="M16" s="1294"/>
    </row>
    <row r="17" spans="1:37" s="1857" customFormat="1" ht="18" customHeight="1">
      <c r="A17" s="1201" t="s">
        <v>1385</v>
      </c>
      <c r="B17" s="347" t="s">
        <v>1421</v>
      </c>
      <c r="C17" s="24">
        <f ca="1">ROUND(F17*(F43+INDIRECT("'数据-取费表'!S"&amp;$G$1))/10000,0)</f>
        <v>861</v>
      </c>
      <c r="D17" s="347" t="s">
        <v>1422</v>
      </c>
      <c r="E17" s="347" t="s">
        <v>1423</v>
      </c>
      <c r="F17" s="26">
        <f>'数据-取费表'!B35</f>
        <v>200</v>
      </c>
      <c r="G17" s="1853"/>
      <c r="H17" s="1201" t="s">
        <v>1032</v>
      </c>
      <c r="I17" s="347" t="s">
        <v>1424</v>
      </c>
      <c r="J17" s="24">
        <f ca="1">ROUND(IF(项目基本情况!B11="自然人",J6*M17/(1+'数据-取费表'!C42),J18+J19+J20),1)</f>
        <v>224.8</v>
      </c>
      <c r="K17" s="2958" t="s">
        <v>1425</v>
      </c>
      <c r="L17" s="2959"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249</v>
      </c>
      <c r="D18" s="347" t="s">
        <v>1416</v>
      </c>
      <c r="E18" s="347" t="s">
        <v>1417</v>
      </c>
      <c r="F18" s="367">
        <f>'数据-取费表'!B36</f>
        <v>1.4999999999999999E-2</v>
      </c>
      <c r="G18" s="1853"/>
      <c r="H18" s="1201" t="s">
        <v>1031</v>
      </c>
      <c r="I18" s="347" t="s">
        <v>1428</v>
      </c>
      <c r="J18" s="24">
        <f ca="1">ROUND(J6*M18/(1+'数据-取费表'!C42),2)</f>
        <v>0</v>
      </c>
      <c r="K18" s="2959"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18200</v>
      </c>
      <c r="D19" s="140" t="s">
        <v>1431</v>
      </c>
      <c r="E19" s="2953"/>
      <c r="F19" s="26"/>
      <c r="G19" s="1850"/>
      <c r="H19" s="1201" t="s">
        <v>1033</v>
      </c>
      <c r="I19" s="347" t="s">
        <v>1432</v>
      </c>
      <c r="J19" s="24">
        <f ca="1">IF(K19="按租金收入计税",ROUND(J6*M19/(1+'数据-取费表'!C42),2),ROUND(C29*M19*0.7,2))</f>
        <v>223.79</v>
      </c>
      <c r="K19" s="1827" t="s">
        <v>1433</v>
      </c>
      <c r="L19" s="347" t="s">
        <v>1417</v>
      </c>
      <c r="M19" s="367">
        <f>IF(K19="按租金收入计税",'数据-取费表'!B51,'数据-取费表'!B50)</f>
        <v>1.2E-2</v>
      </c>
    </row>
    <row r="20" spans="1:37" s="1857" customFormat="1" ht="18" customHeight="1">
      <c r="A20" s="1201" t="s">
        <v>1036</v>
      </c>
      <c r="B20" s="347" t="s">
        <v>1434</v>
      </c>
      <c r="C20" s="24">
        <f ca="1">ROUND(C19*F20,0)</f>
        <v>364</v>
      </c>
      <c r="D20" s="369" t="s">
        <v>1435</v>
      </c>
      <c r="E20" s="347" t="s">
        <v>1417</v>
      </c>
      <c r="F20" s="367">
        <f>'数据-取费表'!B37</f>
        <v>0.02</v>
      </c>
      <c r="G20" s="1853"/>
      <c r="H20" s="1201" t="s">
        <v>1384</v>
      </c>
      <c r="I20" s="164" t="s">
        <v>1436</v>
      </c>
      <c r="J20" s="25">
        <f ca="1">ROUND(M20*M21/10000,2)</f>
        <v>1.05</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7027.15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3"/>
      <c r="F22" s="26"/>
      <c r="G22" s="1850"/>
      <c r="H22" s="1201" t="s">
        <v>1036</v>
      </c>
      <c r="I22" s="347" t="s">
        <v>1444</v>
      </c>
      <c r="J22" s="24">
        <f ca="1">ROUND(J14*M22,1)</f>
        <v>399.6</v>
      </c>
      <c r="K22" s="2959"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1338</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2959" t="s">
        <v>1449</v>
      </c>
      <c r="L23" s="347" t="s">
        <v>1417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f ca="1">ROUND(J5*M24,1)</f>
        <v>0</v>
      </c>
      <c r="K24" s="1342" t="s">
        <v>1454</v>
      </c>
      <c r="L24" s="1340" t="s">
        <v>1417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3"/>
      <c r="F25" s="26"/>
      <c r="G25" s="1850"/>
      <c r="H25" s="1329" t="s">
        <v>1028</v>
      </c>
      <c r="I25" s="1344" t="s">
        <v>1458</v>
      </c>
      <c r="J25" s="355">
        <f ca="1">J5-J16</f>
        <v>-624</v>
      </c>
      <c r="K25" s="1345" t="s">
        <v>1459</v>
      </c>
      <c r="L25" s="1346"/>
      <c r="M25" s="1347"/>
    </row>
    <row r="26" spans="1:37">
      <c r="A26" s="1201" t="s">
        <v>1031</v>
      </c>
      <c r="B26" s="347" t="s">
        <v>1460</v>
      </c>
      <c r="C26" s="24">
        <f ca="1">ROUND((C19+C20)*F26,0)</f>
        <v>4641</v>
      </c>
      <c r="D26" s="369" t="s">
        <v>1461</v>
      </c>
      <c r="E26" s="358" t="s">
        <v>1462</v>
      </c>
      <c r="F26" s="357">
        <f ca="1">INDIRECT("'数据-取费表'!q"&amp;$G$1)</f>
        <v>0.25</v>
      </c>
      <c r="G26" s="1850"/>
      <c r="H26" s="344" t="s">
        <v>1029</v>
      </c>
      <c r="I26" s="345" t="s">
        <v>1463</v>
      </c>
      <c r="J26" s="346">
        <f ca="1">IF(J5&lt;&gt;0,ROUND(J25*(1-((1+M28)/(1+M26))^M27)/(M26-M28),0),0)</f>
        <v>0</v>
      </c>
      <c r="K26" s="370" t="s">
        <v>1464</v>
      </c>
      <c r="L26" s="347" t="s">
        <v>1465</v>
      </c>
      <c r="M26" s="357">
        <f ca="1">INDIRECT("'数据-取费表'!I"&amp;$G$1)</f>
        <v>6.5000000000000002E-2</v>
      </c>
    </row>
    <row r="27" spans="1:37" ht="18" customHeight="1">
      <c r="A27" s="1201" t="s">
        <v>1033</v>
      </c>
      <c r="B27" s="347" t="s">
        <v>1466</v>
      </c>
      <c r="C27" s="24">
        <f ca="1">ROUND(F21*F26,4)</f>
        <v>5.0000000000000001E-3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26642</v>
      </c>
      <c r="D29" s="1342"/>
      <c r="E29" s="1340"/>
      <c r="F29" s="1343"/>
      <c r="G29" s="1853"/>
      <c r="H29" s="380" t="s">
        <v>1030</v>
      </c>
      <c r="I29" s="381" t="s">
        <v>1474</v>
      </c>
      <c r="J29" s="382">
        <f ca="1">ROUND(J26/(1+F40)^F41,0)</f>
        <v>0</v>
      </c>
      <c r="K29" s="383" t="s">
        <v>1475</v>
      </c>
      <c r="L29" s="384"/>
      <c r="M29" s="385">
        <f ca="1">INDIRECT("'数据-取费表'!k"&amp;$G$1)</f>
        <v>38821.839999999997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1906</v>
      </c>
      <c r="D30" s="1337" t="s">
        <v>1420</v>
      </c>
      <c r="E30" s="2960"/>
      <c r="F30" s="1294"/>
      <c r="G30" s="1850"/>
      <c r="H30" s="745"/>
      <c r="I30" s="746"/>
      <c r="J30" s="747"/>
      <c r="K30" s="748"/>
      <c r="L30" s="749"/>
      <c r="M30" s="750"/>
    </row>
    <row r="31" spans="1:37" ht="18" customHeight="1">
      <c r="A31" s="1201" t="s">
        <v>1032</v>
      </c>
      <c r="B31" s="347" t="s">
        <v>1424</v>
      </c>
      <c r="C31" s="24">
        <f ca="1">ROUND(IF(项目基本情况!B11="自然人",C6*F31/(1+'数据-取费表'!C42),C32+C33+C34),1)</f>
        <v>1297.5999999999999</v>
      </c>
      <c r="D31" s="2958" t="s">
        <v>1425</v>
      </c>
      <c r="E31" s="2959"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407.47</v>
      </c>
      <c r="D32" s="2959"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889.03</v>
      </c>
      <c r="D33" s="1827" t="s">
        <v>3078</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1.05</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7027.15</v>
      </c>
      <c r="G35" s="1850"/>
      <c r="H35" s="745"/>
      <c r="I35" s="1859"/>
      <c r="J35" s="1860"/>
      <c r="K35" s="1861"/>
      <c r="L35" s="1858"/>
      <c r="M35" s="1858"/>
    </row>
    <row r="36" spans="1:18" ht="18" customHeight="1">
      <c r="A36" s="1352" t="s">
        <v>1036</v>
      </c>
      <c r="B36" s="347" t="s">
        <v>1444</v>
      </c>
      <c r="C36" s="24">
        <f ca="1">ROUND(C29*F36,1)</f>
        <v>399.6</v>
      </c>
      <c r="D36" s="2959"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53.3</v>
      </c>
      <c r="D37" s="2959" t="s">
        <v>1449</v>
      </c>
      <c r="E37" s="347" t="s">
        <v>1417</v>
      </c>
      <c r="F37" s="376">
        <f ca="1">INDIRECT("'数据-取费表'!Al"&amp;$G$1)</f>
        <v>2E-3</v>
      </c>
      <c r="G37" s="1850"/>
      <c r="H37" s="1858"/>
      <c r="I37" s="1859"/>
      <c r="J37" s="1860"/>
      <c r="K37" s="751"/>
      <c r="L37" s="1858"/>
      <c r="M37" s="1858"/>
    </row>
    <row r="38" spans="1:18" ht="18" customHeight="1" thickBot="1">
      <c r="A38" s="1339" t="s">
        <v>1387</v>
      </c>
      <c r="B38" s="1340" t="s">
        <v>1434</v>
      </c>
      <c r="C38" s="1341">
        <f ca="1">ROUND(C5*F38,1)</f>
        <v>155.80000000000001</v>
      </c>
      <c r="D38" s="1342" t="s">
        <v>1454</v>
      </c>
      <c r="E38" s="1340" t="s">
        <v>1417</v>
      </c>
      <c r="F38" s="1336">
        <f ca="1">INDIRECT("'数据-取费表'!Am"&amp;$G$1)</f>
        <v>0.02</v>
      </c>
      <c r="G38" s="1850"/>
      <c r="H38" s="1858"/>
      <c r="I38" s="1859"/>
      <c r="J38" s="1860"/>
      <c r="K38" s="1864"/>
      <c r="L38" s="1858"/>
      <c r="M38" s="1858"/>
    </row>
    <row r="39" spans="1:18" ht="24.6" customHeight="1" thickTop="1">
      <c r="A39" s="1329" t="s">
        <v>1028</v>
      </c>
      <c r="B39" s="1344" t="s">
        <v>1458</v>
      </c>
      <c r="C39" s="355">
        <f ca="1">C5-C30</f>
        <v>5883</v>
      </c>
      <c r="D39" s="1345" t="s">
        <v>1459</v>
      </c>
      <c r="E39" s="1346"/>
      <c r="F39" s="1347"/>
      <c r="G39" s="1850"/>
      <c r="H39" s="1858"/>
      <c r="I39" s="1859"/>
      <c r="J39" s="1860"/>
      <c r="K39" s="1864"/>
      <c r="L39" s="1858"/>
      <c r="M39" s="1858"/>
    </row>
    <row r="40" spans="1:18" ht="18" customHeight="1">
      <c r="A40" s="344" t="s">
        <v>1029</v>
      </c>
      <c r="B40" s="345" t="s">
        <v>1480</v>
      </c>
      <c r="C40" s="346">
        <f ca="1">ROUND(C39*(1-((1+F42)/(1+F40))^F41)/(F40-F42),0)</f>
        <v>103656</v>
      </c>
      <c r="D40" s="370" t="s">
        <v>1464</v>
      </c>
      <c r="E40" s="347" t="s">
        <v>1465</v>
      </c>
      <c r="F40" s="357">
        <f ca="1">INDIRECT("'数据-取费表'!I"&amp;$G$1)</f>
        <v>6.5000000000000002E-2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31.870000000000005</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ROUND(C40*10000/F43,0)</f>
        <v>26700</v>
      </c>
      <c r="D43" s="383" t="s">
        <v>1483</v>
      </c>
      <c r="E43" s="384" t="s">
        <v>1484</v>
      </c>
      <c r="F43" s="385">
        <f ca="1">INDIRECT("'数据-取费表'!k"&amp;$G$1)</f>
        <v>38821.839999999997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-139506</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3079</v>
      </c>
      <c r="K47" s="1881" t="s">
        <v>1522</v>
      </c>
      <c r="L47" s="1882">
        <f ca="1">INDIRECT("'数据-取费表'!d"&amp;$G$1)</f>
        <v>40</v>
      </c>
      <c r="M47" s="1837" t="str">
        <f>IF(ISNUMBER(FIND("住宅",C1)),"住宅","非住宅")</f>
        <v>非住宅</v>
      </c>
      <c r="O47" s="1883" t="s">
        <v>1037</v>
      </c>
      <c r="P47" s="1884" t="s">
        <v>1523</v>
      </c>
      <c r="Q47" s="1885">
        <f ca="1">C40+J29</f>
        <v>103656</v>
      </c>
      <c r="R47" s="1885" t="s">
        <v>1524</v>
      </c>
    </row>
    <row r="48" spans="1:18" s="1841" customFormat="1" ht="28.5" thickBot="1">
      <c r="A48" s="1360" t="s">
        <v>1132</v>
      </c>
      <c r="B48" s="345" t="s">
        <v>1396</v>
      </c>
      <c r="C48" s="2952">
        <f ca="1">C49+C53+C55</f>
        <v>0</v>
      </c>
      <c r="D48" s="1362"/>
      <c r="E48" s="1363"/>
      <c r="F48" s="1181"/>
      <c r="G48" s="792"/>
      <c r="H48" s="793"/>
      <c r="I48" s="1886" t="s">
        <v>1525</v>
      </c>
      <c r="J48" s="1887" t="s">
        <v>3080</v>
      </c>
      <c r="K48" s="1888" t="s">
        <v>1526</v>
      </c>
      <c r="L48" s="1889">
        <f ca="1">INDIRECT("'数据-取费表'!f"&amp;$G$1)</f>
        <v>33.520000000000003</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3029</v>
      </c>
      <c r="E49" s="1829" t="s">
        <v>1486</v>
      </c>
      <c r="F49" s="1281"/>
      <c r="G49" s="1890"/>
      <c r="H49" s="793"/>
      <c r="I49" s="1886" t="s">
        <v>1529</v>
      </c>
      <c r="J49" s="1891">
        <v>2020</v>
      </c>
      <c r="K49" s="1888" t="s">
        <v>1530</v>
      </c>
      <c r="L49" s="1892"/>
      <c r="O49" s="1893" t="s">
        <v>1039</v>
      </c>
      <c r="P49" s="1884" t="s">
        <v>1531</v>
      </c>
      <c r="Q49" s="1885">
        <f ca="1">C29</f>
        <v>26642</v>
      </c>
      <c r="R49" s="1885" t="s">
        <v>1524</v>
      </c>
    </row>
    <row r="50" spans="1:18" s="1841" customFormat="1" ht="13.5" thickBot="1">
      <c r="A50" s="1195"/>
      <c r="B50" s="1198"/>
      <c r="C50" s="1368"/>
      <c r="D50" s="1172"/>
      <c r="E50" s="1277" t="s">
        <v>1401</v>
      </c>
      <c r="F50" s="1278">
        <f ca="1">F7</f>
        <v>38821.839999999997</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61</v>
      </c>
      <c r="K51" s="1899" t="s">
        <v>1536</v>
      </c>
      <c r="L51" s="1900">
        <f ca="1">ROUND(-PV(INDIRECT("'数据-取费表'!h"&amp;$G$1),L48,(C39-C13*C76),0),0)</f>
        <v>54857</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31.870000000000005</v>
      </c>
      <c r="R52" s="1885" t="s">
        <v>1541</v>
      </c>
    </row>
    <row r="53" spans="1:18" s="1841" customFormat="1" ht="24.75" thickBot="1">
      <c r="A53" s="1405" t="s">
        <v>1134</v>
      </c>
      <c r="B53" s="1830" t="s">
        <v>1404</v>
      </c>
      <c r="C53" s="361">
        <f ca="1">ROUND(IF(F53="押一",C49/12*F11,IF(F53="押二",C49/12*2*F11,IF(F53="押三",C49/12*3*F11,C54*F11))),0)</f>
        <v>0</v>
      </c>
      <c r="D53" s="1823" t="s">
        <v>3038</v>
      </c>
      <c r="E53" s="358" t="s">
        <v>1405</v>
      </c>
      <c r="F53" s="1366"/>
      <c r="I53" s="1904" t="s">
        <v>1542</v>
      </c>
      <c r="J53" s="2950">
        <f ca="1">IF(M47="住宅",IF(D1="——",MAX(J51,L48),MAX(J51,L48-'数据-取费表'!B24)),IF(D1="——",MIN(J51,L48),MIN(J51,L48-'数据-取费表'!B24)))</f>
        <v>31.870000000000005</v>
      </c>
      <c r="K53" s="3212" t="s">
        <v>1543</v>
      </c>
      <c r="L53" s="3213"/>
      <c r="O53" s="1883" t="s">
        <v>1043</v>
      </c>
      <c r="P53" s="1884" t="s">
        <v>1544</v>
      </c>
      <c r="Q53" s="1885">
        <f ca="1">Q47+Q48</f>
        <v>103656</v>
      </c>
      <c r="R53" s="1885" t="s">
        <v>1044</v>
      </c>
    </row>
    <row r="54" spans="1:18" s="1841" customFormat="1" ht="13.5" thickBot="1">
      <c r="A54" s="1406"/>
      <c r="B54" s="1824" t="s">
        <v>1383</v>
      </c>
      <c r="C54" s="1178"/>
      <c r="D54" s="1823"/>
      <c r="E54" s="2956"/>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26642</v>
      </c>
      <c r="D56" s="1912"/>
      <c r="E56" s="1913"/>
      <c r="F56" s="1905"/>
      <c r="I56" s="1914" t="s">
        <v>1549</v>
      </c>
      <c r="J56" s="1915" t="s">
        <v>3063</v>
      </c>
      <c r="K56" s="1886" t="s">
        <v>1550</v>
      </c>
      <c r="L56" s="1889" t="str">
        <f ca="1">IF(L48&lt;J51,"——",L48-J53)</f>
        <v>——</v>
      </c>
      <c r="O56" s="1883" t="s">
        <v>1037</v>
      </c>
      <c r="P56" s="1884" t="s">
        <v>1523</v>
      </c>
      <c r="Q56" s="1885">
        <f ca="1">C40+J29</f>
        <v>103656</v>
      </c>
      <c r="R56" s="1885" t="s">
        <v>1524</v>
      </c>
    </row>
    <row r="57" spans="1:18" s="1841" customFormat="1" ht="24.75" thickBot="1">
      <c r="A57" s="1916"/>
      <c r="B57" s="1169" t="s">
        <v>1473</v>
      </c>
      <c r="C57" s="282">
        <f ca="1">C29</f>
        <v>26642</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2692</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2239</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1432</v>
      </c>
      <c r="C61" s="24">
        <f ca="1">IF(项目基本情况!B11="自然人","——",IF(D61="按租金收入计税",ROUND(C48*F61,2),IF(D61="按房产原值计税",ROUND(C57*F61*0.7,2),INDIRECT("'数据-取费表'!Aj"&amp;$G$1))))</f>
        <v>2237.9299999999998</v>
      </c>
      <c r="D61" s="1827" t="s">
        <v>1433</v>
      </c>
      <c r="E61" s="1169" t="s">
        <v>1417</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1436</v>
      </c>
      <c r="C62" s="25">
        <f ca="1">IF(项目基本情况!B11="自然人","——",ROUND(F62*F63/10000,2))</f>
        <v>1.05</v>
      </c>
      <c r="D62" s="1184" t="s">
        <v>1437</v>
      </c>
      <c r="E62" s="1169" t="s">
        <v>1438</v>
      </c>
      <c r="F62" s="371">
        <f t="shared" si="0"/>
        <v>1.5</v>
      </c>
      <c r="I62" s="1927" t="s">
        <v>1565</v>
      </c>
      <c r="J62" s="1928" t="s">
        <v>1566</v>
      </c>
      <c r="K62" s="1928" t="s">
        <v>1567</v>
      </c>
      <c r="L62" s="1928" t="s">
        <v>1568</v>
      </c>
      <c r="M62" s="1929" t="s">
        <v>1569</v>
      </c>
      <c r="O62" s="1883" t="s">
        <v>1043</v>
      </c>
      <c r="P62" s="1884" t="s">
        <v>1544</v>
      </c>
      <c r="Q62" s="1885">
        <f ca="1">Q56+Q57</f>
        <v>103656</v>
      </c>
      <c r="R62" s="1885" t="s">
        <v>1044</v>
      </c>
    </row>
    <row r="63" spans="1:18" s="1841" customFormat="1" ht="13.5" thickBot="1">
      <c r="A63" s="372"/>
      <c r="B63" s="1175"/>
      <c r="C63" s="29"/>
      <c r="D63" s="1185"/>
      <c r="E63" s="1169" t="s">
        <v>1442</v>
      </c>
      <c r="F63" s="348">
        <f t="shared" ca="1" si="0"/>
        <v>7027.15</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f ca="1">ROUND(C57*F64,1)</f>
        <v>399.6</v>
      </c>
      <c r="D64" s="1183" t="s">
        <v>1477</v>
      </c>
      <c r="E64" s="1169" t="s">
        <v>1417</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53.3</v>
      </c>
      <c r="D65" s="1183" t="s">
        <v>1449</v>
      </c>
      <c r="E65" s="1169" t="s">
        <v>1417</v>
      </c>
      <c r="F65" s="376">
        <f t="shared" ca="1" si="0"/>
        <v>2E-3</v>
      </c>
      <c r="I65" s="1927" t="s">
        <v>1574</v>
      </c>
      <c r="J65" s="1928">
        <v>40</v>
      </c>
      <c r="K65" s="1928">
        <v>30</v>
      </c>
      <c r="L65" s="1928">
        <v>50</v>
      </c>
      <c r="M65" s="1930">
        <v>0.02</v>
      </c>
      <c r="O65" s="1883" t="s">
        <v>1037</v>
      </c>
      <c r="P65" s="1884" t="s">
        <v>1523</v>
      </c>
      <c r="Q65" s="1885">
        <f ca="1">C40+J29</f>
        <v>103656</v>
      </c>
      <c r="R65" s="1885" t="s">
        <v>1524</v>
      </c>
    </row>
    <row r="66" spans="1:18" s="1841" customFormat="1" ht="16.5" thickBot="1">
      <c r="A66" s="1201" t="s">
        <v>1499</v>
      </c>
      <c r="B66" s="1169" t="s">
        <v>1434</v>
      </c>
      <c r="C66" s="24">
        <f ca="1">ROUND(C48*F66,1)</f>
        <v>0</v>
      </c>
      <c r="D66" s="1183" t="s">
        <v>1454</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-2692</v>
      </c>
      <c r="D67" s="1182" t="s">
        <v>1459</v>
      </c>
      <c r="E67" s="1187"/>
      <c r="F67" s="1188"/>
      <c r="O67" s="1893" t="s">
        <v>1039</v>
      </c>
      <c r="P67" s="1884" t="s">
        <v>1557</v>
      </c>
      <c r="Q67" s="1931">
        <f ca="1">L51</f>
        <v>54857</v>
      </c>
      <c r="R67" s="1885" t="s">
        <v>1577</v>
      </c>
    </row>
    <row r="68" spans="1:18" s="1841" customFormat="1" ht="16.5" thickBot="1">
      <c r="A68" s="1166" t="s">
        <v>1029</v>
      </c>
      <c r="B68" s="1167" t="s">
        <v>1480</v>
      </c>
      <c r="C68" s="346">
        <f ca="1">ROUND(C67*(1-((1+F70)/(1+F68))^F69)/(F68-F70),0)</f>
        <v>-35850</v>
      </c>
      <c r="D68" s="1184" t="s">
        <v>1464</v>
      </c>
      <c r="E68" s="1169" t="s">
        <v>1465</v>
      </c>
      <c r="F68" s="357">
        <f ca="1">F40</f>
        <v>6.5000000000000002E-2</v>
      </c>
      <c r="O68" s="1893" t="s">
        <v>1040</v>
      </c>
      <c r="P68" s="1932" t="s">
        <v>1578</v>
      </c>
      <c r="Q68" s="1885">
        <f ca="1">ROUND(Q69-Q70*Q71,0)</f>
        <v>3618</v>
      </c>
      <c r="R68" s="1885" t="s">
        <v>1048</v>
      </c>
    </row>
    <row r="69" spans="1:18" s="1841" customFormat="1" ht="13.5" thickBot="1">
      <c r="A69" s="1170"/>
      <c r="B69" s="1171"/>
      <c r="C69" s="351"/>
      <c r="D69" s="1189" t="s">
        <v>1468</v>
      </c>
      <c r="E69" s="1169" t="s">
        <v>1469</v>
      </c>
      <c r="F69" s="379">
        <f ca="1">F41</f>
        <v>31.870000000000005</v>
      </c>
      <c r="O69" s="1893" t="s">
        <v>1045</v>
      </c>
      <c r="P69" s="1932" t="s">
        <v>1579</v>
      </c>
      <c r="Q69" s="1885">
        <f ca="1">C39</f>
        <v>5883</v>
      </c>
      <c r="R69" s="1885" t="s">
        <v>1524</v>
      </c>
    </row>
    <row r="70" spans="1:18" s="1841" customFormat="1" ht="13.5" thickBot="1">
      <c r="A70" s="1173"/>
      <c r="B70" s="1174"/>
      <c r="C70" s="355"/>
      <c r="D70" s="1185"/>
      <c r="E70" s="1169" t="s">
        <v>1472</v>
      </c>
      <c r="F70" s="1275"/>
      <c r="O70" s="1893" t="s">
        <v>1046</v>
      </c>
      <c r="P70" s="1932" t="s">
        <v>1580</v>
      </c>
      <c r="Q70" s="1885">
        <f ca="1">C13</f>
        <v>26642</v>
      </c>
      <c r="R70" s="1885" t="s">
        <v>1524</v>
      </c>
    </row>
    <row r="71" spans="1:18" s="1841" customFormat="1" ht="13.5" thickBot="1">
      <c r="A71" s="1190" t="s">
        <v>1030</v>
      </c>
      <c r="B71" s="1191" t="s">
        <v>1482</v>
      </c>
      <c r="C71" s="382">
        <f ca="1">ROUND(C68*10000/F71,0)</f>
        <v>-9234</v>
      </c>
      <c r="D71" s="1192" t="s">
        <v>1483</v>
      </c>
      <c r="E71" s="1193" t="s">
        <v>1484</v>
      </c>
      <c r="F71" s="385">
        <f ca="1">F43</f>
        <v>38821.839999999997</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2265</v>
      </c>
      <c r="D75" s="1841"/>
      <c r="E75" s="1841"/>
      <c r="F75" s="1841"/>
      <c r="K75" s="1867"/>
      <c r="L75" s="1841"/>
      <c r="O75" s="1883" t="s">
        <v>1043</v>
      </c>
      <c r="P75" s="1884" t="s">
        <v>1544</v>
      </c>
      <c r="Q75" s="1885">
        <f ca="1">Q65+Q66</f>
        <v>103656</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0.61499999999999999</v>
      </c>
    </row>
    <row r="80" spans="1:18">
      <c r="B80" s="386" t="s">
        <v>1506</v>
      </c>
      <c r="C80" s="318">
        <f ca="1">ROUND(C75/C39,3)</f>
        <v>0.38500000000000001</v>
      </c>
    </row>
    <row r="81" spans="2:3">
      <c r="B81" s="314" t="s">
        <v>1507</v>
      </c>
      <c r="C81" s="282"/>
    </row>
    <row r="82" spans="2:3">
      <c r="B82" s="317" t="s">
        <v>1508</v>
      </c>
      <c r="C82" s="319">
        <f ca="1">1-C83</f>
        <v>0.74299999999999999</v>
      </c>
    </row>
    <row r="83" spans="2:3">
      <c r="B83" s="317" t="s">
        <v>1509</v>
      </c>
      <c r="C83" s="318">
        <f ca="1">ROUND(C13/C40,3)</f>
        <v>0.25700000000000001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25" sqref="C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3069</v>
      </c>
      <c r="D1" s="1819" t="s">
        <v>3077</v>
      </c>
      <c r="E1" s="1820" t="s">
        <v>1382</v>
      </c>
      <c r="F1" s="1283">
        <f ca="1">J53</f>
        <v>41.870000000000005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4369</v>
      </c>
      <c r="C2" s="1844" t="s">
        <v>1511</v>
      </c>
      <c r="D2" s="1844"/>
      <c r="E2" s="1845"/>
      <c r="F2" s="1846"/>
      <c r="G2" s="1847"/>
      <c r="H2" s="1839"/>
      <c r="I2" s="1839"/>
      <c r="J2" s="1839"/>
      <c r="K2" s="1840"/>
      <c r="L2" s="1839"/>
      <c r="M2" s="1839"/>
    </row>
    <row r="3" spans="1:37" ht="18" customHeight="1" thickBot="1">
      <c r="A3" s="1848" t="s">
        <v>1512</v>
      </c>
      <c r="B3" s="1849">
        <f ca="1">IF(ISERROR(B2*10000/F43),0,ROUND(B2*10000/F43,0))</f>
        <v>2345</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485</v>
      </c>
      <c r="D5" s="1821" t="s">
        <v>1397</v>
      </c>
      <c r="E5" s="1293"/>
      <c r="F5" s="1294"/>
      <c r="G5" s="1850"/>
      <c r="H5" s="344">
        <v>1</v>
      </c>
      <c r="I5" s="345" t="s">
        <v>1396</v>
      </c>
      <c r="J5" s="1292">
        <f ca="1">J6+J10+J12</f>
        <v>0</v>
      </c>
      <c r="K5" s="1821" t="s">
        <v>1397</v>
      </c>
      <c r="L5" s="1293"/>
      <c r="M5" s="1294"/>
    </row>
    <row r="6" spans="1:37" ht="18" customHeight="1">
      <c r="A6" s="1291" t="s">
        <v>1032</v>
      </c>
      <c r="B6" s="3214" t="s">
        <v>1398</v>
      </c>
      <c r="C6" s="1296">
        <f ca="1">ROUND(F6*F8*F7*(1-F9)/10000,0)</f>
        <v>485</v>
      </c>
      <c r="D6" s="164" t="s">
        <v>3030</v>
      </c>
      <c r="E6" s="347" t="s">
        <v>1400</v>
      </c>
      <c r="F6" s="348">
        <f ca="1">INDIRECT("'数据-取费表'!u"&amp;$G$1)</f>
        <v>800</v>
      </c>
      <c r="G6" s="1850"/>
      <c r="H6" s="1291" t="s">
        <v>1032</v>
      </c>
      <c r="I6" s="3214" t="s">
        <v>1398</v>
      </c>
      <c r="J6" s="346">
        <f ca="1">ROUND(M6*M8*M7*(1-M9)/10000,0)</f>
        <v>0</v>
      </c>
      <c r="K6" s="164" t="s">
        <v>3029</v>
      </c>
      <c r="L6" s="347" t="s">
        <v>1400</v>
      </c>
      <c r="M6" s="348">
        <f ca="1">INDIRECT("'数据-取费表'!z"&amp;$G$1)</f>
        <v>0</v>
      </c>
    </row>
    <row r="7" spans="1:37" ht="18" customHeight="1">
      <c r="A7" s="1295"/>
      <c r="B7" s="3215"/>
      <c r="C7" s="1297"/>
      <c r="D7" s="352"/>
      <c r="E7" s="2955" t="s">
        <v>1401</v>
      </c>
      <c r="F7" s="348">
        <f ca="1">IF(INDIRECT("'数据-取费表'!ah"&amp;$G$1)="",INDIRECT("'数据-取费表'!k"&amp;$G$1),INDIRECT("'数据-取费表'!ah"&amp;$G$1))</f>
        <v>532</v>
      </c>
      <c r="G7" s="1850"/>
      <c r="H7" s="349"/>
      <c r="I7" s="3215"/>
      <c r="J7" s="351"/>
      <c r="K7" s="352"/>
      <c r="L7" s="347" t="s">
        <v>1401</v>
      </c>
      <c r="M7" s="348">
        <f ca="1">F7</f>
        <v>532</v>
      </c>
    </row>
    <row r="8" spans="1:37" ht="18" customHeight="1">
      <c r="A8" s="349"/>
      <c r="B8" s="3215"/>
      <c r="C8" s="351"/>
      <c r="D8" s="352"/>
      <c r="E8" s="347" t="s">
        <v>1402</v>
      </c>
      <c r="F8" s="348">
        <f ca="1">INDIRECT("'数据-取费表'!ai"&amp;$G$1)</f>
        <v>12</v>
      </c>
      <c r="G8" s="1850"/>
      <c r="H8" s="349"/>
      <c r="I8" s="3215"/>
      <c r="J8" s="351"/>
      <c r="K8" s="352"/>
      <c r="L8" s="347" t="s">
        <v>1402</v>
      </c>
      <c r="M8" s="348">
        <f ca="1">INDIRECT("'数据-取费表'!ai"&amp;$G$1)</f>
        <v>12</v>
      </c>
    </row>
    <row r="9" spans="1:37" ht="18" customHeight="1">
      <c r="A9" s="349"/>
      <c r="B9" s="3216"/>
      <c r="C9" s="351"/>
      <c r="D9" s="352"/>
      <c r="E9" s="347" t="s">
        <v>1403</v>
      </c>
      <c r="F9" s="357">
        <f ca="1">INDIRECT("'数据-取费表'!w"&amp;$G$1)</f>
        <v>0.05</v>
      </c>
      <c r="G9" s="1850"/>
      <c r="H9" s="349"/>
      <c r="I9" s="3216"/>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3038</v>
      </c>
      <c r="E10" s="358" t="s">
        <v>1405</v>
      </c>
      <c r="F10" s="1366" t="s">
        <v>3082</v>
      </c>
      <c r="G10" s="1850"/>
      <c r="H10" s="1291" t="s">
        <v>1036</v>
      </c>
      <c r="I10" s="1822" t="s">
        <v>1404</v>
      </c>
      <c r="J10" s="346">
        <f ca="1">ROUND(IF(M10="押一",J6/12*M11,IF(M10="押二",J6/12*2*M11,IF(M10="押三",J6/12*3*M11,J11*M11))),0)</f>
        <v>0</v>
      </c>
      <c r="K10" s="1823" t="s">
        <v>3038</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8778</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6099</v>
      </c>
      <c r="D14" s="2958" t="s">
        <v>1413</v>
      </c>
      <c r="E14" s="2957"/>
      <c r="F14" s="364"/>
      <c r="G14" s="1850"/>
      <c r="H14" s="1201" t="s">
        <v>1032</v>
      </c>
      <c r="I14" s="347" t="s">
        <v>1414</v>
      </c>
      <c r="J14" s="24">
        <f ca="1">C29</f>
        <v>8778</v>
      </c>
      <c r="K14" s="2954"/>
      <c r="L14" s="979"/>
      <c r="M14" s="980"/>
    </row>
    <row r="15" spans="1:37" s="1857" customFormat="1" ht="18" customHeight="1" thickBot="1">
      <c r="A15" s="1201" t="s">
        <v>1033</v>
      </c>
      <c r="B15" s="347" t="s">
        <v>1415</v>
      </c>
      <c r="C15" s="24">
        <f ca="1">ROUND(C14*F15,0)</f>
        <v>183</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206</v>
      </c>
      <c r="K16" s="1337" t="s">
        <v>1420</v>
      </c>
      <c r="L16" s="2960"/>
      <c r="M16" s="1294"/>
    </row>
    <row r="17" spans="1:37" s="1857" customFormat="1" ht="18" customHeight="1">
      <c r="A17" s="1201" t="s">
        <v>1385</v>
      </c>
      <c r="B17" s="347" t="s">
        <v>1421</v>
      </c>
      <c r="C17" s="24">
        <f ca="1">ROUND(F17*(F43+INDIRECT("'数据-取费表'!S"&amp;$G$1))/10000,0)</f>
        <v>413</v>
      </c>
      <c r="D17" s="347" t="s">
        <v>1422</v>
      </c>
      <c r="E17" s="347" t="s">
        <v>1423</v>
      </c>
      <c r="F17" s="26">
        <f>'数据-取费表'!B35</f>
        <v>200</v>
      </c>
      <c r="G17" s="1853"/>
      <c r="H17" s="1201" t="s">
        <v>1032</v>
      </c>
      <c r="I17" s="347" t="s">
        <v>1424</v>
      </c>
      <c r="J17" s="24">
        <f ca="1">ROUND(IF(项目基本情况!B11="自然人",J6*M17/(1+'数据-取费表'!C42),J18+J19+J20),1)</f>
        <v>74.3</v>
      </c>
      <c r="K17" s="2958" t="s">
        <v>1425</v>
      </c>
      <c r="L17" s="2959"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91</v>
      </c>
      <c r="D18" s="347" t="s">
        <v>1416</v>
      </c>
      <c r="E18" s="347" t="s">
        <v>1417</v>
      </c>
      <c r="F18" s="367">
        <f>'数据-取费表'!B36</f>
        <v>1.4999999999999999E-2</v>
      </c>
      <c r="G18" s="1853"/>
      <c r="H18" s="1201" t="s">
        <v>1031</v>
      </c>
      <c r="I18" s="347" t="s">
        <v>1428</v>
      </c>
      <c r="J18" s="24">
        <f ca="1">ROUND(J6*M18/(1+'数据-取费表'!C42),2)</f>
        <v>0</v>
      </c>
      <c r="K18" s="2959"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6786</v>
      </c>
      <c r="D19" s="140" t="s">
        <v>1431</v>
      </c>
      <c r="E19" s="2953"/>
      <c r="F19" s="26"/>
      <c r="G19" s="1850"/>
      <c r="H19" s="1201" t="s">
        <v>1033</v>
      </c>
      <c r="I19" s="347" t="s">
        <v>1432</v>
      </c>
      <c r="J19" s="24">
        <f ca="1">IF(K19="按租金收入计税",ROUND(J6*M19/(1+'数据-取费表'!C42),2),ROUND(C29*M19*0.7,2))</f>
        <v>73.739999999999995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136</v>
      </c>
      <c r="D20" s="369" t="s">
        <v>1435</v>
      </c>
      <c r="E20" s="347" t="s">
        <v>1417</v>
      </c>
      <c r="F20" s="367">
        <f>'数据-取费表'!B37</f>
        <v>0.02</v>
      </c>
      <c r="G20" s="1853"/>
      <c r="H20" s="1201" t="s">
        <v>1384</v>
      </c>
      <c r="I20" s="164" t="s">
        <v>1436</v>
      </c>
      <c r="J20" s="25">
        <f ca="1">ROUND(M20*M21/10000,2)</f>
        <v>0.51</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3372.5099999999998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3"/>
      <c r="F22" s="26"/>
      <c r="G22" s="1850"/>
      <c r="H22" s="1201" t="s">
        <v>1036</v>
      </c>
      <c r="I22" s="347" t="s">
        <v>1444</v>
      </c>
      <c r="J22" s="24">
        <f ca="1">ROUND(J14*M22,1)</f>
        <v>131.69999999999999</v>
      </c>
      <c r="K22" s="2959"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499</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2959" t="s">
        <v>1449</v>
      </c>
      <c r="L23" s="347" t="s">
        <v>1417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f ca="1">ROUND(J5*M24,1)</f>
        <v>0</v>
      </c>
      <c r="K24" s="1342" t="s">
        <v>1454</v>
      </c>
      <c r="L24" s="1340" t="s">
        <v>1417</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3"/>
      <c r="F25" s="26"/>
      <c r="G25" s="1850"/>
      <c r="H25" s="1329" t="s">
        <v>1028</v>
      </c>
      <c r="I25" s="1344" t="s">
        <v>1458</v>
      </c>
      <c r="J25" s="355">
        <f ca="1">J5-J16</f>
        <v>-206</v>
      </c>
      <c r="K25" s="1345" t="s">
        <v>1459</v>
      </c>
      <c r="L25" s="1346"/>
      <c r="M25" s="1347"/>
    </row>
    <row r="26" spans="1:37">
      <c r="A26" s="1201" t="s">
        <v>1031</v>
      </c>
      <c r="B26" s="347" t="s">
        <v>1460</v>
      </c>
      <c r="C26" s="24">
        <f ca="1">ROUND((C19+C20)*F26,0)</f>
        <v>692</v>
      </c>
      <c r="D26" s="369" t="s">
        <v>1461</v>
      </c>
      <c r="E26" s="358" t="s">
        <v>1462</v>
      </c>
      <c r="F26" s="357">
        <f ca="1">INDIRECT("'数据-取费表'!q"&amp;$G$1)</f>
        <v>0.1</v>
      </c>
      <c r="G26" s="1850"/>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2E-3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8778</v>
      </c>
      <c r="D29" s="1342"/>
      <c r="E29" s="1340"/>
      <c r="F29" s="1343"/>
      <c r="G29" s="1853"/>
      <c r="H29" s="380" t="s">
        <v>1030</v>
      </c>
      <c r="I29" s="381" t="s">
        <v>1474</v>
      </c>
      <c r="J29" s="382">
        <f ca="1">ROUND(J26/(1+F40)^F41,0)</f>
        <v>0</v>
      </c>
      <c r="K29" s="383" t="s">
        <v>1475</v>
      </c>
      <c r="L29" s="384"/>
      <c r="M29" s="385">
        <f ca="1">INDIRECT("'数据-取费表'!k"&amp;$G$1)</f>
        <v>18631.560000000001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234</v>
      </c>
      <c r="D30" s="1337" t="s">
        <v>1420</v>
      </c>
      <c r="E30" s="2960"/>
      <c r="F30" s="1294"/>
      <c r="G30" s="1850"/>
      <c r="H30" s="745"/>
      <c r="I30" s="746"/>
      <c r="J30" s="747"/>
      <c r="K30" s="748"/>
      <c r="L30" s="749"/>
      <c r="M30" s="750"/>
    </row>
    <row r="31" spans="1:37" ht="18" customHeight="1">
      <c r="A31" s="1201" t="s">
        <v>1032</v>
      </c>
      <c r="B31" s="347" t="s">
        <v>1424</v>
      </c>
      <c r="C31" s="24">
        <f ca="1">ROUND(IF(项目基本情况!B11="自然人",C6*F31/(1+'数据-取费表'!C42),C32+C33+C34),1)</f>
        <v>81.3</v>
      </c>
      <c r="D31" s="2958" t="s">
        <v>1425</v>
      </c>
      <c r="E31" s="2959"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25.4</v>
      </c>
      <c r="D32" s="2959"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55.43</v>
      </c>
      <c r="D33" s="1827" t="s">
        <v>3078</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0.51</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3372.5099999999998</v>
      </c>
      <c r="G35" s="1850"/>
      <c r="H35" s="745"/>
      <c r="I35" s="1859"/>
      <c r="J35" s="1860"/>
      <c r="K35" s="1861"/>
      <c r="L35" s="1858"/>
      <c r="M35" s="1858"/>
    </row>
    <row r="36" spans="1:18" ht="18" customHeight="1">
      <c r="A36" s="1352" t="s">
        <v>1036</v>
      </c>
      <c r="B36" s="347" t="s">
        <v>1444</v>
      </c>
      <c r="C36" s="24">
        <f ca="1">ROUND(C29*F36,1)</f>
        <v>131.69999999999999</v>
      </c>
      <c r="D36" s="2959"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13.2</v>
      </c>
      <c r="D37" s="2959" t="s">
        <v>1449</v>
      </c>
      <c r="E37" s="347" t="s">
        <v>1417</v>
      </c>
      <c r="F37" s="376">
        <f ca="1">INDIRECT("'数据-取费表'!Al"&amp;$G$1)</f>
        <v>1.5E-3</v>
      </c>
      <c r="G37" s="1850"/>
      <c r="H37" s="1858"/>
      <c r="I37" s="1859"/>
      <c r="J37" s="1860"/>
      <c r="K37" s="751"/>
      <c r="L37" s="1858"/>
      <c r="M37" s="1858"/>
    </row>
    <row r="38" spans="1:18" ht="18" customHeight="1" thickBot="1">
      <c r="A38" s="1339" t="s">
        <v>1387</v>
      </c>
      <c r="B38" s="1340" t="s">
        <v>1434</v>
      </c>
      <c r="C38" s="1341">
        <f ca="1">ROUND(C5*F38,1)</f>
        <v>7.3</v>
      </c>
      <c r="D38" s="1342" t="s">
        <v>1454</v>
      </c>
      <c r="E38" s="1340" t="s">
        <v>1417</v>
      </c>
      <c r="F38" s="1336">
        <f ca="1">INDIRECT("'数据-取费表'!Am"&amp;$G$1)</f>
        <v>1.4999999999999999E-2</v>
      </c>
      <c r="G38" s="1850"/>
      <c r="H38" s="1858"/>
      <c r="I38" s="1859"/>
      <c r="J38" s="1860"/>
      <c r="K38" s="1864"/>
      <c r="L38" s="1858"/>
      <c r="M38" s="1858"/>
    </row>
    <row r="39" spans="1:18" ht="24.6" customHeight="1" thickTop="1">
      <c r="A39" s="1329" t="s">
        <v>1028</v>
      </c>
      <c r="B39" s="1344" t="s">
        <v>1458</v>
      </c>
      <c r="C39" s="355">
        <f ca="1">C5-C30</f>
        <v>251</v>
      </c>
      <c r="D39" s="1345" t="s">
        <v>1459</v>
      </c>
      <c r="E39" s="1346"/>
      <c r="F39" s="1347"/>
      <c r="G39" s="1850"/>
      <c r="H39" s="1858"/>
      <c r="I39" s="1859"/>
      <c r="J39" s="1860"/>
      <c r="K39" s="1864"/>
      <c r="L39" s="1858"/>
      <c r="M39" s="1858"/>
    </row>
    <row r="40" spans="1:18" ht="18" customHeight="1">
      <c r="A40" s="344" t="s">
        <v>1029</v>
      </c>
      <c r="B40" s="345" t="s">
        <v>1480</v>
      </c>
      <c r="C40" s="346">
        <f ca="1">ROUND(C39*(1-((1+F42)/(1+F40))^F41)/(F40-F42),0)</f>
        <v>4369</v>
      </c>
      <c r="D40" s="370" t="s">
        <v>1464</v>
      </c>
      <c r="E40" s="347" t="s">
        <v>1465</v>
      </c>
      <c r="F40" s="357">
        <f ca="1">INDIRECT("'数据-取费表'!I"&amp;$G$1)</f>
        <v>0.05</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41.870000000000005</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2345</v>
      </c>
      <c r="D43" s="383" t="s">
        <v>1483</v>
      </c>
      <c r="E43" s="384" t="s">
        <v>1484</v>
      </c>
      <c r="F43" s="385">
        <f ca="1">INDIRECT("'数据-取费表'!k"&amp;$G$1)</f>
        <v>18631.560000000001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-19739</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3079</v>
      </c>
      <c r="K47" s="1881" t="s">
        <v>1522</v>
      </c>
      <c r="L47" s="1882">
        <f ca="1">INDIRECT("'数据-取费表'!d"&amp;$G$1)</f>
        <v>50</v>
      </c>
      <c r="M47" s="1837" t="str">
        <f>IF(ISNUMBER(FIND("住宅",C1)),"住宅","非住宅")</f>
        <v>非住宅</v>
      </c>
      <c r="O47" s="1883" t="s">
        <v>1037</v>
      </c>
      <c r="P47" s="1884" t="s">
        <v>1523</v>
      </c>
      <c r="Q47" s="1885">
        <f ca="1">C40+J29</f>
        <v>4369</v>
      </c>
      <c r="R47" s="1885" t="s">
        <v>1524</v>
      </c>
    </row>
    <row r="48" spans="1:18" s="1841" customFormat="1" ht="28.5" thickBot="1">
      <c r="A48" s="1360" t="s">
        <v>1132</v>
      </c>
      <c r="B48" s="345" t="s">
        <v>1396</v>
      </c>
      <c r="C48" s="2952">
        <f ca="1">C49+C53+C55</f>
        <v>0</v>
      </c>
      <c r="D48" s="1362"/>
      <c r="E48" s="1363"/>
      <c r="F48" s="1181"/>
      <c r="G48" s="792"/>
      <c r="H48" s="793"/>
      <c r="I48" s="1886" t="s">
        <v>1525</v>
      </c>
      <c r="J48" s="1887" t="s">
        <v>3080</v>
      </c>
      <c r="K48" s="1888" t="s">
        <v>1526</v>
      </c>
      <c r="L48" s="1889">
        <f ca="1">INDIRECT("'数据-取费表'!f"&amp;$G$1)</f>
        <v>43.52</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3029</v>
      </c>
      <c r="E49" s="1829" t="s">
        <v>1486</v>
      </c>
      <c r="F49" s="1281"/>
      <c r="G49" s="1890"/>
      <c r="H49" s="793"/>
      <c r="I49" s="1886" t="s">
        <v>1529</v>
      </c>
      <c r="J49" s="1891">
        <v>2020</v>
      </c>
      <c r="K49" s="1888" t="s">
        <v>1530</v>
      </c>
      <c r="L49" s="1892"/>
      <c r="O49" s="1893" t="s">
        <v>1039</v>
      </c>
      <c r="P49" s="1884" t="s">
        <v>1531</v>
      </c>
      <c r="Q49" s="1885">
        <f ca="1">C29</f>
        <v>8778</v>
      </c>
      <c r="R49" s="1885" t="s">
        <v>1524</v>
      </c>
    </row>
    <row r="50" spans="1:18" s="1841" customFormat="1" ht="13.5" thickBot="1">
      <c r="A50" s="1195"/>
      <c r="B50" s="1198"/>
      <c r="C50" s="1368"/>
      <c r="D50" s="1172"/>
      <c r="E50" s="1277" t="s">
        <v>1401</v>
      </c>
      <c r="F50" s="1278">
        <f ca="1">F7</f>
        <v>532</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12</v>
      </c>
      <c r="I51" s="1897" t="s">
        <v>1535</v>
      </c>
      <c r="J51" s="1898">
        <f>IF(J49="",J50,J49+J50-YEAR('数据-取费表'!B2))</f>
        <v>61</v>
      </c>
      <c r="K51" s="1899" t="s">
        <v>1536</v>
      </c>
      <c r="L51" s="1900">
        <f ca="1">ROUND(-PV(INDIRECT("'数据-取费表'!h"&amp;$G$1),L48,(C39-C13*C76),0),0)</f>
        <v>-9383</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41.870000000000005</v>
      </c>
      <c r="R52" s="1885" t="s">
        <v>1541</v>
      </c>
    </row>
    <row r="53" spans="1:18" s="1841" customFormat="1" ht="24.75" thickBot="1">
      <c r="A53" s="1405" t="s">
        <v>1134</v>
      </c>
      <c r="B53" s="1830" t="s">
        <v>1404</v>
      </c>
      <c r="C53" s="361">
        <f ca="1">ROUND(IF(F53="押一",C49/12*F11,IF(F53="押二",C49/12*2*F11,IF(F53="押三",C49/12*3*F11,C54*F11))),0)</f>
        <v>0</v>
      </c>
      <c r="D53" s="1823" t="s">
        <v>3038</v>
      </c>
      <c r="E53" s="358" t="s">
        <v>1405</v>
      </c>
      <c r="F53" s="1366"/>
      <c r="I53" s="1904" t="s">
        <v>1542</v>
      </c>
      <c r="J53" s="2950">
        <f ca="1">IF(M47="住宅",IF(D1="——",MAX(J51,L48),MAX(J51,L48-'数据-取费表'!B24)),IF(D1="——",MIN(J51,L48),MIN(J51,L48-'数据-取费表'!B24)))</f>
        <v>41.870000000000005</v>
      </c>
      <c r="K53" s="3212" t="s">
        <v>1543</v>
      </c>
      <c r="L53" s="3213"/>
      <c r="O53" s="1883" t="s">
        <v>1043</v>
      </c>
      <c r="P53" s="1884" t="s">
        <v>1544</v>
      </c>
      <c r="Q53" s="1885">
        <f ca="1">Q47+Q48</f>
        <v>4369</v>
      </c>
      <c r="R53" s="1885" t="s">
        <v>1044</v>
      </c>
    </row>
    <row r="54" spans="1:18" s="1841" customFormat="1" ht="13.5" thickBot="1">
      <c r="A54" s="1406"/>
      <c r="B54" s="1824" t="s">
        <v>1383</v>
      </c>
      <c r="C54" s="1178"/>
      <c r="D54" s="1823"/>
      <c r="E54" s="2956"/>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8778</v>
      </c>
      <c r="D56" s="1912"/>
      <c r="E56" s="1913"/>
      <c r="F56" s="1905"/>
      <c r="I56" s="1914" t="s">
        <v>1549</v>
      </c>
      <c r="J56" s="1915" t="s">
        <v>3063</v>
      </c>
      <c r="K56" s="1886" t="s">
        <v>1550</v>
      </c>
      <c r="L56" s="1889" t="str">
        <f ca="1">IF(L48&lt;J51,"——",L48-J53)</f>
        <v>——</v>
      </c>
      <c r="O56" s="1883" t="s">
        <v>1037</v>
      </c>
      <c r="P56" s="1884" t="s">
        <v>1523</v>
      </c>
      <c r="Q56" s="1885">
        <f ca="1">C40+J29</f>
        <v>4369</v>
      </c>
      <c r="R56" s="1885" t="s">
        <v>1524</v>
      </c>
    </row>
    <row r="57" spans="1:18" s="1841" customFormat="1" ht="24.75" thickBot="1">
      <c r="A57" s="1916"/>
      <c r="B57" s="1169" t="s">
        <v>1473</v>
      </c>
      <c r="C57" s="282">
        <f ca="1">C29</f>
        <v>8778</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883</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737.9</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1432</v>
      </c>
      <c r="C61" s="24">
        <f ca="1">IF(项目基本情况!B11="自然人","——",IF(D61="按租金收入计税",ROUND(C48*F61,2),IF(D61="按房产原值计税",ROUND(C57*F61*0.7,2),INDIRECT("'数据-取费表'!Aj"&amp;$G$1))))</f>
        <v>737.35</v>
      </c>
      <c r="D61" s="1827" t="s">
        <v>1433</v>
      </c>
      <c r="E61" s="1169" t="s">
        <v>1417</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1436</v>
      </c>
      <c r="C62" s="25">
        <f ca="1">IF(项目基本情况!B11="自然人","——",ROUND(F62*F63/10000,2))</f>
        <v>0.51</v>
      </c>
      <c r="D62" s="1184" t="s">
        <v>1437</v>
      </c>
      <c r="E62" s="1169" t="s">
        <v>1438</v>
      </c>
      <c r="F62" s="371">
        <f t="shared" si="0"/>
        <v>1.5</v>
      </c>
      <c r="I62" s="1927" t="s">
        <v>1565</v>
      </c>
      <c r="J62" s="1928" t="s">
        <v>1566</v>
      </c>
      <c r="K62" s="1928" t="s">
        <v>1567</v>
      </c>
      <c r="L62" s="1928" t="s">
        <v>1568</v>
      </c>
      <c r="M62" s="1929" t="s">
        <v>1569</v>
      </c>
      <c r="O62" s="1883" t="s">
        <v>1043</v>
      </c>
      <c r="P62" s="1884" t="s">
        <v>1544</v>
      </c>
      <c r="Q62" s="1885">
        <f ca="1">Q56+Q57</f>
        <v>4369</v>
      </c>
      <c r="R62" s="1885" t="s">
        <v>1044</v>
      </c>
    </row>
    <row r="63" spans="1:18" s="1841" customFormat="1" ht="13.5" thickBot="1">
      <c r="A63" s="372"/>
      <c r="B63" s="1175"/>
      <c r="C63" s="29"/>
      <c r="D63" s="1185"/>
      <c r="E63" s="1169" t="s">
        <v>1442</v>
      </c>
      <c r="F63" s="348">
        <f t="shared" ca="1" si="0"/>
        <v>3372.5099999999998</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f ca="1">ROUND(C57*F64,1)</f>
        <v>131.69999999999999</v>
      </c>
      <c r="D64" s="1183" t="s">
        <v>1477</v>
      </c>
      <c r="E64" s="1169" t="s">
        <v>1417</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13.2</v>
      </c>
      <c r="D65" s="1183" t="s">
        <v>1449</v>
      </c>
      <c r="E65" s="1169" t="s">
        <v>1417</v>
      </c>
      <c r="F65" s="376">
        <f t="shared" ca="1" si="0"/>
        <v>1.5E-3</v>
      </c>
      <c r="I65" s="1927" t="s">
        <v>1574</v>
      </c>
      <c r="J65" s="1928">
        <v>40</v>
      </c>
      <c r="K65" s="1928">
        <v>30</v>
      </c>
      <c r="L65" s="1928">
        <v>50</v>
      </c>
      <c r="M65" s="1930">
        <v>0.02</v>
      </c>
      <c r="O65" s="1883" t="s">
        <v>1037</v>
      </c>
      <c r="P65" s="1884" t="s">
        <v>1523</v>
      </c>
      <c r="Q65" s="1885">
        <f ca="1">C40+J29</f>
        <v>4369</v>
      </c>
      <c r="R65" s="1885" t="s">
        <v>1524</v>
      </c>
    </row>
    <row r="66" spans="1:18" s="1841" customFormat="1" ht="16.5" thickBot="1">
      <c r="A66" s="1201" t="s">
        <v>1499</v>
      </c>
      <c r="B66" s="1169" t="s">
        <v>1434</v>
      </c>
      <c r="C66" s="24">
        <f ca="1">ROUND(C48*F66,1)</f>
        <v>0</v>
      </c>
      <c r="D66" s="1183" t="s">
        <v>1454</v>
      </c>
      <c r="E66" s="1169" t="s">
        <v>1417</v>
      </c>
      <c r="F66" s="357">
        <f t="shared" ca="1" si="0"/>
        <v>1.4999999999999999E-2</v>
      </c>
      <c r="O66" s="1883" t="s">
        <v>1038</v>
      </c>
      <c r="P66" s="1884" t="s">
        <v>1553</v>
      </c>
      <c r="Q66" s="1885">
        <f ca="1">L60</f>
        <v>0</v>
      </c>
      <c r="R66" s="1885" t="s">
        <v>1576</v>
      </c>
    </row>
    <row r="67" spans="1:18" s="1841" customFormat="1" ht="16.5" thickBot="1">
      <c r="A67" s="1176" t="s">
        <v>1028</v>
      </c>
      <c r="B67" s="1186" t="s">
        <v>1458</v>
      </c>
      <c r="C67" s="361">
        <f ca="1">C48-C58</f>
        <v>-883</v>
      </c>
      <c r="D67" s="1182" t="s">
        <v>1459</v>
      </c>
      <c r="E67" s="1187"/>
      <c r="F67" s="1188"/>
      <c r="O67" s="1893" t="s">
        <v>1039</v>
      </c>
      <c r="P67" s="1884" t="s">
        <v>1557</v>
      </c>
      <c r="Q67" s="1931">
        <f ca="1">L51</f>
        <v>-9383</v>
      </c>
      <c r="R67" s="1885" t="s">
        <v>1577</v>
      </c>
    </row>
    <row r="68" spans="1:18" s="1841" customFormat="1" ht="16.5" thickBot="1">
      <c r="A68" s="1166" t="s">
        <v>1029</v>
      </c>
      <c r="B68" s="1167" t="s">
        <v>1480</v>
      </c>
      <c r="C68" s="346">
        <f ca="1">ROUND(C67*(1-((1+F70)/(1+F68))^F69)/(F68-F70),0)</f>
        <v>-15370</v>
      </c>
      <c r="D68" s="1184" t="s">
        <v>1464</v>
      </c>
      <c r="E68" s="1169" t="s">
        <v>1465</v>
      </c>
      <c r="F68" s="357">
        <f ca="1">F40</f>
        <v>0.05</v>
      </c>
      <c r="O68" s="1893" t="s">
        <v>1040</v>
      </c>
      <c r="P68" s="1932" t="s">
        <v>1578</v>
      </c>
      <c r="Q68" s="1885">
        <f ca="1">ROUND(Q69-Q70*Q71,0)</f>
        <v>-495</v>
      </c>
      <c r="R68" s="1885" t="s">
        <v>1048</v>
      </c>
    </row>
    <row r="69" spans="1:18" s="1841" customFormat="1" ht="13.5" thickBot="1">
      <c r="A69" s="1170"/>
      <c r="B69" s="1171"/>
      <c r="C69" s="351"/>
      <c r="D69" s="1189" t="s">
        <v>1468</v>
      </c>
      <c r="E69" s="1169" t="s">
        <v>1469</v>
      </c>
      <c r="F69" s="379">
        <f ca="1">F41</f>
        <v>41.870000000000005</v>
      </c>
      <c r="O69" s="1893" t="s">
        <v>1045</v>
      </c>
      <c r="P69" s="1932" t="s">
        <v>1579</v>
      </c>
      <c r="Q69" s="1885">
        <f ca="1">C39</f>
        <v>251</v>
      </c>
      <c r="R69" s="1885" t="s">
        <v>1524</v>
      </c>
    </row>
    <row r="70" spans="1:18" s="1841" customFormat="1" ht="13.5" thickBot="1">
      <c r="A70" s="1173"/>
      <c r="B70" s="1174"/>
      <c r="C70" s="355"/>
      <c r="D70" s="1185"/>
      <c r="E70" s="1169" t="s">
        <v>1472</v>
      </c>
      <c r="F70" s="1275"/>
      <c r="O70" s="1893" t="s">
        <v>1046</v>
      </c>
      <c r="P70" s="1932" t="s">
        <v>1580</v>
      </c>
      <c r="Q70" s="1885">
        <f ca="1">C13</f>
        <v>8778</v>
      </c>
      <c r="R70" s="1885" t="s">
        <v>1524</v>
      </c>
    </row>
    <row r="71" spans="1:18" s="1841" customFormat="1" ht="13.5" thickBot="1">
      <c r="A71" s="1190" t="s">
        <v>1030</v>
      </c>
      <c r="B71" s="1191" t="s">
        <v>1482</v>
      </c>
      <c r="C71" s="382">
        <f ca="1">ROUND(C68*10000/F71,0)</f>
        <v>-8249</v>
      </c>
      <c r="D71" s="1192" t="s">
        <v>1483</v>
      </c>
      <c r="E71" s="1193" t="s">
        <v>1484</v>
      </c>
      <c r="F71" s="385">
        <f ca="1">F43</f>
        <v>18631.560000000001</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746</v>
      </c>
      <c r="D75" s="1841"/>
      <c r="E75" s="1841"/>
      <c r="F75" s="1841"/>
      <c r="K75" s="1867"/>
      <c r="L75" s="1841"/>
      <c r="O75" s="1883" t="s">
        <v>1043</v>
      </c>
      <c r="P75" s="1884" t="s">
        <v>1544</v>
      </c>
      <c r="Q75" s="1885">
        <f ca="1">Q65+Q66</f>
        <v>4369</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-1.972</v>
      </c>
    </row>
    <row r="80" spans="1:18">
      <c r="B80" s="386" t="s">
        <v>1506</v>
      </c>
      <c r="C80" s="318">
        <f ca="1">ROUND(C75/C39,3)</f>
        <v>2.972</v>
      </c>
    </row>
    <row r="81" spans="2:3">
      <c r="B81" s="314" t="s">
        <v>1507</v>
      </c>
      <c r="C81" s="282"/>
    </row>
    <row r="82" spans="2:3">
      <c r="B82" s="317" t="s">
        <v>1508</v>
      </c>
      <c r="C82" s="319">
        <f ca="1">1-C83</f>
        <v>-1.0089999999999999</v>
      </c>
    </row>
    <row r="83" spans="2:3">
      <c r="B83" s="317" t="s">
        <v>1509</v>
      </c>
      <c r="C83" s="318">
        <f ca="1">ROUND(C13/C40,3)</f>
        <v>2.0089999999999999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3" t="s">
        <v>2644</v>
      </c>
      <c r="D4" s="3186"/>
      <c r="E4" s="3187" t="s">
        <v>2645</v>
      </c>
      <c r="F4" s="3188"/>
      <c r="G4" s="3173" t="s">
        <v>2646</v>
      </c>
      <c r="H4" s="3186"/>
      <c r="I4" s="3173" t="s">
        <v>2647</v>
      </c>
      <c r="J4" s="3186"/>
      <c r="K4" s="610" t="s">
        <v>2648</v>
      </c>
      <c r="L4" s="1130"/>
      <c r="M4" s="1131"/>
      <c r="N4" s="1131"/>
      <c r="O4" s="1131"/>
      <c r="P4" s="3189" t="s">
        <v>2649</v>
      </c>
      <c r="Q4" s="3190"/>
      <c r="R4" s="3195" t="s">
        <v>2645</v>
      </c>
      <c r="S4" s="3196"/>
      <c r="T4" s="3195" t="s">
        <v>2646</v>
      </c>
      <c r="U4" s="3196"/>
      <c r="V4" s="3182" t="s">
        <v>2647</v>
      </c>
      <c r="W4" s="3182"/>
      <c r="X4" s="1812"/>
      <c r="Y4" s="3195" t="s">
        <v>2649</v>
      </c>
      <c r="Z4" s="3196"/>
      <c r="AA4" s="3183" t="s">
        <v>2645</v>
      </c>
      <c r="AB4" s="3184" t="s">
        <v>2646</v>
      </c>
      <c r="AC4" s="3183" t="s">
        <v>2647</v>
      </c>
    </row>
    <row r="5" spans="1:29" ht="15">
      <c r="A5" s="404"/>
      <c r="B5" s="405"/>
      <c r="C5" s="3203" t="s">
        <v>2540</v>
      </c>
      <c r="D5" s="3204"/>
      <c r="E5" s="3210" t="s">
        <v>2541</v>
      </c>
      <c r="F5" s="3211"/>
      <c r="G5" s="3203" t="s">
        <v>2542</v>
      </c>
      <c r="H5" s="3204"/>
      <c r="I5" s="3203" t="s">
        <v>2543</v>
      </c>
      <c r="J5" s="3204"/>
      <c r="K5" s="610"/>
      <c r="L5" s="1130"/>
      <c r="M5" s="1131"/>
      <c r="N5" s="1131"/>
      <c r="O5" s="1131"/>
      <c r="P5" s="3191"/>
      <c r="Q5" s="3192"/>
      <c r="R5" s="3197"/>
      <c r="S5" s="3198"/>
      <c r="T5" s="3197"/>
      <c r="U5" s="3198"/>
      <c r="V5" s="3182"/>
      <c r="W5" s="3182"/>
      <c r="X5" s="1812"/>
      <c r="Y5" s="3197"/>
      <c r="Z5" s="3198"/>
      <c r="AA5" s="3184"/>
      <c r="AB5" s="3184"/>
      <c r="AC5" s="3184"/>
    </row>
    <row r="6" spans="1:29" ht="15.75" thickBot="1">
      <c r="A6" s="406"/>
      <c r="B6" s="407"/>
      <c r="C6" s="3262" t="s">
        <v>2795</v>
      </c>
      <c r="D6" s="3263"/>
      <c r="E6" s="3264" t="s">
        <v>2795</v>
      </c>
      <c r="F6" s="3265"/>
      <c r="G6" s="3262" t="s">
        <v>2795</v>
      </c>
      <c r="H6" s="3263"/>
      <c r="I6" s="3262" t="s">
        <v>2795</v>
      </c>
      <c r="J6" s="3263"/>
      <c r="K6" s="610" t="s">
        <v>2545</v>
      </c>
      <c r="L6" s="1130"/>
      <c r="M6" s="1131"/>
      <c r="N6" s="1131"/>
      <c r="O6" s="1131"/>
      <c r="P6" s="3193"/>
      <c r="Q6" s="3194"/>
      <c r="R6" s="3197"/>
      <c r="S6" s="3198"/>
      <c r="T6" s="3199"/>
      <c r="U6" s="3200"/>
      <c r="V6" s="3182"/>
      <c r="W6" s="3182"/>
      <c r="X6" s="1812"/>
      <c r="Y6" s="3199"/>
      <c r="Z6" s="3200"/>
      <c r="AA6" s="3185"/>
      <c r="AB6" s="3185"/>
      <c r="AC6" s="3185"/>
    </row>
    <row r="7" spans="1:29" s="117" customFormat="1" ht="15.75" thickBot="1">
      <c r="A7" s="408" t="s">
        <v>2546</v>
      </c>
      <c r="B7" s="409"/>
      <c r="C7" s="410">
        <f>'数据-取费表'!B2</f>
        <v>43782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5" t="s">
        <v>2547</v>
      </c>
      <c r="Q7" s="3207"/>
      <c r="R7" s="770" t="s">
        <v>17</v>
      </c>
      <c r="S7" s="771">
        <f t="shared" ref="S7:S15" si="0">F7</f>
        <v>0</v>
      </c>
      <c r="T7" s="770" t="s">
        <v>17</v>
      </c>
      <c r="U7" s="771">
        <f t="shared" ref="U7:U15" si="1">H7</f>
        <v>0</v>
      </c>
      <c r="V7" s="770" t="s">
        <v>17</v>
      </c>
      <c r="W7" s="771">
        <f t="shared" ref="W7:W15" si="2">J7</f>
        <v>0</v>
      </c>
      <c r="X7" s="772"/>
      <c r="Y7" s="3205" t="s">
        <v>2547</v>
      </c>
      <c r="Z7" s="320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5" t="s">
        <v>2550</v>
      </c>
      <c r="Q8" s="3206"/>
      <c r="R8" s="770" t="s">
        <v>17</v>
      </c>
      <c r="S8" s="771">
        <f t="shared" si="0"/>
        <v>0</v>
      </c>
      <c r="T8" s="770" t="s">
        <v>17</v>
      </c>
      <c r="U8" s="771">
        <f t="shared" si="1"/>
        <v>0</v>
      </c>
      <c r="V8" s="770" t="s">
        <v>17</v>
      </c>
      <c r="W8" s="771">
        <f t="shared" si="2"/>
        <v>0</v>
      </c>
      <c r="X8" s="772"/>
      <c r="Y8" s="3205" t="s">
        <v>2550</v>
      </c>
      <c r="Z8" s="3206"/>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6" t="s">
        <v>2553</v>
      </c>
      <c r="Q9" s="1794" t="str">
        <f t="shared" ref="Q9:Q15" si="6">B9</f>
        <v>用途</v>
      </c>
      <c r="R9" s="770" t="s">
        <v>17</v>
      </c>
      <c r="S9" s="771">
        <f t="shared" si="0"/>
        <v>100</v>
      </c>
      <c r="T9" s="770" t="s">
        <v>17</v>
      </c>
      <c r="U9" s="771">
        <f t="shared" si="1"/>
        <v>100</v>
      </c>
      <c r="V9" s="770" t="s">
        <v>17</v>
      </c>
      <c r="W9" s="771">
        <f t="shared" si="2"/>
        <v>100</v>
      </c>
      <c r="X9" s="772"/>
      <c r="Y9" s="3024"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76"/>
      <c r="Q10" s="1794" t="str">
        <f t="shared" si="6"/>
        <v>土地使用年限（年）</v>
      </c>
      <c r="R10" s="770" t="s">
        <v>17</v>
      </c>
      <c r="S10" s="771">
        <f t="shared" si="0"/>
        <v>105</v>
      </c>
      <c r="T10" s="770" t="s">
        <v>17</v>
      </c>
      <c r="U10" s="771">
        <f t="shared" si="1"/>
        <v>105</v>
      </c>
      <c r="V10" s="770" t="s">
        <v>17</v>
      </c>
      <c r="W10" s="771">
        <f t="shared" si="2"/>
        <v>105</v>
      </c>
      <c r="X10" s="772"/>
      <c r="Y10" s="3024"/>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4"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4">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4">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4">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8" t="s">
        <v>2558</v>
      </c>
      <c r="Q15" s="1809" t="str">
        <f t="shared" si="6"/>
        <v>产业集聚程度</v>
      </c>
      <c r="R15" s="774" t="s">
        <v>17</v>
      </c>
      <c r="S15" s="775">
        <f t="shared" si="0"/>
        <v>100</v>
      </c>
      <c r="T15" s="774" t="s">
        <v>17</v>
      </c>
      <c r="U15" s="775">
        <f t="shared" si="1"/>
        <v>100</v>
      </c>
      <c r="V15" s="774" t="s">
        <v>17</v>
      </c>
      <c r="W15" s="775">
        <f t="shared" si="2"/>
        <v>100</v>
      </c>
      <c r="X15" s="1812"/>
      <c r="Y15" s="3178"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79"/>
      <c r="Q16" s="1809"/>
      <c r="R16" s="774"/>
      <c r="S16" s="775"/>
      <c r="T16" s="774"/>
      <c r="U16" s="775"/>
      <c r="V16" s="774"/>
      <c r="W16" s="775"/>
      <c r="X16" s="1812"/>
      <c r="Y16" s="3179"/>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9"/>
      <c r="Q17" s="1809" t="str">
        <f>B17</f>
        <v>交通便捷度</v>
      </c>
      <c r="R17" s="774" t="s">
        <v>17</v>
      </c>
      <c r="S17" s="775">
        <f>F17</f>
        <v>100</v>
      </c>
      <c r="T17" s="774" t="s">
        <v>17</v>
      </c>
      <c r="U17" s="775">
        <f>H17</f>
        <v>100</v>
      </c>
      <c r="V17" s="774" t="s">
        <v>17</v>
      </c>
      <c r="W17" s="775">
        <f>J17</f>
        <v>100</v>
      </c>
      <c r="X17" s="1812"/>
      <c r="Y17" s="3179"/>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79"/>
      <c r="Q18" s="1809"/>
      <c r="R18" s="774"/>
      <c r="S18" s="775"/>
      <c r="T18" s="774"/>
      <c r="U18" s="775"/>
      <c r="V18" s="774"/>
      <c r="W18" s="775"/>
      <c r="X18" s="1812"/>
      <c r="Y18" s="3179"/>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9"/>
      <c r="Q19" s="1809" t="str">
        <f t="shared" ref="Q19:Q33" si="8">B19</f>
        <v>区域土地利用方向</v>
      </c>
      <c r="R19" s="774" t="s">
        <v>17</v>
      </c>
      <c r="S19" s="775">
        <f>F19</f>
        <v>100</v>
      </c>
      <c r="T19" s="774" t="s">
        <v>17</v>
      </c>
      <c r="U19" s="775">
        <f>H19</f>
        <v>100</v>
      </c>
      <c r="V19" s="774" t="s">
        <v>17</v>
      </c>
      <c r="W19" s="775">
        <f>J19</f>
        <v>100</v>
      </c>
      <c r="X19" s="1812"/>
      <c r="Y19" s="3179"/>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179"/>
      <c r="Q20" s="1809"/>
      <c r="R20" s="774"/>
      <c r="S20" s="775"/>
      <c r="T20" s="774"/>
      <c r="U20" s="775"/>
      <c r="V20" s="774"/>
      <c r="W20" s="775"/>
      <c r="X20" s="1812"/>
      <c r="Y20" s="3179"/>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9"/>
      <c r="Q21" s="1809" t="str">
        <f t="shared" si="8"/>
        <v>环境状况</v>
      </c>
      <c r="R21" s="774" t="s">
        <v>17</v>
      </c>
      <c r="S21" s="775">
        <f>F21</f>
        <v>100</v>
      </c>
      <c r="T21" s="774" t="s">
        <v>17</v>
      </c>
      <c r="U21" s="775">
        <f>H21</f>
        <v>100</v>
      </c>
      <c r="V21" s="774" t="s">
        <v>17</v>
      </c>
      <c r="W21" s="775">
        <f>J21</f>
        <v>100</v>
      </c>
      <c r="X21" s="1812"/>
      <c r="Y21" s="3179"/>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79"/>
      <c r="Q22" s="1809"/>
      <c r="R22" s="774"/>
      <c r="S22" s="775"/>
      <c r="T22" s="774"/>
      <c r="U22" s="775"/>
      <c r="V22" s="774"/>
      <c r="W22" s="775"/>
      <c r="X22" s="1812"/>
      <c r="Y22" s="3179"/>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9"/>
      <c r="Q23" s="1794" t="str">
        <f t="shared" si="8"/>
        <v>公共配套设施</v>
      </c>
      <c r="R23" s="770" t="s">
        <v>17</v>
      </c>
      <c r="S23" s="771">
        <f>F23</f>
        <v>100</v>
      </c>
      <c r="T23" s="770" t="s">
        <v>17</v>
      </c>
      <c r="U23" s="771">
        <f>H23</f>
        <v>100</v>
      </c>
      <c r="V23" s="770" t="s">
        <v>17</v>
      </c>
      <c r="W23" s="771">
        <f>J23</f>
        <v>100</v>
      </c>
      <c r="X23" s="772"/>
      <c r="Y23" s="3179"/>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179"/>
      <c r="Q24" s="1794"/>
      <c r="R24" s="770"/>
      <c r="S24" s="771"/>
      <c r="T24" s="770"/>
      <c r="U24" s="771"/>
      <c r="V24" s="770"/>
      <c r="W24" s="771"/>
      <c r="X24" s="772"/>
      <c r="Y24" s="3179"/>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9"/>
      <c r="Q25" s="1794"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79"/>
      <c r="Q26" s="1794"/>
      <c r="R26" s="770"/>
      <c r="S26" s="771"/>
      <c r="T26" s="770"/>
      <c r="U26" s="771"/>
      <c r="V26" s="770"/>
      <c r="W26" s="771"/>
      <c r="X26" s="772"/>
      <c r="Y26" s="317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9"/>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9"/>
      <c r="Q28" s="1809" t="str">
        <f t="shared" si="8"/>
        <v>毗邻道路的类型与等级</v>
      </c>
      <c r="R28" s="774" t="s">
        <v>17</v>
      </c>
      <c r="S28" s="775">
        <f t="shared" si="10"/>
        <v>100</v>
      </c>
      <c r="T28" s="774" t="s">
        <v>17</v>
      </c>
      <c r="U28" s="775">
        <f t="shared" si="11"/>
        <v>100</v>
      </c>
      <c r="V28" s="774" t="s">
        <v>17</v>
      </c>
      <c r="W28" s="775">
        <f t="shared" si="12"/>
        <v>100</v>
      </c>
      <c r="X28" s="1812"/>
      <c r="Y28" s="3179"/>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79"/>
      <c r="Q29" s="1809"/>
      <c r="R29" s="774"/>
      <c r="S29" s="775"/>
      <c r="T29" s="774"/>
      <c r="U29" s="775"/>
      <c r="V29" s="774"/>
      <c r="W29" s="775"/>
      <c r="X29" s="1812"/>
      <c r="Y29" s="3179"/>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9"/>
      <c r="Q30" s="1809" t="str">
        <f t="shared" si="8"/>
        <v>土地级别</v>
      </c>
      <c r="R30" s="774" t="s">
        <v>17</v>
      </c>
      <c r="S30" s="775">
        <f t="shared" si="10"/>
        <v>100</v>
      </c>
      <c r="T30" s="774" t="s">
        <v>17</v>
      </c>
      <c r="U30" s="775">
        <f t="shared" si="11"/>
        <v>100</v>
      </c>
      <c r="V30" s="774" t="s">
        <v>17</v>
      </c>
      <c r="W30" s="775">
        <f t="shared" si="12"/>
        <v>100</v>
      </c>
      <c r="X30" s="1812"/>
      <c r="Y30" s="3179"/>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9"/>
      <c r="Q31" s="1809">
        <f t="shared" si="8"/>
        <v>111</v>
      </c>
      <c r="R31" s="774" t="s">
        <v>17</v>
      </c>
      <c r="S31" s="775">
        <f t="shared" si="10"/>
        <v>100</v>
      </c>
      <c r="T31" s="774" t="s">
        <v>17</v>
      </c>
      <c r="U31" s="775">
        <f t="shared" si="11"/>
        <v>100</v>
      </c>
      <c r="V31" s="774" t="s">
        <v>17</v>
      </c>
      <c r="W31" s="775">
        <f t="shared" si="12"/>
        <v>100</v>
      </c>
      <c r="X31" s="1812"/>
      <c r="Y31" s="3179"/>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0" t="s">
        <v>2563</v>
      </c>
      <c r="Q32" s="1809">
        <f t="shared" si="8"/>
        <v>111</v>
      </c>
      <c r="R32" s="774" t="s">
        <v>17</v>
      </c>
      <c r="S32" s="775">
        <f t="shared" si="10"/>
        <v>100</v>
      </c>
      <c r="T32" s="774" t="s">
        <v>17</v>
      </c>
      <c r="U32" s="775">
        <f t="shared" si="11"/>
        <v>100</v>
      </c>
      <c r="V32" s="774" t="s">
        <v>17</v>
      </c>
      <c r="W32" s="775">
        <f t="shared" si="12"/>
        <v>100</v>
      </c>
      <c r="X32" s="1812"/>
      <c r="Y32" s="3181"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1"/>
      <c r="Q33" s="1809">
        <f t="shared" si="8"/>
        <v>111</v>
      </c>
      <c r="R33" s="777" t="s">
        <v>17</v>
      </c>
      <c r="S33" s="778">
        <f t="shared" si="10"/>
        <v>100</v>
      </c>
      <c r="T33" s="777" t="s">
        <v>17</v>
      </c>
      <c r="U33" s="778">
        <f t="shared" si="11"/>
        <v>100</v>
      </c>
      <c r="V33" s="777" t="s">
        <v>17</v>
      </c>
      <c r="W33" s="778">
        <f t="shared" si="12"/>
        <v>100</v>
      </c>
      <c r="X33" s="779"/>
      <c r="Y33" s="3181"/>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1"/>
      <c r="Q34" s="1809" t="str">
        <f>B34</f>
        <v>宗地面积</v>
      </c>
      <c r="R34" s="774" t="s">
        <v>17</v>
      </c>
      <c r="S34" s="775" t="e">
        <f t="shared" si="10"/>
        <v>#N/A</v>
      </c>
      <c r="T34" s="774" t="s">
        <v>17</v>
      </c>
      <c r="U34" s="775" t="e">
        <f t="shared" si="11"/>
        <v>#N/A</v>
      </c>
      <c r="V34" s="774" t="s">
        <v>17</v>
      </c>
      <c r="W34" s="775" t="e">
        <f t="shared" si="12"/>
        <v>#N/A</v>
      </c>
      <c r="X34" s="1812"/>
      <c r="Y34" s="3181"/>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1"/>
      <c r="Q35" s="1809" t="str">
        <f t="shared" ref="Q35:Q40" si="14">B35</f>
        <v>宗地形状</v>
      </c>
      <c r="R35" s="774" t="s">
        <v>17</v>
      </c>
      <c r="S35" s="775">
        <f t="shared" si="10"/>
        <v>100</v>
      </c>
      <c r="T35" s="774" t="s">
        <v>17</v>
      </c>
      <c r="U35" s="775">
        <f t="shared" si="11"/>
        <v>100</v>
      </c>
      <c r="V35" s="774" t="s">
        <v>17</v>
      </c>
      <c r="W35" s="775">
        <f t="shared" si="12"/>
        <v>100</v>
      </c>
      <c r="X35" s="1812"/>
      <c r="Y35" s="3181"/>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1"/>
      <c r="Q36" s="1809"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1" t="s">
        <v>2563</v>
      </c>
      <c r="Q37" s="1809" t="str">
        <f t="shared" si="14"/>
        <v>工程地质条件</v>
      </c>
      <c r="R37" s="774" t="s">
        <v>17</v>
      </c>
      <c r="S37" s="775">
        <f t="shared" si="10"/>
        <v>100</v>
      </c>
      <c r="T37" s="774" t="s">
        <v>17</v>
      </c>
      <c r="U37" s="775">
        <f t="shared" si="11"/>
        <v>100</v>
      </c>
      <c r="V37" s="774" t="s">
        <v>17</v>
      </c>
      <c r="W37" s="775">
        <f t="shared" si="12"/>
        <v>100</v>
      </c>
      <c r="X37" s="1812"/>
      <c r="Y37" s="3181"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1"/>
      <c r="Q38" s="1809">
        <f t="shared" si="14"/>
        <v>111</v>
      </c>
      <c r="R38" s="774" t="s">
        <v>17</v>
      </c>
      <c r="S38" s="775">
        <f t="shared" si="10"/>
        <v>100</v>
      </c>
      <c r="T38" s="774" t="s">
        <v>17</v>
      </c>
      <c r="U38" s="775">
        <f t="shared" si="11"/>
        <v>100</v>
      </c>
      <c r="V38" s="774" t="s">
        <v>17</v>
      </c>
      <c r="W38" s="775">
        <f t="shared" si="12"/>
        <v>100</v>
      </c>
      <c r="X38" s="1812"/>
      <c r="Y38" s="3181"/>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1"/>
      <c r="Q39" s="1809">
        <f t="shared" si="14"/>
        <v>111</v>
      </c>
      <c r="R39" s="774" t="s">
        <v>17</v>
      </c>
      <c r="S39" s="775">
        <f t="shared" si="10"/>
        <v>100</v>
      </c>
      <c r="T39" s="774" t="s">
        <v>17</v>
      </c>
      <c r="U39" s="775">
        <f t="shared" si="11"/>
        <v>100</v>
      </c>
      <c r="V39" s="774" t="s">
        <v>17</v>
      </c>
      <c r="W39" s="775">
        <f t="shared" si="12"/>
        <v>100</v>
      </c>
      <c r="X39" s="1812"/>
      <c r="Y39" s="3181"/>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1"/>
      <c r="Q40" s="1809">
        <f t="shared" si="14"/>
        <v>111</v>
      </c>
      <c r="R40" s="777" t="s">
        <v>17</v>
      </c>
      <c r="S40" s="778">
        <f t="shared" si="10"/>
        <v>100</v>
      </c>
      <c r="T40" s="777" t="s">
        <v>17</v>
      </c>
      <c r="U40" s="778">
        <f t="shared" si="11"/>
        <v>100</v>
      </c>
      <c r="V40" s="777" t="s">
        <v>17</v>
      </c>
      <c r="W40" s="778">
        <f t="shared" si="12"/>
        <v>100</v>
      </c>
      <c r="X40" s="779"/>
      <c r="Y40" s="3181"/>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176" t="str">
        <f>A41</f>
        <v>成交单价</v>
      </c>
      <c r="Q41" s="3176"/>
      <c r="R41" s="3182">
        <f>E41</f>
        <v>0</v>
      </c>
      <c r="S41" s="3182"/>
      <c r="T41" s="3182">
        <f>G41</f>
        <v>0</v>
      </c>
      <c r="U41" s="3182"/>
      <c r="V41" s="3182">
        <f>I41</f>
        <v>0</v>
      </c>
      <c r="W41" s="318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169" t="e">
        <f>ROUND(PRODUCT(R41,AA7:AA40),0)</f>
        <v>#DIV/0!</v>
      </c>
      <c r="S42" s="3169"/>
      <c r="T42" s="3169" t="e">
        <f>ROUND(PRODUCT(T41,AB7:AB40),0)</f>
        <v>#DIV/0!</v>
      </c>
      <c r="U42" s="3169"/>
      <c r="V42" s="3169" t="e">
        <f>ROUND(PRODUCT(V41,AC7:AC40),0)</f>
        <v>#DIV/0!</v>
      </c>
      <c r="W42" s="316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70" t="str">
        <f>A43</f>
        <v>估价对象XX用房的比较价值（楼面单价，元/平方米）</v>
      </c>
      <c r="Q43" s="3171"/>
      <c r="R43" s="3172" t="e">
        <f>ROUND(AVERAGE(R42:V42),0)</f>
        <v>#DIV/0!</v>
      </c>
      <c r="S43" s="3172"/>
      <c r="T43" s="3172"/>
      <c r="U43" s="3172"/>
      <c r="V43" s="3172"/>
      <c r="W43" s="317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73" t="s">
        <v>2762</v>
      </c>
      <c r="H50" s="3174"/>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54642.68</v>
      </c>
      <c r="F51" s="691" t="e">
        <f t="shared" ref="F51:F60" si="15">ROUND(B51*E51/10000,0)</f>
        <v>#DIV/0!</v>
      </c>
      <c r="G51" s="3175"/>
      <c r="H51" s="3176"/>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177"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177"/>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177"/>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177"/>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18631.560000000001</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15644.81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3.5</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9"/>
      <c r="B4" s="3270"/>
      <c r="C4" s="3270"/>
      <c r="D4" s="3271"/>
      <c r="E4" s="3271"/>
      <c r="F4" s="3271"/>
      <c r="G4" s="3271"/>
      <c r="H4" s="3271"/>
      <c r="I4" s="3271"/>
      <c r="J4" s="3272"/>
      <c r="K4" s="1370"/>
      <c r="L4" s="2726"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2824</v>
      </c>
      <c r="C5" s="917" t="e">
        <f>ROUND(IF(E2="商业",C6*C7+C16,(IF(E2="住宅",C6*C12+C16,C6+C16))),0)</f>
        <v>#DIV/0!</v>
      </c>
      <c r="D5" s="1786" t="e">
        <f>ROUND(C6+C16,0)</f>
        <v>#DIV/0!</v>
      </c>
      <c r="E5" s="1786"/>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1"/>
      <c r="L6" s="2726"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3" t="str">
        <f>IF(E2="商业",IF(C8="不临58条商业街","",2),"")</f>
        <v/>
      </c>
      <c r="B7" s="2745" t="s">
        <v>2830</v>
      </c>
      <c r="C7" s="919" t="e">
        <f>IF(C8="不临58条商业街",1,ROUND(1+(1.6*E8+1.2*E9+0.8*E10+0.4*E11)*C9,4))</f>
        <v>#DIV/0!</v>
      </c>
      <c r="D7" s="2746" t="s">
        <v>2831</v>
      </c>
      <c r="E7" s="945"/>
      <c r="F7" s="2747"/>
      <c r="G7" s="2748"/>
      <c r="H7" s="2748"/>
      <c r="I7" s="2748"/>
      <c r="J7" s="2749"/>
      <c r="K7" s="1841"/>
      <c r="L7" s="2726"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3.5</v>
      </c>
      <c r="AA7" s="1605"/>
      <c r="AB7" s="1605"/>
      <c r="AC7" s="1606"/>
      <c r="AD7" s="1607"/>
      <c r="AE7" s="1607"/>
      <c r="AF7" s="1607"/>
      <c r="AG7" s="1607"/>
      <c r="AH7" s="1607"/>
      <c r="AI7" s="1607"/>
      <c r="AJ7" s="1608"/>
    </row>
    <row r="8" spans="1:36" ht="15">
      <c r="A8" s="3274"/>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66" t="s">
        <v>2838</v>
      </c>
      <c r="X8" s="3267"/>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74"/>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68"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4"/>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6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4"/>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68" t="s">
        <v>2862</v>
      </c>
      <c r="X11" s="1613" t="s">
        <v>2863</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273"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68"/>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5"/>
      <c r="B13" s="2764" t="s">
        <v>2869</v>
      </c>
      <c r="C13" s="2765" t="s">
        <v>2870</v>
      </c>
      <c r="D13" s="1807" t="s">
        <v>2871</v>
      </c>
      <c r="E13" s="1807" t="s">
        <v>2872</v>
      </c>
      <c r="F13" s="30" t="s">
        <v>2873</v>
      </c>
      <c r="G13" s="2766" t="s">
        <v>2874</v>
      </c>
      <c r="H13" s="2766" t="s">
        <v>2874</v>
      </c>
      <c r="I13" s="2766" t="s">
        <v>2874</v>
      </c>
      <c r="J13" s="2767" t="s">
        <v>2874</v>
      </c>
      <c r="K13" s="1370"/>
      <c r="L13" s="1370"/>
      <c r="M13" s="1370"/>
      <c r="N13" s="1370"/>
      <c r="O13" s="1370"/>
      <c r="P13" s="1370"/>
      <c r="Q13" s="1370"/>
      <c r="R13" s="1601">
        <v>12</v>
      </c>
      <c r="S13" s="1602"/>
      <c r="T13" s="1601" t="e">
        <f t="shared" si="0"/>
        <v>#DIV/0!</v>
      </c>
      <c r="U13" s="1602"/>
      <c r="V13" s="1601" t="e">
        <f t="shared" si="1"/>
        <v>#DIV/0!</v>
      </c>
      <c r="W13" s="3268"/>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275"/>
      <c r="B14" s="2768"/>
      <c r="C14" s="2769"/>
      <c r="D14" s="2770"/>
      <c r="E14" s="2770"/>
      <c r="F14" s="2771"/>
      <c r="G14" s="2772" t="s">
        <v>2875</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6"/>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3" t="s">
        <v>2881</v>
      </c>
      <c r="B16" s="2745" t="s">
        <v>2882</v>
      </c>
      <c r="C16" s="2932" t="e">
        <f>ROUND(IF(F17="与级别开发程度一致",0,(G17-E17)/C17),0)</f>
        <v>#DIV/0!</v>
      </c>
      <c r="D16" s="3287" t="s">
        <v>2886</v>
      </c>
      <c r="E16" s="3288"/>
      <c r="F16" s="3287" t="s">
        <v>2883</v>
      </c>
      <c r="G16" s="3288"/>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7"/>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ROUND(IF(H19="按公示增长率计算",SUMPRODUCT((地价!A3:A28=YEAR(G19)&amp;"-"&amp;ROUNDUP(MONTH(G19)/3,0))*(地价!X2:AB2=E2)*(地价!X3:AB28)),IF(H19="地价指数",M20/M19,(1+I19)^O19)),4)</f>
        <v>#VALUE!</v>
      </c>
      <c r="D19" s="2789" t="s">
        <v>2890</v>
      </c>
      <c r="E19" s="925">
        <v>41640</v>
      </c>
      <c r="F19" s="2789" t="s">
        <v>2891</v>
      </c>
      <c r="G19" s="926">
        <f>'数据-取费表'!B2</f>
        <v>43782</v>
      </c>
      <c r="H19" s="2790"/>
      <c r="I19" s="927" t="str">
        <f>IF(H19="季度增幅（自定义）",SUMIF(N21:N24,E2,O21:O24),"")</f>
        <v/>
      </c>
      <c r="J19" s="2787"/>
      <c r="K19" s="1377"/>
      <c r="L19" s="2791" t="s">
        <v>2892</v>
      </c>
      <c r="M19" s="1733">
        <f>ROUND(SUMIF(地价!B2:F2,E2,地价!B28:F28),0)</f>
        <v>0</v>
      </c>
      <c r="N19" s="2792" t="s">
        <v>2893</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7">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4">
        <f>ROUND(SUMPRODUCT((地价!A4:A28=YEAR(G19)&amp;"-"&amp;ROUNDUP(MONTH(G19)/3,0))*(地价!B2:F2=E2)*(地价!B4:F28)),0)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09" t="s">
        <v>2905</v>
      </c>
      <c r="D22" s="1809" t="b">
        <f>IF(E22=G22,F22,IF(G3&lt;=10,ROUND(F22+(H22-F22)*(G3-E22)/(G22-E22),4),"——"))</f>
        <v>0</v>
      </c>
      <c r="E22" s="916">
        <f>ROUNDDOWN(G3,1)</f>
        <v>3.5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84"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5"/>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5"/>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6"/>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3048</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8" t="s">
        <v>2941</v>
      </c>
      <c r="C47" s="1808" t="s">
        <v>2942</v>
      </c>
      <c r="D47" s="1808" t="s">
        <v>2943</v>
      </c>
      <c r="E47" s="819" t="s">
        <v>2944</v>
      </c>
      <c r="F47" s="2871" t="s">
        <v>2945</v>
      </c>
      <c r="G47" s="1808" t="s">
        <v>754</v>
      </c>
      <c r="H47" s="2872"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8"/>
      <c r="C58" s="1808" t="s">
        <v>2942</v>
      </c>
      <c r="D58" s="1808" t="s">
        <v>2943</v>
      </c>
      <c r="E58" s="819" t="s">
        <v>2944</v>
      </c>
      <c r="F58" s="2871" t="s">
        <v>2960</v>
      </c>
      <c r="G58" s="1808" t="s">
        <v>754</v>
      </c>
      <c r="H58" s="2872"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8"/>
      <c r="C69" s="1808" t="s">
        <v>2942</v>
      </c>
      <c r="D69" s="1808" t="s">
        <v>2943</v>
      </c>
      <c r="E69" s="819" t="s">
        <v>2944</v>
      </c>
      <c r="F69" s="2871" t="s">
        <v>2960</v>
      </c>
      <c r="G69" s="1808" t="s">
        <v>754</v>
      </c>
      <c r="H69" s="2872"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8"/>
      <c r="C80" s="1808" t="s">
        <v>2942</v>
      </c>
      <c r="D80" s="1808" t="s">
        <v>2943</v>
      </c>
      <c r="E80" s="819" t="s">
        <v>2944</v>
      </c>
      <c r="F80" s="2871" t="s">
        <v>2960</v>
      </c>
      <c r="G80" s="1808" t="s">
        <v>754</v>
      </c>
      <c r="H80" s="2872" t="s">
        <v>2946</v>
      </c>
      <c r="I80" s="1808"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78" t="s">
        <v>2970</v>
      </c>
      <c r="B90" s="3278"/>
      <c r="C90" s="3278"/>
      <c r="D90" s="3278"/>
      <c r="E90" s="3278"/>
      <c r="F90" s="3278"/>
      <c r="G90" s="3278"/>
      <c r="H90" s="3278"/>
      <c r="I90" s="3278"/>
      <c r="J90" s="3278"/>
      <c r="K90" s="2884"/>
      <c r="L90" s="2884"/>
      <c r="M90" s="2884"/>
      <c r="N90" s="2884"/>
    </row>
    <row r="91" spans="1:37">
      <c r="A91" s="3280" t="s">
        <v>2971</v>
      </c>
      <c r="B91" s="3280" t="s">
        <v>2972</v>
      </c>
      <c r="C91" s="2838" t="s">
        <v>2973</v>
      </c>
      <c r="D91" s="2839"/>
      <c r="E91" s="2839"/>
      <c r="F91" s="2839"/>
      <c r="G91" s="2839"/>
      <c r="H91" s="2839"/>
      <c r="I91" s="2839"/>
      <c r="J91" s="2885"/>
      <c r="K91" s="2886"/>
      <c r="L91" s="2886"/>
      <c r="M91" s="2886"/>
      <c r="N91" s="2886"/>
    </row>
    <row r="92" spans="1:37">
      <c r="A92" s="3280"/>
      <c r="B92" s="328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81"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2"/>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1" t="s">
        <v>2975</v>
      </c>
      <c r="B101" s="2891" t="s">
        <v>2976</v>
      </c>
      <c r="C101" s="2892">
        <f>$G$3</f>
        <v>3.5</v>
      </c>
      <c r="D101" s="2892">
        <f t="shared" ref="D101:N101" si="31">$G$3</f>
        <v>3.5</v>
      </c>
      <c r="E101" s="2892">
        <f t="shared" si="31"/>
        <v>3.5</v>
      </c>
      <c r="F101" s="2892">
        <f t="shared" si="31"/>
        <v>3.5</v>
      </c>
      <c r="G101" s="2892">
        <f t="shared" si="31"/>
        <v>3.5</v>
      </c>
      <c r="H101" s="2892">
        <f t="shared" si="31"/>
        <v>3.5</v>
      </c>
      <c r="I101" s="2892">
        <f t="shared" si="31"/>
        <v>3.5</v>
      </c>
      <c r="J101" s="2892">
        <f t="shared" si="31"/>
        <v>3.5</v>
      </c>
      <c r="K101" s="2892">
        <f t="shared" si="31"/>
        <v>3.5</v>
      </c>
      <c r="L101" s="2892">
        <f t="shared" si="31"/>
        <v>3.5</v>
      </c>
      <c r="M101" s="2892">
        <f t="shared" si="31"/>
        <v>3.5</v>
      </c>
      <c r="N101" s="2892">
        <f t="shared" si="31"/>
        <v>3.5</v>
      </c>
    </row>
    <row r="102" spans="1:14">
      <c r="A102" s="3282"/>
      <c r="B102" s="2887">
        <v>1</v>
      </c>
      <c r="C102" s="2888">
        <f>1.9362/C101</f>
        <v>0.55320000000000003</v>
      </c>
      <c r="D102" s="2888">
        <f>1.9362/D101</f>
        <v>0.55320000000000003</v>
      </c>
      <c r="E102" s="2888">
        <f>1.8629/E101</f>
        <v>0.53225714285714287</v>
      </c>
      <c r="F102" s="2888">
        <f>1.8629/F101</f>
        <v>0.53225714285714287</v>
      </c>
      <c r="G102" s="2888">
        <f>1.8629/G101</f>
        <v>0.53225714285714287</v>
      </c>
      <c r="H102" s="2888">
        <f>1.8629/H101</f>
        <v>0.53225714285714287</v>
      </c>
      <c r="I102" s="2888">
        <f>1.8629/I101</f>
        <v>0.53225714285714287</v>
      </c>
      <c r="J102" s="2888">
        <f>1.942/J101</f>
        <v>0.55485714285714283</v>
      </c>
      <c r="K102" s="2888">
        <f>1.942/K101</f>
        <v>0.55485714285714283</v>
      </c>
      <c r="L102" s="2888">
        <f>1.942/L101</f>
        <v>0.55485714285714283</v>
      </c>
      <c r="M102" s="2888">
        <f>1.942/M101</f>
        <v>0.55485714285714283</v>
      </c>
      <c r="N102" s="2888">
        <f>1.942/N101</f>
        <v>0.55485714285714283</v>
      </c>
    </row>
    <row r="103" spans="1:14">
      <c r="A103" s="3282"/>
      <c r="B103" s="2887">
        <v>2</v>
      </c>
      <c r="C103" s="2888">
        <f>1.4198/C101</f>
        <v>0.40565714285714283</v>
      </c>
      <c r="D103" s="2888">
        <f>1.4198/D101</f>
        <v>0.40565714285714283</v>
      </c>
      <c r="E103" s="2888">
        <f>1.3372/E101</f>
        <v>0.38205714285714282</v>
      </c>
      <c r="F103" s="2888">
        <f>1.3372/F101</f>
        <v>0.38205714285714282</v>
      </c>
      <c r="G103" s="2888">
        <f>1.3372/G101</f>
        <v>0.38205714285714282</v>
      </c>
      <c r="H103" s="2888">
        <f>1.3372/H101</f>
        <v>0.38205714285714282</v>
      </c>
      <c r="I103" s="2888">
        <f>1.3372/I101</f>
        <v>0.38205714285714282</v>
      </c>
      <c r="J103" s="2888">
        <f>1.2799/J101</f>
        <v>0.36568571428571428</v>
      </c>
      <c r="K103" s="2888">
        <f>1.2799/K101</f>
        <v>0.36568571428571428</v>
      </c>
      <c r="L103" s="2888">
        <f>1.2799/L101</f>
        <v>0.36568571428571428</v>
      </c>
      <c r="M103" s="2888">
        <f>1.2799/M101</f>
        <v>0.36568571428571428</v>
      </c>
      <c r="N103" s="2888">
        <f>1.2799/N101</f>
        <v>0.36568571428571428</v>
      </c>
    </row>
    <row r="104" spans="1:14">
      <c r="A104" s="3282"/>
      <c r="B104" s="2887">
        <v>3</v>
      </c>
      <c r="C104" s="2888">
        <f>1.1594/C101</f>
        <v>0.33125714285714286</v>
      </c>
      <c r="D104" s="2888">
        <f>1.1594/D101</f>
        <v>0.33125714285714286</v>
      </c>
      <c r="E104" s="2888">
        <f>1.0788/E101</f>
        <v>0.30822857142857141</v>
      </c>
      <c r="F104" s="2888">
        <f>1.0788/F101</f>
        <v>0.30822857142857141</v>
      </c>
      <c r="G104" s="2888">
        <f>1.0788/G101</f>
        <v>0.30822857142857141</v>
      </c>
      <c r="H104" s="2888">
        <f>1.0788/H101</f>
        <v>0.30822857142857141</v>
      </c>
      <c r="I104" s="2888">
        <f>1.0788/I101</f>
        <v>0.30822857142857141</v>
      </c>
      <c r="J104" s="2888">
        <f>1.0072/J101</f>
        <v>0.28777142857142862</v>
      </c>
      <c r="K104" s="2888">
        <f>1.0072/K101</f>
        <v>0.28777142857142862</v>
      </c>
      <c r="L104" s="2888">
        <f>1.0072/L101</f>
        <v>0.28777142857142862</v>
      </c>
      <c r="M104" s="2888">
        <f>1.0072/M101</f>
        <v>0.28777142857142862</v>
      </c>
      <c r="N104" s="2888">
        <f>1.0072/N101</f>
        <v>0.28777142857142862</v>
      </c>
    </row>
    <row r="105" spans="1:14">
      <c r="A105" s="3282"/>
      <c r="B105" s="2887">
        <v>4</v>
      </c>
      <c r="C105" s="2888">
        <f>0.9622/C101</f>
        <v>0.27491428571428572</v>
      </c>
      <c r="D105" s="2888">
        <f>0.9622/D101</f>
        <v>0.27491428571428572</v>
      </c>
      <c r="E105" s="2888">
        <f>0.8656/E101</f>
        <v>0.24731428571428574</v>
      </c>
      <c r="F105" s="2888">
        <f>0.8656/F101</f>
        <v>0.24731428571428574</v>
      </c>
      <c r="G105" s="2888">
        <f>0.8656/G101</f>
        <v>0.24731428571428574</v>
      </c>
      <c r="H105" s="2888">
        <f>0.8656/H101</f>
        <v>0.24731428571428574</v>
      </c>
      <c r="I105" s="2888">
        <f>0.8656/I101</f>
        <v>0.24731428571428574</v>
      </c>
      <c r="J105" s="2888">
        <f>0.7525/J101</f>
        <v>0.215</v>
      </c>
      <c r="K105" s="2888">
        <f>0.7525/K101</f>
        <v>0.215</v>
      </c>
      <c r="L105" s="2888">
        <f>0.7525/L101</f>
        <v>0.215</v>
      </c>
      <c r="M105" s="2888">
        <f>0.7525/M101</f>
        <v>0.215</v>
      </c>
      <c r="N105" s="2888">
        <f>0.7525/N101</f>
        <v>0.215</v>
      </c>
    </row>
    <row r="106" spans="1:14">
      <c r="A106" s="3282"/>
      <c r="B106" s="2887">
        <v>5</v>
      </c>
      <c r="C106" s="2888">
        <f>0.8417/C101</f>
        <v>0.24048571428571427</v>
      </c>
      <c r="D106" s="2888">
        <f>0.8417/D101</f>
        <v>0.24048571428571427</v>
      </c>
      <c r="E106" s="2888">
        <f>0.7371/E101</f>
        <v>0.21059999999999998</v>
      </c>
      <c r="F106" s="2888">
        <f>0.7371/F101</f>
        <v>0.21059999999999998</v>
      </c>
      <c r="G106" s="2888">
        <f>0.7371/G101</f>
        <v>0.21059999999999998</v>
      </c>
      <c r="H106" s="2888">
        <f>0.7371/H101</f>
        <v>0.21059999999999998</v>
      </c>
      <c r="I106" s="2888">
        <f>0.7371/I101</f>
        <v>0.21059999999999998</v>
      </c>
      <c r="J106" s="2888">
        <f>0.5659/J101</f>
        <v>0.16168571428571427</v>
      </c>
      <c r="K106" s="2888">
        <f>0.5659/K101</f>
        <v>0.16168571428571427</v>
      </c>
      <c r="L106" s="2888">
        <f>0.5659/L101</f>
        <v>0.16168571428571427</v>
      </c>
      <c r="M106" s="2888">
        <f>0.5659/M101</f>
        <v>0.16168571428571427</v>
      </c>
      <c r="N106" s="2888">
        <f>0.5659/N101</f>
        <v>0.16168571428571427</v>
      </c>
    </row>
    <row r="107" spans="1:14">
      <c r="A107" s="3282"/>
      <c r="B107" s="2887">
        <v>6</v>
      </c>
      <c r="C107" s="2888">
        <f>0.7608/C101</f>
        <v>0.21737142857142858</v>
      </c>
      <c r="D107" s="2888">
        <f>0.7608/D101</f>
        <v>0.21737142857142858</v>
      </c>
      <c r="E107" s="2888">
        <f>0.6482/E101</f>
        <v>0.1852</v>
      </c>
      <c r="F107" s="2888">
        <f>0.6482/F101</f>
        <v>0.1852</v>
      </c>
      <c r="G107" s="2888">
        <f>0.6482/G101</f>
        <v>0.1852</v>
      </c>
      <c r="H107" s="2888">
        <f>0.6482/H101</f>
        <v>0.1852</v>
      </c>
      <c r="I107" s="2888">
        <f>0.6482/I101</f>
        <v>0.1852</v>
      </c>
      <c r="J107" s="2888">
        <f>0.4525/J101</f>
        <v>0.12928571428571428</v>
      </c>
      <c r="K107" s="2888">
        <f>0.4525/K101</f>
        <v>0.12928571428571428</v>
      </c>
      <c r="L107" s="2888">
        <f>0.4525/L101</f>
        <v>0.12928571428571428</v>
      </c>
      <c r="M107" s="2888">
        <f>0.4525/M101</f>
        <v>0.12928571428571428</v>
      </c>
      <c r="N107" s="2888">
        <f>0.4525/N101</f>
        <v>0.12928571428571428</v>
      </c>
    </row>
    <row r="108" spans="1:14">
      <c r="A108" s="3282"/>
      <c r="B108" s="3139"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3"/>
      <c r="B109" s="3140"/>
      <c r="C109" s="2890">
        <f>(-0.163*(C108^2)-0.59*C108+7617)*(10^(-4))/C101</f>
        <v>0.21762857142857145</v>
      </c>
      <c r="D109" s="2890">
        <f>(-0.163*(D108^2)-0.59*D108+7617)*(10^(-4))/D101</f>
        <v>0.21762857142857145</v>
      </c>
      <c r="E109" s="2890">
        <f>(-0.161*(E108^2)-7.509*E108+6533)*(10^(-4))/E101</f>
        <v>0.18665714285714285</v>
      </c>
      <c r="F109" s="2890">
        <f>(-0.161*(F108^2)-7.509*F108+6533)*(10^(-4))/F101</f>
        <v>0.18665714285714285</v>
      </c>
      <c r="G109" s="2890">
        <f>(-0.161*(G108^2)-7.509*G108+6533)*(10^(-4))/G101</f>
        <v>0.18665714285714285</v>
      </c>
      <c r="H109" s="2890">
        <f>(-0.161*(H108^2)-7.509*H108+6533)*(10^(-4))/H101</f>
        <v>0.18665714285714285</v>
      </c>
      <c r="I109" s="2890">
        <f>(-0.161*(I108^2)-7.509*I108+6533)*(10^(-4))/I101</f>
        <v>0.18665714285714285</v>
      </c>
      <c r="J109" s="2890">
        <f>(-0.214*(J108^2)-21.991*J108+4665)*(10^(-4))/J101</f>
        <v>0.13328571428571429</v>
      </c>
      <c r="K109" s="2890">
        <f>(-0.214*(K108^2)-21.991*K108+4665)*(10^(-4))/K101</f>
        <v>0.13328571428571429</v>
      </c>
      <c r="L109" s="2890">
        <f>(-0.214*(L108^2)-21.991*L108+4665)*(10^(-4))/L101</f>
        <v>0.13328571428571429</v>
      </c>
      <c r="M109" s="2890">
        <f>(-0.214*(M108^2)-21.991*M108+4665)*(10^(-4))/M101</f>
        <v>0.13328571428571429</v>
      </c>
      <c r="N109" s="2890">
        <f>(-0.214*(N108^2)-21.991*N108+4665)*(10^(-4))/N101</f>
        <v>0.13328571428571429</v>
      </c>
    </row>
    <row r="110" spans="1:14">
      <c r="A110" s="3279" t="s">
        <v>2978</v>
      </c>
      <c r="B110" s="3279"/>
      <c r="C110" s="3279"/>
      <c r="D110" s="3279"/>
      <c r="E110" s="3279"/>
      <c r="F110" s="3279"/>
      <c r="G110" s="3279"/>
      <c r="H110" s="3279"/>
      <c r="I110" s="3279"/>
      <c r="J110" s="3279"/>
      <c r="K110" s="2893"/>
      <c r="L110" s="2893"/>
      <c r="M110" s="2893"/>
      <c r="N110" s="2893"/>
    </row>
    <row r="112" spans="1:14" ht="13.5" thickBot="1"/>
    <row r="113" spans="1:13" ht="25.5" thickBot="1">
      <c r="A113" s="903" t="s">
        <v>2979</v>
      </c>
      <c r="B113" s="1287">
        <f>G3</f>
        <v>3.5</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0.90059999999999996</v>
      </c>
      <c r="C115" s="910">
        <f>B115</f>
        <v>0.90059999999999996</v>
      </c>
      <c r="D115" s="910">
        <f>ROUND(0.8331-0.0109*B113,4)</f>
        <v>0.79500000000000004</v>
      </c>
      <c r="E115" s="910">
        <f>D115</f>
        <v>0.79500000000000004</v>
      </c>
      <c r="F115" s="910">
        <f>E115</f>
        <v>0.79500000000000004</v>
      </c>
      <c r="G115" s="910">
        <f>F115</f>
        <v>0.79500000000000004</v>
      </c>
      <c r="H115" s="910">
        <f>G115</f>
        <v>0.79500000000000004</v>
      </c>
      <c r="I115" s="910">
        <f>ROUND(0.689-0.0155*B113,4)</f>
        <v>0.63480000000000003</v>
      </c>
      <c r="J115" s="910">
        <f t="shared" ref="J115:M118" si="33">I115</f>
        <v>0.63480000000000003</v>
      </c>
      <c r="K115" s="910">
        <f t="shared" si="33"/>
        <v>0.63480000000000003</v>
      </c>
      <c r="L115" s="910">
        <f t="shared" si="33"/>
        <v>0.63480000000000003</v>
      </c>
      <c r="M115" s="911">
        <f t="shared" si="33"/>
        <v>0.63480000000000003</v>
      </c>
    </row>
    <row r="116" spans="1:13">
      <c r="A116" s="909" t="s">
        <v>2878</v>
      </c>
      <c r="B116" s="910">
        <f>ROUND(0.949-0.012*B113,4)</f>
        <v>0.90700000000000003</v>
      </c>
      <c r="C116" s="910">
        <f>B116</f>
        <v>0.90700000000000003</v>
      </c>
      <c r="D116" s="910">
        <f>ROUND(0.8567-0.013*B113,4)</f>
        <v>0.81120000000000003</v>
      </c>
      <c r="E116" s="910">
        <f t="shared" ref="E116:H117" si="34">D116</f>
        <v>0.81120000000000003</v>
      </c>
      <c r="F116" s="910">
        <f t="shared" si="34"/>
        <v>0.81120000000000003</v>
      </c>
      <c r="G116" s="910">
        <f t="shared" si="34"/>
        <v>0.81120000000000003</v>
      </c>
      <c r="H116" s="910">
        <f t="shared" si="34"/>
        <v>0.81120000000000003</v>
      </c>
      <c r="I116" s="910">
        <f>ROUND(0.7694-0.014*B113,4)</f>
        <v>0.72040000000000004</v>
      </c>
      <c r="J116" s="910">
        <f t="shared" si="33"/>
        <v>0.72040000000000004</v>
      </c>
      <c r="K116" s="910">
        <f t="shared" si="33"/>
        <v>0.72040000000000004</v>
      </c>
      <c r="L116" s="910">
        <f t="shared" si="33"/>
        <v>0.72040000000000004</v>
      </c>
      <c r="M116" s="911">
        <f t="shared" si="33"/>
        <v>0.72040000000000004</v>
      </c>
    </row>
    <row r="117" spans="1:13">
      <c r="A117" s="909" t="s">
        <v>2879</v>
      </c>
      <c r="B117" s="910">
        <f>ROUND(0.8808-0.006*B113,4)</f>
        <v>0.85980000000000001</v>
      </c>
      <c r="C117" s="910">
        <f>B117</f>
        <v>0.85980000000000001</v>
      </c>
      <c r="D117" s="910">
        <f>ROUND(0.8748-0.008*B113,4)</f>
        <v>0.8468</v>
      </c>
      <c r="E117" s="910">
        <f t="shared" si="34"/>
        <v>0.8468</v>
      </c>
      <c r="F117" s="910">
        <f t="shared" si="34"/>
        <v>0.8468</v>
      </c>
      <c r="G117" s="910">
        <f t="shared" si="34"/>
        <v>0.8468</v>
      </c>
      <c r="H117" s="910">
        <f t="shared" si="34"/>
        <v>0.8468</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2880</v>
      </c>
      <c r="B118" s="912">
        <f>ROUND(0.7275-0.01*B113,4)</f>
        <v>0.6925</v>
      </c>
      <c r="C118" s="912">
        <f>B118</f>
        <v>0.6925</v>
      </c>
      <c r="D118" s="912">
        <f>ROUND(0.7043-0.012*B113,4)</f>
        <v>0.6623</v>
      </c>
      <c r="E118" s="912">
        <f>D118</f>
        <v>0.6623</v>
      </c>
      <c r="F118" s="912">
        <f>E118</f>
        <v>0.6623</v>
      </c>
      <c r="G118" s="912">
        <f>ROUND(0.6299-0.0122*B113,4)</f>
        <v>0.58720000000000006</v>
      </c>
      <c r="H118" s="912">
        <f>G118</f>
        <v>0.58720000000000006</v>
      </c>
      <c r="I118" s="912">
        <f>ROUND(0.5667-0.0136*B113,4)</f>
        <v>0.51910000000000001</v>
      </c>
      <c r="J118" s="912">
        <f t="shared" si="33"/>
        <v>0.51910000000000001</v>
      </c>
      <c r="K118" s="912">
        <f t="shared" si="33"/>
        <v>0.51910000000000001</v>
      </c>
      <c r="L118" s="912">
        <f t="shared" si="33"/>
        <v>0.51910000000000001</v>
      </c>
      <c r="M118" s="913">
        <f t="shared" si="33"/>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9"/>
      <c r="B4" s="2984" t="s">
        <v>1625</v>
      </c>
      <c r="C4" s="2984"/>
      <c r="D4" s="2984"/>
      <c r="E4" s="1959"/>
    </row>
    <row r="5" spans="1:5" ht="16.5" thickTop="1">
      <c r="A5" s="1957"/>
      <c r="B5" s="2982" t="s">
        <v>1617</v>
      </c>
      <c r="C5" s="1960" t="s">
        <v>1618</v>
      </c>
      <c r="D5" s="1040">
        <f ca="1">结果表!H101</f>
        <v>134635</v>
      </c>
      <c r="E5" s="1957"/>
    </row>
    <row r="6" spans="1:5" ht="15.75">
      <c r="A6" s="1957"/>
      <c r="B6" s="2982"/>
      <c r="C6" s="1960" t="s">
        <v>1619</v>
      </c>
      <c r="D6" s="1040" t="str">
        <f ca="1">NUMBERSTRING(INT(D5*10000),2)&amp;"元整"</f>
        <v>壹拾叁亿肆仟陆佰叁拾伍万元整</v>
      </c>
      <c r="E6" s="1957"/>
    </row>
    <row r="7" spans="1:5" ht="15.75">
      <c r="A7" s="1957"/>
      <c r="B7" s="2987"/>
      <c r="C7" s="1961" t="s">
        <v>1620</v>
      </c>
      <c r="D7" s="1041">
        <f ca="1">结果表!H102</f>
        <v>14040</v>
      </c>
      <c r="E7" s="1957"/>
    </row>
    <row r="8" spans="1:5" ht="15.75">
      <c r="A8" s="1957"/>
      <c r="B8" s="2988" t="str">
        <f>结果表!E103</f>
        <v>2.估价师知悉的法定优先受偿款</v>
      </c>
      <c r="C8" s="1962" t="s">
        <v>1621</v>
      </c>
      <c r="D8" s="1041">
        <f>结果表!H103</f>
        <v>0</v>
      </c>
      <c r="E8" s="1957"/>
    </row>
    <row r="9" spans="1:5" ht="15.75">
      <c r="A9" s="1957"/>
      <c r="B9" s="2990"/>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81" t="str">
        <f>结果表!E107</f>
        <v>3.房地产抵押价值</v>
      </c>
      <c r="C13" s="1965" t="s">
        <v>1618</v>
      </c>
      <c r="D13" s="1043">
        <f ca="1">结果表!H107</f>
        <v>134635</v>
      </c>
      <c r="E13" s="1957"/>
    </row>
    <row r="14" spans="1:5" ht="15.75">
      <c r="A14" s="1957"/>
      <c r="B14" s="2982"/>
      <c r="C14" s="1960" t="s">
        <v>1619</v>
      </c>
      <c r="D14" s="1040" t="str">
        <f ca="1">NUMBERSTRING(INT(D13*10000),2)&amp;"元整"</f>
        <v>壹拾叁亿肆仟陆佰叁拾伍万元整</v>
      </c>
      <c r="E14" s="1957"/>
    </row>
    <row r="15" spans="1:5" ht="15">
      <c r="A15" s="1957"/>
      <c r="B15" s="2987"/>
      <c r="C15" s="1961" t="s">
        <v>1629</v>
      </c>
      <c r="D15" s="1052">
        <f ca="1">结果表!H108</f>
        <v>14040</v>
      </c>
      <c r="E15" s="1957"/>
    </row>
    <row r="16" spans="1:5" ht="15">
      <c r="A16" s="1957"/>
      <c r="B16" s="2988" t="str">
        <f>结果表!E109</f>
        <v>——</v>
      </c>
      <c r="C16" s="1965" t="s">
        <v>1630</v>
      </c>
      <c r="D16" s="1966" t="str">
        <f>结果表!H109</f>
        <v>——</v>
      </c>
      <c r="E16" s="1957"/>
    </row>
    <row r="17" spans="1:5" ht="15.75">
      <c r="A17" s="1957"/>
      <c r="B17" s="2989"/>
      <c r="C17" s="1960" t="s">
        <v>1631</v>
      </c>
      <c r="D17" s="1040" t="e">
        <f>NUMBERSTRING(INT(D16*10000),2)&amp;"元整"</f>
        <v>#VALUE!</v>
      </c>
      <c r="E17" s="1957"/>
    </row>
    <row r="18" spans="1:5" ht="15">
      <c r="A18" s="1957"/>
      <c r="B18" s="2990"/>
      <c r="C18" s="1961" t="s">
        <v>1620</v>
      </c>
      <c r="D18" s="1052" t="str">
        <f>结果表!H110</f>
        <v>——</v>
      </c>
      <c r="E18" s="1957"/>
    </row>
    <row r="19" spans="1:5" ht="15.75">
      <c r="A19" s="1957"/>
      <c r="B19" s="2981" t="str">
        <f>结果表!E111</f>
        <v>——</v>
      </c>
      <c r="C19" s="1965" t="s">
        <v>1618</v>
      </c>
      <c r="D19" s="1041" t="str">
        <f>结果表!H111</f>
        <v>——</v>
      </c>
      <c r="E19" s="1957"/>
    </row>
    <row r="20" spans="1:5" ht="15.75">
      <c r="A20" s="1957"/>
      <c r="B20" s="2982"/>
      <c r="C20" s="1960" t="s">
        <v>1631</v>
      </c>
      <c r="D20" s="1040" t="e">
        <f>NUMBERSTRING(INT(D19*10000),2)&amp;"元整"</f>
        <v>#VALUE!</v>
      </c>
      <c r="E20" s="1957"/>
    </row>
    <row r="21" spans="1:5" ht="15.75" thickBot="1">
      <c r="A21" s="1957"/>
      <c r="B21" s="2983"/>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D1" zoomScale="80" zoomScaleNormal="80" workbookViewId="0">
      <selection activeCell="J7" sqref="J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1146</v>
      </c>
      <c r="C1" s="3295"/>
      <c r="D1" s="3295"/>
      <c r="E1" s="3295"/>
      <c r="F1" s="3295"/>
      <c r="G1" s="3294" t="s">
        <v>1147</v>
      </c>
      <c r="H1" s="3294"/>
      <c r="I1" s="3294"/>
      <c r="J1" s="3294"/>
      <c r="K1" s="3294"/>
      <c r="L1" s="3294"/>
      <c r="N1" s="3294" t="s">
        <v>1148</v>
      </c>
      <c r="O1" s="3294"/>
      <c r="P1" s="3294"/>
      <c r="Q1" s="3294"/>
      <c r="R1" s="1446"/>
      <c r="S1" s="3294" t="s">
        <v>1149</v>
      </c>
      <c r="T1" s="3294"/>
      <c r="U1" s="3294"/>
      <c r="V1" s="3294"/>
      <c r="X1" s="3293" t="s">
        <v>1150</v>
      </c>
      <c r="Y1" s="3294"/>
      <c r="Z1" s="3294"/>
      <c r="AA1" s="3294"/>
      <c r="AB1" s="3294"/>
      <c r="AD1" s="3293" t="s">
        <v>1151</v>
      </c>
      <c r="AE1" s="3294"/>
      <c r="AF1" s="3294"/>
      <c r="AG1" s="3294"/>
      <c r="AH1" s="3294"/>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3036</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1">
        <v>2019</v>
      </c>
      <c r="H5" s="1729">
        <v>4</v>
      </c>
      <c r="I5" s="2914">
        <v>0</v>
      </c>
      <c r="J5" s="2914">
        <v>0</v>
      </c>
      <c r="K5" s="2914">
        <v>0</v>
      </c>
      <c r="L5" s="2914">
        <v>0</v>
      </c>
      <c r="N5" s="1467">
        <f t="shared" ref="N5:N10" si="7">I5/100</f>
        <v>0</v>
      </c>
      <c r="O5" s="1467">
        <f t="shared" ref="O5" si="8">J5/100</f>
        <v>0</v>
      </c>
      <c r="P5" s="1467">
        <f t="shared" ref="P5" si="9">K5/100</f>
        <v>0</v>
      </c>
      <c r="Q5" s="1467">
        <f t="shared" ref="Q5" si="10">L5/100</f>
        <v>0</v>
      </c>
      <c r="R5" s="1731"/>
      <c r="S5" s="1732"/>
      <c r="T5" s="1731"/>
      <c r="U5" s="1731"/>
      <c r="V5" s="1731"/>
      <c r="W5" s="2917" t="s">
        <v>3037</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3051</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3049</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3052</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91">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1"/>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1"/>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300"/>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3032</v>
      </c>
      <c r="B13" s="1469">
        <v>439</v>
      </c>
      <c r="C13" s="1469">
        <v>327</v>
      </c>
      <c r="D13" s="1469">
        <f>C13</f>
        <v>327</v>
      </c>
      <c r="E13" s="1469">
        <v>627</v>
      </c>
      <c r="F13" s="1470">
        <v>283</v>
      </c>
      <c r="G13" s="3296">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1"/>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91"/>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300"/>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96">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1"/>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1"/>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2"/>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90">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1"/>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1"/>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2"/>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90">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1"/>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1"/>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2"/>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97">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8"/>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8"/>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9"/>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90">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91"/>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91"/>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92"/>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90">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1">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91">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92">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90">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1">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91">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92">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90">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1">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91">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92">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90">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1">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91">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92">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90">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1">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91">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92">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90">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1">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91">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92">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90">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1">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91">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92">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90">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1">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91">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92">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90">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91">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91">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92">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90">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91">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91">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92">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02" t="s">
        <v>3004</v>
      </c>
      <c r="D1" s="3303"/>
      <c r="E1" s="3303"/>
      <c r="F1" s="3303"/>
      <c r="G1" s="3303"/>
      <c r="H1" s="3303"/>
      <c r="I1" s="3303"/>
      <c r="J1" s="3303"/>
      <c r="K1" s="3303"/>
      <c r="L1" s="3303"/>
      <c r="M1" s="3303"/>
      <c r="N1" s="3303"/>
      <c r="O1" s="3303"/>
      <c r="P1" s="3303"/>
      <c r="Q1" s="3303"/>
      <c r="R1" s="3303"/>
      <c r="S1" s="3304"/>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1"/>
      <c r="F19" s="1791"/>
      <c r="G19" s="1791"/>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1" t="s">
        <v>33</v>
      </c>
      <c r="D22" s="3162"/>
      <c r="E22" s="3162"/>
      <c r="F22" s="3162"/>
      <c r="G22" s="3162"/>
      <c r="H22" s="3162"/>
      <c r="I22" s="3162"/>
      <c r="J22" s="3162"/>
      <c r="K22" s="3162"/>
      <c r="L22" s="3162"/>
      <c r="M22" s="3162"/>
      <c r="N22" s="3162"/>
      <c r="O22" s="3162"/>
      <c r="P22" s="3162"/>
      <c r="Q22" s="3301"/>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53215</v>
      </c>
      <c r="C2" s="2" t="s">
        <v>133</v>
      </c>
      <c r="D2" s="243"/>
      <c r="E2" s="243"/>
      <c r="F2" s="243"/>
      <c r="G2" s="243"/>
    </row>
    <row r="3" spans="1:7" s="244" customFormat="1" ht="18" customHeight="1" thickBot="1">
      <c r="A3" s="247" t="s">
        <v>85</v>
      </c>
      <c r="B3" s="248">
        <f ca="1">ROUND(B2*10000/'数据-汇总表'!E3,0)</f>
        <v>5549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1918</v>
      </c>
      <c r="D10" s="1032">
        <f>'数据-汇总表'!E6</f>
        <v>95896.06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1918</v>
      </c>
      <c r="D19" s="1036">
        <f>'数据-汇总表'!E3</f>
        <v>95896.06</v>
      </c>
      <c r="E19" s="255">
        <f>'数据-取费表'!B31</f>
        <v>200</v>
      </c>
      <c r="F19" s="275"/>
      <c r="G19" s="1" t="s">
        <v>1071</v>
      </c>
    </row>
    <row r="20" spans="1:7" s="258" customFormat="1" ht="13.5" customHeight="1">
      <c r="A20" s="948" t="s">
        <v>1054</v>
      </c>
      <c r="B20" s="254" t="s">
        <v>104</v>
      </c>
      <c r="C20" s="276">
        <f>ROUND((C5+C19)*F20,0)</f>
        <v>451</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1470</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1332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124</v>
      </c>
      <c r="D24" s="282"/>
      <c r="E24" s="282"/>
      <c r="F24" s="283"/>
      <c r="G24" s="284" t="s">
        <v>109</v>
      </c>
    </row>
    <row r="25" spans="1:7" s="258" customFormat="1" ht="24">
      <c r="A25" s="951" t="s">
        <v>793</v>
      </c>
      <c r="B25" s="259" t="s">
        <v>1055</v>
      </c>
      <c r="C25" s="1355">
        <f ca="1">ROUND(IF('数据-取费表'!B22&lt;=1,C20*F22*'数据-取费表'!B23/2,C20*(POWER((1+F22),'数据-取费表'!B23/2)-1)),0)</f>
        <v>14</v>
      </c>
      <c r="D25" s="282"/>
      <c r="E25" s="285"/>
      <c r="F25" s="283"/>
      <c r="G25" s="286" t="s">
        <v>110</v>
      </c>
    </row>
    <row r="26" spans="1:7" s="258" customFormat="1">
      <c r="A26" s="951" t="s">
        <v>795</v>
      </c>
      <c r="B26" s="259" t="s">
        <v>1057</v>
      </c>
      <c r="C26" s="282">
        <f ca="1">ROUND(IF('数据-取费表'!B22&lt;=1,F21*F22*'数据-取费表'!B23/2,F21*(POWER((1+F22),'数据-取费表'!B23/2)-1)),4)</f>
        <v>5.9999999999999995E-4</v>
      </c>
      <c r="D26" s="282"/>
      <c r="E26" s="285"/>
      <c r="F26" s="283"/>
      <c r="G26" s="287"/>
    </row>
    <row r="27" spans="1:7" s="258" customFormat="1" ht="24.75">
      <c r="A27" s="948" t="s">
        <v>787</v>
      </c>
      <c r="B27" s="288" t="s">
        <v>112</v>
      </c>
      <c r="C27" s="289">
        <f>C28</f>
        <v>2068</v>
      </c>
      <c r="D27" s="279">
        <f>C29</f>
        <v>1.8E-3</v>
      </c>
      <c r="E27" s="280" t="s">
        <v>126</v>
      </c>
      <c r="F27" s="290">
        <f>'数据-取费表'!Q16</f>
        <v>0.2</v>
      </c>
      <c r="G27" s="291" t="s">
        <v>1066</v>
      </c>
    </row>
    <row r="28" spans="1:7" s="258" customFormat="1" ht="13.5" customHeight="1">
      <c r="A28" s="951" t="s">
        <v>794</v>
      </c>
      <c r="B28" s="292" t="s">
        <v>1059</v>
      </c>
      <c r="C28" s="293">
        <f>ROUND((C5+C19+C20)*F27*'数据-取费表'!B21/'数据-取费表'!B20,0)</f>
        <v>2068</v>
      </c>
      <c r="D28" s="279"/>
      <c r="E28" s="280"/>
      <c r="F28" s="290"/>
      <c r="G28" s="291"/>
    </row>
    <row r="29" spans="1:7" s="258" customFormat="1" ht="13.5" customHeight="1">
      <c r="A29" s="951" t="s">
        <v>792</v>
      </c>
      <c r="B29" s="292" t="s">
        <v>1060</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28660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18039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16436</v>
      </c>
      <c r="D34" s="261"/>
      <c r="E34" s="264"/>
      <c r="F34" s="301">
        <f>IF('数据-取费表'!B24=0,1,'数据-取费表'!N16)</f>
        <v>0.45</v>
      </c>
      <c r="G34" s="263" t="s">
        <v>116</v>
      </c>
    </row>
    <row r="35" spans="1:7" ht="13.5" customHeight="1">
      <c r="A35" s="951" t="s">
        <v>796</v>
      </c>
      <c r="B35" s="259" t="s">
        <v>60</v>
      </c>
      <c r="C35" s="264">
        <f>ROUND(C34*F35,0)</f>
        <v>493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863</v>
      </c>
      <c r="D37" s="261">
        <f>'数据-汇总表'!E3</f>
        <v>95896.06</v>
      </c>
      <c r="E37" s="293">
        <f>'数据-取费表'!B35</f>
        <v>200</v>
      </c>
      <c r="F37" s="303"/>
      <c r="G37" s="305" t="s">
        <v>119</v>
      </c>
    </row>
    <row r="38" spans="1:7" ht="13.5" customHeight="1">
      <c r="A38" s="951" t="s">
        <v>799</v>
      </c>
      <c r="B38" s="259" t="s">
        <v>63</v>
      </c>
      <c r="C38" s="264">
        <f>ROUND(C34*F38,0)</f>
        <v>247</v>
      </c>
      <c r="D38" s="264"/>
      <c r="E38" s="264"/>
      <c r="F38" s="303">
        <f>'数据-取费表'!B36</f>
        <v>1.4999999999999999E-2</v>
      </c>
      <c r="G38" s="263" t="s">
        <v>117</v>
      </c>
    </row>
    <row r="39" spans="1:7" s="258" customFormat="1" ht="13.5" customHeight="1">
      <c r="A39" s="948" t="s">
        <v>783</v>
      </c>
      <c r="B39" s="254" t="s">
        <v>104</v>
      </c>
      <c r="C39" s="276">
        <f>ROUND(C33*F20,0)</f>
        <v>361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585</v>
      </c>
      <c r="D41" s="279">
        <f ca="1">C44</f>
        <v>5.9999999999999995E-4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574</v>
      </c>
      <c r="D42" s="282"/>
      <c r="E42" s="282"/>
      <c r="F42" s="283"/>
      <c r="G42" s="3166" t="s">
        <v>121</v>
      </c>
    </row>
    <row r="43" spans="1:7" ht="13.5" customHeight="1">
      <c r="A43" s="951" t="s">
        <v>792</v>
      </c>
      <c r="B43" s="259" t="s">
        <v>1061</v>
      </c>
      <c r="C43" s="282">
        <f ca="1">ROUND(IF('数据-取费表'!B22&lt;=1,C39*F22*'数据-取费表'!B21/2,C39*(POWER((1+F22),'数据-取费表'!B21/2)-1)),0)</f>
        <v>11</v>
      </c>
      <c r="D43" s="282"/>
      <c r="E43" s="282"/>
      <c r="F43" s="283"/>
      <c r="G43" s="3167"/>
    </row>
    <row r="44" spans="1:7" ht="13.5" customHeight="1">
      <c r="A44" s="951" t="s">
        <v>793</v>
      </c>
      <c r="B44" s="259" t="s">
        <v>1063</v>
      </c>
      <c r="C44" s="282">
        <f ca="1">ROUND(IF('数据-取费表'!B22&lt;=1,C40*F22*'数据-取费表'!B21/2,C40*(POWER((1+F22),'数据-取费表'!B21/2)-1)),4)</f>
        <v>5.9999999999999995E-4</v>
      </c>
      <c r="D44" s="282"/>
      <c r="E44" s="282"/>
      <c r="F44" s="283"/>
      <c r="G44" s="3168"/>
    </row>
    <row r="45" spans="1:7" s="258" customFormat="1" ht="13.5" customHeight="1">
      <c r="A45" s="948" t="s">
        <v>786</v>
      </c>
      <c r="B45" s="288" t="s">
        <v>112</v>
      </c>
      <c r="C45" s="289">
        <f>C46</f>
        <v>3680</v>
      </c>
      <c r="D45" s="279">
        <f>C47</f>
        <v>4.0000000000000001E-3</v>
      </c>
      <c r="E45" s="280" t="s">
        <v>129</v>
      </c>
      <c r="F45" s="290"/>
      <c r="G45" s="291" t="s">
        <v>1069</v>
      </c>
    </row>
    <row r="46" spans="1:7" s="258" customFormat="1" ht="13.5" customHeight="1">
      <c r="A46" s="951" t="s">
        <v>794</v>
      </c>
      <c r="B46" s="292" t="s">
        <v>1062</v>
      </c>
      <c r="C46" s="293">
        <f>ROUND((C33+C39)*F27,0)</f>
        <v>3680</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24555</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24555</v>
      </c>
      <c r="D51" s="276"/>
      <c r="E51" s="276"/>
      <c r="F51" s="308"/>
      <c r="G51" s="278" t="s">
        <v>64</v>
      </c>
    </row>
    <row r="52" spans="1:7" s="252" customFormat="1" ht="16.5" thickBot="1">
      <c r="A52" s="309" t="s">
        <v>65</v>
      </c>
      <c r="B52" s="310"/>
      <c r="C52" s="311">
        <f ca="1">C31+C51</f>
        <v>53215</v>
      </c>
      <c r="D52" s="310"/>
      <c r="E52" s="310"/>
      <c r="F52" s="310"/>
      <c r="G52" s="312"/>
    </row>
    <row r="55" spans="1:7" ht="15">
      <c r="B55" s="314" t="s">
        <v>66</v>
      </c>
      <c r="C55" s="315"/>
    </row>
    <row r="56" spans="1:7">
      <c r="B56" s="317" t="s">
        <v>67</v>
      </c>
      <c r="C56" s="318">
        <f ca="1">ROUND(C51/C52,3)</f>
        <v>0.46100000000000002</v>
      </c>
    </row>
    <row r="57" spans="1:7">
      <c r="B57" s="317" t="s">
        <v>68</v>
      </c>
      <c r="C57" s="319">
        <f ca="1">1-C56</f>
        <v>0.53899999999999992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43782</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1636</v>
      </c>
      <c r="B2" s="3001" t="s">
        <v>1637</v>
      </c>
      <c r="C2" s="3001" t="s">
        <v>1638</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4" t="s">
        <v>1633</v>
      </c>
      <c r="E3" s="1044" t="s">
        <v>1639</v>
      </c>
      <c r="F3" s="1044" t="s">
        <v>1633</v>
      </c>
      <c r="G3" s="1044" t="s">
        <v>1634</v>
      </c>
      <c r="H3" s="1044" t="s">
        <v>1633</v>
      </c>
      <c r="I3" s="1044" t="s">
        <v>1634</v>
      </c>
    </row>
    <row r="4" spans="1:9" ht="30">
      <c r="A4" s="1971" t="str">
        <f>项目基本情况!S2</f>
        <v>北京市出让国有建设用地使用权及在建建筑物房地产</v>
      </c>
      <c r="B4" s="1044">
        <f>项目基本情况!C17</f>
        <v>95896.06</v>
      </c>
      <c r="C4" s="1044">
        <f>项目基本情况!C18</f>
        <v>15644.81</v>
      </c>
      <c r="D4" s="1044">
        <f ca="1">结果表!D118</f>
        <v>111343</v>
      </c>
      <c r="E4" s="1044">
        <f ca="1">结果表!E118</f>
        <v>11611</v>
      </c>
      <c r="F4" s="1044">
        <f ca="1">结果表!F118</f>
        <v>23292</v>
      </c>
      <c r="G4" s="1044">
        <f ca="1">结果表!G118</f>
        <v>2429</v>
      </c>
      <c r="H4" s="1044">
        <f ca="1">结果表!H118</f>
        <v>134635</v>
      </c>
      <c r="I4" s="1044">
        <f ca="1">结果表!I118</f>
        <v>14040</v>
      </c>
    </row>
    <row r="5" spans="1:9" ht="30" customHeight="1">
      <c r="A5" s="2995" t="s">
        <v>1635</v>
      </c>
      <c r="B5" s="2995"/>
      <c r="C5" s="2995"/>
      <c r="D5" s="2996" t="str">
        <f ca="1">结果表!D119</f>
        <v>壹拾壹亿壹仟叁佰肆拾叁万元整</v>
      </c>
      <c r="E5" s="2996"/>
      <c r="F5" s="2996" t="str">
        <f ca="1">结果表!F119</f>
        <v>贰亿叁仟贰佰玖拾贰万元整</v>
      </c>
      <c r="G5" s="2996"/>
      <c r="H5" s="2996" t="str">
        <f ca="1">结果表!H119</f>
        <v>壹拾叁亿肆仟陆佰叁拾伍万元整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1635</v>
      </c>
      <c r="B7" s="2995"/>
      <c r="C7" s="2995"/>
      <c r="D7" s="2997" t="str">
        <f>结果表!D121</f>
        <v>零元整</v>
      </c>
      <c r="E7" s="2998"/>
      <c r="F7" s="2998"/>
      <c r="G7" s="2998"/>
      <c r="H7" s="2998"/>
      <c r="I7" s="2999"/>
    </row>
    <row r="8" spans="1:9" ht="15.75">
      <c r="A8" s="2994" t="str">
        <f>结果表!A122</f>
        <v>房地产抵押价值</v>
      </c>
      <c r="B8" s="2994"/>
      <c r="C8" s="2994"/>
      <c r="D8" s="2994">
        <f ca="1">结果表!D122</f>
        <v>134635</v>
      </c>
      <c r="E8" s="2994"/>
      <c r="F8" s="2994"/>
      <c r="G8" s="2994"/>
      <c r="H8" s="2994"/>
      <c r="I8" s="2994"/>
    </row>
    <row r="9" spans="1:9" ht="15">
      <c r="A9" s="2995" t="s">
        <v>1635</v>
      </c>
      <c r="B9" s="2995"/>
      <c r="C9" s="2995"/>
      <c r="D9" s="2996" t="str">
        <f ca="1">结果表!D123</f>
        <v>壹拾叁亿肆仟陆佰叁拾伍万元整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1635</v>
      </c>
      <c r="B11" s="2995"/>
      <c r="C11" s="2995"/>
      <c r="D11" s="2996" t="e">
        <f>结果表!D125</f>
        <v>#VALUE!</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1635</v>
      </c>
      <c r="B13" s="2991"/>
      <c r="C13" s="2991"/>
      <c r="D13" s="2992" t="e">
        <f>结果表!D127</f>
        <v>#VALUE!</v>
      </c>
      <c r="E13" s="2992"/>
      <c r="F13" s="2992"/>
      <c r="G13" s="2992"/>
      <c r="H13" s="2992"/>
      <c r="I13" s="2992"/>
    </row>
    <row r="14" spans="1:9" ht="15" thickTop="1">
      <c r="A14" s="2993" t="s">
        <v>1640</v>
      </c>
      <c r="B14" s="2993"/>
      <c r="C14" s="2993"/>
      <c r="D14" s="2993"/>
      <c r="E14" s="2993"/>
      <c r="F14" s="2993"/>
      <c r="G14" s="2993"/>
      <c r="H14" s="2993"/>
      <c r="I14" s="2993"/>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8" t="s">
        <v>1657</v>
      </c>
      <c r="B1" s="3008"/>
      <c r="C1" s="3008"/>
      <c r="D1" s="3008"/>
    </row>
    <row r="2" spans="1:4" ht="18">
      <c r="A2" s="3009" t="s">
        <v>1641</v>
      </c>
      <c r="B2" s="3009"/>
      <c r="C2" s="3009"/>
      <c r="D2" s="3009"/>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09" t="s">
        <v>1647</v>
      </c>
      <c r="B6" s="3009"/>
      <c r="C6" s="3009"/>
      <c r="D6" s="3009"/>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10" t="s">
        <v>1650</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1651</v>
      </c>
      <c r="B16" s="3004"/>
      <c r="C16" s="3004"/>
      <c r="D16" s="3004"/>
    </row>
    <row r="17" spans="1:4" ht="144" customHeight="1">
      <c r="A17" s="3004" t="s">
        <v>1652</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1653</v>
      </c>
      <c r="B22" s="3006"/>
      <c r="C22" s="3006"/>
      <c r="D22" s="3006"/>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6" t="s">
        <v>1664</v>
      </c>
      <c r="B15" s="3011" t="s">
        <v>136</v>
      </c>
      <c r="C15" s="3012"/>
    </row>
    <row r="16" spans="1:7" ht="13.5">
      <c r="A16" s="3017"/>
      <c r="B16" s="3011" t="s">
        <v>69</v>
      </c>
      <c r="C16" s="3012"/>
    </row>
    <row r="17" spans="1:3" ht="13.5">
      <c r="A17" s="3017"/>
      <c r="B17" s="3014" t="s">
        <v>1665</v>
      </c>
      <c r="C17" s="1998" t="s">
        <v>1664</v>
      </c>
    </row>
    <row r="18" spans="1:3" ht="13.5">
      <c r="A18" s="3017"/>
      <c r="B18" s="3014"/>
      <c r="C18" s="1998" t="s">
        <v>1666</v>
      </c>
    </row>
    <row r="19" spans="1:3" ht="13.5">
      <c r="A19" s="3017"/>
      <c r="B19" s="3014"/>
      <c r="C19" s="1998" t="s">
        <v>1667</v>
      </c>
    </row>
    <row r="20" spans="1:3" ht="13.5">
      <c r="A20" s="3018"/>
      <c r="B20" s="3013" t="s">
        <v>1668</v>
      </c>
      <c r="C20" s="3012"/>
    </row>
    <row r="21" spans="1:3" ht="13.5">
      <c r="A21" s="1999" t="s">
        <v>1669</v>
      </c>
      <c r="B21" s="2000"/>
      <c r="C21" s="2001"/>
    </row>
    <row r="22" spans="1:3" ht="13.5">
      <c r="A22" s="3015" t="s">
        <v>1670</v>
      </c>
      <c r="B22" s="3013" t="s">
        <v>1671</v>
      </c>
      <c r="C22" s="3012"/>
    </row>
    <row r="23" spans="1:3" ht="13.5">
      <c r="A23" s="3015"/>
      <c r="B23" s="3013" t="s">
        <v>1672</v>
      </c>
      <c r="C23" s="3012"/>
    </row>
    <row r="24" spans="1:3" ht="13.5">
      <c r="A24" s="3015"/>
      <c r="B24" s="3013" t="s">
        <v>1673</v>
      </c>
      <c r="C24" s="3012"/>
    </row>
    <row r="25" spans="1:3" ht="13.5">
      <c r="A25" s="3015"/>
      <c r="B25" s="3014" t="s">
        <v>1674</v>
      </c>
      <c r="C25" s="1998" t="s">
        <v>1675</v>
      </c>
    </row>
    <row r="26" spans="1:3" ht="13.5">
      <c r="A26" s="3015"/>
      <c r="B26" s="3014"/>
      <c r="C26" s="1998" t="s">
        <v>1676</v>
      </c>
    </row>
    <row r="27" spans="1:3" ht="13.5">
      <c r="A27" s="3015"/>
      <c r="B27" s="3014"/>
      <c r="C27" s="1998" t="s">
        <v>1677</v>
      </c>
    </row>
    <row r="28" spans="1:3" ht="13.5">
      <c r="A28" s="3015"/>
      <c r="B28" s="3014"/>
      <c r="C28" s="1998" t="s">
        <v>1678</v>
      </c>
    </row>
    <row r="29" spans="1:3" ht="13.5">
      <c r="A29" s="3015"/>
      <c r="B29" s="3014"/>
      <c r="C29" s="1998" t="s">
        <v>1679</v>
      </c>
    </row>
    <row r="30" spans="1:3" ht="13.5">
      <c r="A30" s="3015"/>
      <c r="B30" s="3014"/>
      <c r="C30" s="1998" t="s">
        <v>1680</v>
      </c>
    </row>
    <row r="31" spans="1:3" ht="13.5">
      <c r="A31" s="3015"/>
      <c r="B31" s="3014"/>
      <c r="C31" s="1998" t="s">
        <v>1681</v>
      </c>
    </row>
    <row r="32" spans="1:3" ht="13.5">
      <c r="A32" s="3015"/>
      <c r="B32" s="3014"/>
      <c r="C32" s="1998" t="s">
        <v>1682</v>
      </c>
    </row>
    <row r="33" spans="1:3" ht="13.5">
      <c r="A33" s="3015"/>
      <c r="B33" s="3014"/>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43790</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f ca="1">IF(C10&lt;B2,"已过期",1120060040)</f>
        <v>1120060040</v>
      </c>
      <c r="C10" s="2346">
        <v>44554</v>
      </c>
      <c r="D10" s="2349" t="s">
        <v>838</v>
      </c>
      <c r="E10" s="1022">
        <f ca="1">IF(F10&lt;B2,"已过期",2004110096)</f>
        <v>2004110096</v>
      </c>
      <c r="F10" s="1030">
        <v>47118</v>
      </c>
    </row>
    <row r="11" spans="1:6" ht="24" customHeight="1">
      <c r="A11" s="1701" t="s">
        <v>839</v>
      </c>
      <c r="B11" s="1022">
        <f ca="1">IF(C11&lt;B2,"已过期",1120100036)</f>
        <v>1120100036</v>
      </c>
      <c r="C11" s="2346">
        <v>44675</v>
      </c>
      <c r="D11" s="2349"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3044</v>
      </c>
      <c r="B14" s="1022">
        <f ca="1">IF(C14&lt;B2,"已过期",1120040230)</f>
        <v>1120040230</v>
      </c>
      <c r="C14" s="2346">
        <v>43835</v>
      </c>
      <c r="D14" s="2349" t="s">
        <v>3044</v>
      </c>
      <c r="E14" s="1022">
        <f ca="1">IF(F14&lt;B2,"已过期",98030020)</f>
        <v>98030020</v>
      </c>
      <c r="F14" s="1030">
        <v>47118</v>
      </c>
    </row>
    <row r="15" spans="1:6" ht="24" customHeight="1">
      <c r="A15" s="1702" t="s">
        <v>3045</v>
      </c>
      <c r="B15" s="1022">
        <f ca="1">IF(C15&lt;B2,"已过期",1120070085)</f>
        <v>1120070085</v>
      </c>
      <c r="C15" s="2346">
        <v>43814</v>
      </c>
      <c r="D15" s="2350" t="s">
        <v>3045</v>
      </c>
      <c r="E15" s="1022">
        <f ca="1">IF(F15&lt;B2,"已过期",2004110128)</f>
        <v>2004110128</v>
      </c>
      <c r="F15" s="1023">
        <v>47118</v>
      </c>
    </row>
    <row r="16" spans="1:6" ht="24" customHeight="1">
      <c r="A16" s="1701" t="s">
        <v>3046</v>
      </c>
      <c r="B16" s="1022">
        <f ca="1">IF(C16&lt;B2,"已过期",1120140022)</f>
        <v>1120140022</v>
      </c>
      <c r="C16" s="2928">
        <v>44029</v>
      </c>
      <c r="D16" s="2349" t="s">
        <v>3046</v>
      </c>
      <c r="E16" s="1022">
        <f ca="1">IF(F16&lt;B2,"已过期",2008110059)</f>
        <v>2008110059</v>
      </c>
      <c r="F16" s="1030">
        <v>47177</v>
      </c>
    </row>
    <row r="17" spans="1:7" ht="24" customHeight="1">
      <c r="A17" s="1701"/>
      <c r="B17" s="1022"/>
      <c r="C17" s="2346"/>
      <c r="D17" s="2349" t="s">
        <v>3047</v>
      </c>
      <c r="E17" s="1022">
        <f ca="1">IF(F17&lt;B2,"已过期",2014110076)</f>
        <v>2014110076</v>
      </c>
      <c r="F17" s="1030">
        <v>49302</v>
      </c>
    </row>
    <row r="18" spans="1:7" ht="24" customHeight="1">
      <c r="A18" s="1701" t="s">
        <v>3055</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8">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19" t="s">
        <v>843</v>
      </c>
      <c r="B25" s="3019"/>
      <c r="C25" s="3019"/>
      <c r="D25" s="3019"/>
      <c r="E25" s="3019"/>
      <c r="F25" s="3019"/>
      <c r="G25" s="3019"/>
    </row>
    <row r="26" spans="1:7" s="1025" customFormat="1" ht="24" customHeight="1">
      <c r="A26" s="3020" t="s">
        <v>844</v>
      </c>
      <c r="B26" s="3020"/>
      <c r="C26" s="3021"/>
      <c r="D26" s="3022" t="s">
        <v>845</v>
      </c>
      <c r="E26" s="3020"/>
      <c r="F26" s="3020"/>
    </row>
    <row r="27" spans="1:7" s="1027" customFormat="1" ht="24" customHeight="1">
      <c r="A27" s="1026" t="s">
        <v>846</v>
      </c>
      <c r="B27" s="1021" t="s">
        <v>847</v>
      </c>
      <c r="C27" s="2345" t="s">
        <v>848</v>
      </c>
      <c r="D27" s="2352" t="s">
        <v>846</v>
      </c>
      <c r="E27" s="1021" t="s">
        <v>847</v>
      </c>
      <c r="F27" s="1021" t="s">
        <v>848</v>
      </c>
    </row>
    <row r="28" spans="1:7" s="1027" customFormat="1" ht="24" customHeight="1">
      <c r="A28" s="1028" t="s">
        <v>849</v>
      </c>
      <c r="B28" s="1029" t="s">
        <v>850</v>
      </c>
      <c r="C28" s="1030">
        <v>44820</v>
      </c>
      <c r="D28" s="2353" t="s">
        <v>851</v>
      </c>
      <c r="E28" s="1028" t="s">
        <v>852</v>
      </c>
      <c r="F28" s="1058">
        <v>44377</v>
      </c>
    </row>
    <row r="29" spans="1:7" s="1027" customFormat="1" ht="24" customHeight="1">
      <c r="A29" s="1028"/>
      <c r="B29" s="1028"/>
      <c r="C29" s="2351"/>
      <c r="D29" s="2353" t="s">
        <v>853</v>
      </c>
      <c r="E29" s="1202" t="s">
        <v>3056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2019-11-21T06:12:05Z</dcterms:modified>
</cp:coreProperties>
</file>