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2290" windowHeight="556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不动产权证-面积指标" sheetId="82" r:id="rId12"/>
    <sheet name="冰上运动" sheetId="83" r:id="rId13"/>
    <sheet name="项目基本情况" sheetId="4"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基准地价修正" sheetId="43" r:id="rId24"/>
    <sheet name="收益法-酒店模型" sheetId="77" r:id="rId25"/>
    <sheet name="收益法 (元)" sheetId="6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凯迪拉克 (万元)" sheetId="81"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收益法" sheetId="15" r:id="rId48"/>
    <sheet name="信息" sheetId="80"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4"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3"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9">结果表!$A$1:$I$127</definedName>
    <definedName name="_xlnm.Print_Area" localSheetId="47">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8">系统读取表!$A$1:$I$26</definedName>
    <definedName name="_xlnm.Print_Area" localSheetId="13">项目基本情况!$A$1:$I$38</definedName>
    <definedName name="八级">区片价!$P$1:$P$44</definedName>
    <definedName name="办公层高" localSheetId="12">'[1]比较法-办公'!$B$119:$M$119</definedName>
    <definedName name="办公层高" localSheetId="11">'[2]比较法-办公'!$B$119:$M$119</definedName>
    <definedName name="办公层高">'比较法-办公'!$B$119:$M$119</definedName>
    <definedName name="办公朝向" localSheetId="12">'[1]比较法-办公'!$B$91:$M$91</definedName>
    <definedName name="办公朝向" localSheetId="11">'[2]比较法-办公'!$B$91:$M$91</definedName>
    <definedName name="办公朝向">'比较法-办公'!$B$91:$M$91</definedName>
    <definedName name="办公道路级别" localSheetId="12">'[1]比较法-办公'!$B$87:$M$87</definedName>
    <definedName name="办公道路级别" localSheetId="11">'[2]比较法-办公'!$B$87:$M$87</definedName>
    <definedName name="办公道路级别">'比较法-办公'!$B$87:$M$87</definedName>
    <definedName name="办公公共部分装修" localSheetId="12">'[1]比较法-办公'!$B$108:$M$108</definedName>
    <definedName name="办公公共部分装修" localSheetId="11">'[2]比较法-办公'!$B$108:$M$108</definedName>
    <definedName name="办公公共部分装修">'比较法-办公'!$B$108:$M$108</definedName>
    <definedName name="办公基础设施水平" localSheetId="12">'[1]比较法-办公'!$B$117:$M$117</definedName>
    <definedName name="办公基础设施水平" localSheetId="11">'[2]比较法-办公'!$B$117:$M$117</definedName>
    <definedName name="办公基础设施水平">'比较法-办公'!$B$117:$M$117</definedName>
    <definedName name="办公集聚程度" localSheetId="12">[1]定义!$M$1:$M$6</definedName>
    <definedName name="办公集聚程度" localSheetId="11">[2]定义!$M$1:$M$6</definedName>
    <definedName name="办公集聚程度">定义!$M$1:$M$6</definedName>
    <definedName name="办公建筑结构" localSheetId="12">'[1]比较法-办公'!$B$106:$M$106</definedName>
    <definedName name="办公建筑结构" localSheetId="11">'[2]比较法-办公'!$B$106:$M$106</definedName>
    <definedName name="办公建筑结构">'比较法-办公'!$B$106:$M$106</definedName>
    <definedName name="办公建筑类型" localSheetId="12">'[1]比较法-办公'!$B$101:$M$101</definedName>
    <definedName name="办公建筑类型" localSheetId="11">'[2]比较法-办公'!$B$101:$M$101</definedName>
    <definedName name="办公建筑类型">'比较法-办公'!$B$101:$M$101</definedName>
    <definedName name="办公交易情况" localSheetId="12">'[1]比较法-办公'!$A$62:$M$62</definedName>
    <definedName name="办公交易情况" localSheetId="11">'[2]比较法-办公'!$A$62:$M$62</definedName>
    <definedName name="办公交易情况">'比较法-办公'!$A$62:$M$62</definedName>
    <definedName name="办公楼层" localSheetId="12">'[1]比较法-办公'!$B$89:$M$89</definedName>
    <definedName name="办公楼层" localSheetId="11">'[2]比较法-办公'!$B$89:$M$89</definedName>
    <definedName name="办公楼层">'比较法-办公'!$B$89:$M$89</definedName>
    <definedName name="办公内部装修" localSheetId="12">'[1]比较法-办公'!$B$123:$M$123</definedName>
    <definedName name="办公内部装修" localSheetId="11">'[2]比较法-办公'!$B$123:$M$123</definedName>
    <definedName name="办公内部装修">'比较法-办公'!$B$123:$M$123</definedName>
    <definedName name="办公物业管理" localSheetId="12">'[1]比较法-办公'!$B$115:$M$115</definedName>
    <definedName name="办公物业管理" localSheetId="11">'[2]比较法-办公'!$B$115:$M$115</definedName>
    <definedName name="办公物业管理">'比较法-办公'!$B$115:$M$115</definedName>
    <definedName name="办公用途" localSheetId="12">'[1]比较法-办公'!$B$64:$M$64</definedName>
    <definedName name="办公用途" localSheetId="11">'[2]比较法-办公'!$B$64:$M$64</definedName>
    <definedName name="办公用途">'比较法-办公'!$B$64:$M$64</definedName>
    <definedName name="仓储公共部分装修" localSheetId="12">'[1]比较法-仓储'!$B$77:$M$77</definedName>
    <definedName name="仓储公共部分装修" localSheetId="11">'[2]比较法-仓储'!$B$77:$M$77</definedName>
    <definedName name="仓储公共部分装修">'比较法-仓储'!$B$77:$M$77</definedName>
    <definedName name="仓储交易情况" localSheetId="12">'[1]比较法-仓储'!$A$49:$M$49</definedName>
    <definedName name="仓储交易情况" localSheetId="11">'[2]比较法-仓储'!$A$49:$M$49</definedName>
    <definedName name="仓储交易情况">'比较法-仓储'!$A$49:$M$49</definedName>
    <definedName name="仓储楼层" localSheetId="12">'[1]比较法-仓储'!$B$69:$M$69</definedName>
    <definedName name="仓储楼层" localSheetId="11">'[2]比较法-仓储'!$B$69:$M$69</definedName>
    <definedName name="仓储楼层">'比较法-仓储'!$B$69:$M$69</definedName>
    <definedName name="仓储物业等级" localSheetId="12">'[1]比较法-仓储'!$B$82:$M$82</definedName>
    <definedName name="仓储物业等级" localSheetId="11">'[2]比较法-仓储'!$B$82:$M$82</definedName>
    <definedName name="仓储物业等级">'比较法-仓储'!$B$82:$M$82</definedName>
    <definedName name="仓储用途" localSheetId="12">'[1]比较法-仓储'!$B$51:$M$51</definedName>
    <definedName name="仓储用途" localSheetId="11">'[2]比较法-仓储'!$B$51:$M$51</definedName>
    <definedName name="仓储用途">'比较法-仓储'!$B$51:$M$51</definedName>
    <definedName name="产业集聚程度" localSheetId="12">[1]定义!$N$1:$N$6</definedName>
    <definedName name="产业集聚程度" localSheetId="11">[2]定义!$N$1:$N$6</definedName>
    <definedName name="产业集聚程度">定义!$N$1:$N$6</definedName>
    <definedName name="车位公共部分装修" localSheetId="12">'[1]比较法-车位'!$B$83:$M$83</definedName>
    <definedName name="车位公共部分装修" localSheetId="11">'[2]比较法-车位'!$B$83:$M$83</definedName>
    <definedName name="车位公共部分装修">'比较法-车位'!$B$83:$M$83</definedName>
    <definedName name="车位交易情况" localSheetId="12">'[1]比较法-车位'!$A$51:$M$51</definedName>
    <definedName name="车位交易情况" localSheetId="11">'[2]比较法-车位'!$A$51:$M$51</definedName>
    <definedName name="车位交易情况">'比较法-车位'!$A$51:$M$51</definedName>
    <definedName name="车位类型" localSheetId="12">'[1]比较法-车位'!$B$93:$M$93</definedName>
    <definedName name="车位类型" localSheetId="11">'[2]比较法-车位'!$B$93:$M$93</definedName>
    <definedName name="车位类型">'比较法-车位'!$B$93:$M$93</definedName>
    <definedName name="车位楼层" localSheetId="12">'[1]比较法-车位'!$B$71:$M$71</definedName>
    <definedName name="车位楼层" localSheetId="11">'[2]比较法-车位'!$B$71:$M$71</definedName>
    <definedName name="车位楼层">'比较法-车位'!$B$71:$M$71</definedName>
    <definedName name="车位配套类型" localSheetId="12">'[1]比较法-车位'!$B$79:$M$79</definedName>
    <definedName name="车位配套类型" localSheetId="11">'[2]比较法-车位'!$B$79:$M$79</definedName>
    <definedName name="车位配套类型">'比较法-车位'!$B$79:$M$79</definedName>
    <definedName name="车位物业等级" localSheetId="12">'[1]比较法-车位'!$B$88:$M$88</definedName>
    <definedName name="车位物业等级" localSheetId="11">'[2]比较法-车位'!$B$88:$M$88</definedName>
    <definedName name="车位物业等级">'比较法-车位'!$B$88:$M$88</definedName>
    <definedName name="车位用途" localSheetId="12">'[1]比较法-车位'!$B$53:$M$53</definedName>
    <definedName name="车位用途" localSheetId="11">'[2]比较法-车位'!$B$53:$M$53</definedName>
    <definedName name="车位用途">'比较法-车位'!$B$53:$M$53</definedName>
    <definedName name="城镇土地纳税等级分级范围" localSheetId="12">'[1]数据-取费表'!$A$53:$A$63</definedName>
    <definedName name="城镇土地纳税等级分级范围" localSheetId="11">'[2]数据-取费表'!$A$53:$A$63</definedName>
    <definedName name="城镇土地纳税等级分级范围">'数据-取费表'!$A$53:$A$63</definedName>
    <definedName name="单价内涵" localSheetId="12">[1]定义!$V$1:$V$3</definedName>
    <definedName name="单价内涵" localSheetId="11">[2]定义!$V$1:$V$3</definedName>
    <definedName name="单价内涵">定义!$V$1:$V$3</definedName>
    <definedName name="地类判定" localSheetId="12">[1]定义!$H$1:$H$9</definedName>
    <definedName name="地类判定" localSheetId="11">[2]定义!$H$1:$H$9</definedName>
    <definedName name="地类判定">定义!$H$1:$H$9</definedName>
    <definedName name="二级">区片价!$J$1:$J$21</definedName>
    <definedName name="二级分类" localSheetId="12">[1]修正!$C$17:$C$39</definedName>
    <definedName name="二级分类" localSheetId="11">[2]修正!$C$17:$C$39</definedName>
    <definedName name="二级分类">修正!$C$19:$C$51</definedName>
    <definedName name="法定最高年限" localSheetId="12">[1]定义!$G$1:$G$4</definedName>
    <definedName name="法定最高年限" localSheetId="11">[2]定义!$G$1:$G$4</definedName>
    <definedName name="法定最高年限">定义!$G$1:$G$6</definedName>
    <definedName name="工业公共部分装修" localSheetId="12">'[1]比较法-工业'!$B$95:$M$95</definedName>
    <definedName name="工业公共部分装修" localSheetId="11">'[2]比较法-工业'!$B$95:$M$95</definedName>
    <definedName name="工业公共部分装修">'比较法-工业'!$B$95:$M$95</definedName>
    <definedName name="工业基础设施水平" localSheetId="12">'[1]比较法-工业'!$B$102:$M$102</definedName>
    <definedName name="工业基础设施水平" localSheetId="11">'[2]比较法-工业'!$B$102:$M$102</definedName>
    <definedName name="工业基础设施水平">'比较法-工业'!$B$102:$M$102</definedName>
    <definedName name="工业建筑结构" localSheetId="12">'[1]比较法-工业'!$B$93:$M$93</definedName>
    <definedName name="工业建筑结构" localSheetId="11">'[2]比较法-工业'!$B$93:$M$93</definedName>
    <definedName name="工业建筑结构">'比较法-工业'!$B$93:$M$93</definedName>
    <definedName name="工业建筑类型" localSheetId="12">'[1]比较法-工业'!$B$88:$M$88</definedName>
    <definedName name="工业建筑类型" localSheetId="11">'[2]比较法-工业'!$B$88:$M$88</definedName>
    <definedName name="工业建筑类型">'比较法-工业'!$B$88:$M$88</definedName>
    <definedName name="工业交易情况" localSheetId="12">'[1]比较法-工业'!$A$55:$M$55</definedName>
    <definedName name="工业交易情况" localSheetId="11">'[2]比较法-工业'!$A$55:$M$55</definedName>
    <definedName name="工业交易情况">'比较法-工业'!$A$55:$M$55</definedName>
    <definedName name="工业内部装修" localSheetId="12">'[1]比较法-工业'!$B$104:$M$104</definedName>
    <definedName name="工业内部装修" localSheetId="11">'[2]比较法-工业'!$B$104:$M$104</definedName>
    <definedName name="工业内部装修">'比较法-工业'!$B$104:$M$104</definedName>
    <definedName name="工业物业管理" localSheetId="12">'[1]比较法-工业'!$B$100:$M$100</definedName>
    <definedName name="工业物业管理" localSheetId="11">'[2]比较法-工业'!$B$100:$M$100</definedName>
    <definedName name="工业物业管理">'比较法-工业'!$B$100:$M$100</definedName>
    <definedName name="工业用途" localSheetId="12">'[1]比较法-工业'!$B$57:$M$57</definedName>
    <definedName name="工业用途" localSheetId="11">'[2]比较法-工业'!$B$57:$M$57</definedName>
    <definedName name="工业用途">'比较法-工业'!$B$57:$M$57</definedName>
    <definedName name="公共配套设施" localSheetId="12">[1]定义!$Q$1:$Q$6</definedName>
    <definedName name="公共配套设施" localSheetId="11">[2]定义!$Q$1:$Q$6</definedName>
    <definedName name="公共配套设施">定义!$Q$1:$Q$6</definedName>
    <definedName name="估价范围判定">定义!$D$1:$D$4</definedName>
    <definedName name="估价方法" localSheetId="12">[1]定义!$B$1:$B$50</definedName>
    <definedName name="估价方法" localSheetId="11">[2]定义!$B$1:$B$50</definedName>
    <definedName name="估价方法">定义!$B$1:$B$50</definedName>
    <definedName name="环境" localSheetId="12">[1]定义!$S$1:$S$6</definedName>
    <definedName name="环境" localSheetId="11">[2]定义!$S$1:$S$6</definedName>
    <definedName name="环境">定义!$S$1:$S$6</definedName>
    <definedName name="基础设施水平" localSheetId="12">[1]定义!$R$1:$R$6</definedName>
    <definedName name="基础设施水平" localSheetId="11">[2]定义!$R$1:$R$6</definedName>
    <definedName name="基础设施水平">定义!$R$1:$R$6</definedName>
    <definedName name="季度">基准地价修正!$Q$19:$AD$19</definedName>
    <definedName name="价值类型2" localSheetId="12">[1]定义!$B$54:$B$56</definedName>
    <definedName name="价值类型2" localSheetId="11">[2]定义!$B$54:$B$56</definedName>
    <definedName name="价值类型2">定义!$B$54:$B$56</definedName>
    <definedName name="交通便捷度" localSheetId="12">[1]定义!$O$1:$O$6</definedName>
    <definedName name="交通便捷度" localSheetId="11">[2]定义!$O$1:$O$6</definedName>
    <definedName name="交通便捷度">定义!$O$1:$O$6</definedName>
    <definedName name="九级">区片价!$Q$1:$Q$51</definedName>
    <definedName name="居住社区成熟度" localSheetId="12">[1]定义!$K$1:$K$6</definedName>
    <definedName name="居住社区成熟度" localSheetId="11">[2]定义!$K$1:$K$6</definedName>
    <definedName name="居住社区成熟度">定义!$K$1:$K$6</definedName>
    <definedName name="类别" localSheetId="12">[1]定义!$J$1:$J$3</definedName>
    <definedName name="类别" localSheetId="11">[2]定义!$J$1:$J$3</definedName>
    <definedName name="类别">定义!$J$1:$J$3</definedName>
    <definedName name="临街状况" localSheetId="12">[1]定义!$T$1:$T$5</definedName>
    <definedName name="临街状况" localSheetId="11">[2]定义!$T$1:$T$5</definedName>
    <definedName name="临街状况">定义!$T$1:$T$5</definedName>
    <definedName name="六级">区片价!$N$1:$N$64</definedName>
    <definedName name="内部装修维护情况" localSheetId="12">[1]定义!$U$1:$U$6</definedName>
    <definedName name="内部装修维护情况" localSheetId="11">[2]定义!$U$1:$U$6</definedName>
    <definedName name="内部装修维护情况">定义!$U$1:$U$6</definedName>
    <definedName name="判定" localSheetId="12">[1]定义!$D$1:$D$4</definedName>
    <definedName name="判定">[2]定义!$D$1:$D$4</definedName>
    <definedName name="七级">区片价!$O$1:$O$45</definedName>
    <definedName name="七通一平" localSheetId="12">[1]修正!$A$6:$A$14</definedName>
    <definedName name="七通一平" localSheetId="11">[2]修正!$A$6:$A$14</definedName>
    <definedName name="七通一平">修正!$A$8:$A$16</definedName>
    <definedName name="区域土地利用方向" localSheetId="12">[1]定义!$P$1:$P$6</definedName>
    <definedName name="区域土地利用方向" localSheetId="11">[2]定义!$P$1:$P$6</definedName>
    <definedName name="区域土地利用方向">定义!$P$1:$P$6</definedName>
    <definedName name="三级">区片价!$K$1:$K$26</definedName>
    <definedName name="商业层高" localSheetId="12">'[1]比较法-商业'!$B$116:$M$116</definedName>
    <definedName name="商业层高" localSheetId="11">'[2]比较法-商业'!$B$116:$M$116</definedName>
    <definedName name="商业层高">'比较法-商业'!$B$116:$M$116</definedName>
    <definedName name="商业成新度">'比较法-商业'!$B$109:$M$109</definedName>
    <definedName name="商业繁华度" localSheetId="12">[1]定义!$L$1:$L$6</definedName>
    <definedName name="商业繁华度" localSheetId="11">[2]定义!$L$1:$L$6</definedName>
    <definedName name="商业繁华度">定义!$L$1:$L$6</definedName>
    <definedName name="商业公共部分装修" localSheetId="12">'[1]比较法-商业'!$B$107:$M$107</definedName>
    <definedName name="商业公共部分装修" localSheetId="11">'[2]比较法-商业'!$B$107:$M$107</definedName>
    <definedName name="商业公共部分装修">'比较法-商业'!$B$107:$M$107</definedName>
    <definedName name="商业基础设施水平" localSheetId="12">'[1]比较法-商业'!$B$112:$M$112</definedName>
    <definedName name="商业基础设施水平" localSheetId="11">'[2]比较法-商业'!$B$112:$M$112</definedName>
    <definedName name="商业基础设施水平">'比较法-商业'!$B$112:$M$112</definedName>
    <definedName name="商业建筑结构" localSheetId="12">'[1]比较法-商业'!$B$105:$M$105</definedName>
    <definedName name="商业建筑结构" localSheetId="11">'[2]比较法-商业'!$B$105:$M$105</definedName>
    <definedName name="商业建筑结构">'比较法-商业'!$B$105:$M$105</definedName>
    <definedName name="商业交易情况" localSheetId="12">'[1]比较法-商业'!$A$61:$M$61</definedName>
    <definedName name="商业交易情况" localSheetId="11">'[2]比较法-商业'!$A$61:$M$61</definedName>
    <definedName name="商业交易情况">'比较法-商业'!$A$61:$M$61</definedName>
    <definedName name="商业街名称" localSheetId="12">[1]修正!$C$59:$C$119</definedName>
    <definedName name="商业街名称" localSheetId="11">[2]修正!$C$59:$C$119</definedName>
    <definedName name="商业街名称">修正!$C$71:$C$138</definedName>
    <definedName name="商业进深比" localSheetId="12">'[1]比较法-商业'!$B$120:$M$120</definedName>
    <definedName name="商业进深比" localSheetId="11">'[2]比较法-商业'!$B$120:$M$120</definedName>
    <definedName name="商业进深比">'比较法-商业'!$B$120:$M$120</definedName>
    <definedName name="商业类型" localSheetId="12">'[1]比较法-商业'!$B$100:$M$100</definedName>
    <definedName name="商业类型" localSheetId="11">'[2]比较法-商业'!$B$100:$M$100</definedName>
    <definedName name="商业类型">'比较法-商业'!$B$100:$M$100</definedName>
    <definedName name="商业临街状况" localSheetId="12">'[1]比较法-商业'!$B$86:$M$86</definedName>
    <definedName name="商业临街状况" localSheetId="11">'[2]比较法-商业'!$B$86:$M$86</definedName>
    <definedName name="商业临街状况">'比较法-商业'!$B$86:$M$86</definedName>
    <definedName name="商业楼层" localSheetId="12">'[1]比较法-商业'!$B$92:$M$92</definedName>
    <definedName name="商业楼层" localSheetId="11">'[2]比较法-商业'!$B$92:$M$92</definedName>
    <definedName name="商业楼层">'比较法-商业'!$B$92:$M$92</definedName>
    <definedName name="商业内部装修" localSheetId="12">'[1]比较法-商业'!$B$122:$M$122</definedName>
    <definedName name="商业内部装修" localSheetId="11">'[2]比较法-商业'!$B$122:$M$122</definedName>
    <definedName name="商业内部装修">'比较法-商业'!$B$122:$M$122</definedName>
    <definedName name="商业人流量" localSheetId="12">'[1]比较法-商业'!$B$90:$M$90</definedName>
    <definedName name="商业人流量" localSheetId="11">'[2]比较法-商业'!$B$90:$M$90</definedName>
    <definedName name="商业人流量">'比较法-商业'!$B$90:$M$90</definedName>
    <definedName name="商业业态" localSheetId="12">'[1]比较法-商业'!$B$114:$M$114</definedName>
    <definedName name="商业业态" localSheetId="11">'[2]比较法-商业'!$B$114:$M$114</definedName>
    <definedName name="商业业态">'比较法-商业'!$B$114:$M$114</definedName>
    <definedName name="商业用途" localSheetId="12">'[1]比较法-商业'!$B$63:$M$63</definedName>
    <definedName name="商业用途" localSheetId="11">'[2]比较法-商业'!$B$63:$M$63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 localSheetId="11">'[2]比较法-仓储'!$B$89:$M$89</definedName>
    <definedName name="是否封闭">'比较法-仓储'!$B$89:$M$89</definedName>
    <definedName name="是否直接入户" localSheetId="12">'[1]比较法-车位'!$B$95:$M$95</definedName>
    <definedName name="是否直接入户" localSheetId="11">'[2]比较法-车位'!$B$95:$M$95</definedName>
    <definedName name="是否直接入户">'比较法-车位'!$B$95:$M$95</definedName>
    <definedName name="四级">区片价!$L$1:$L$33</definedName>
    <definedName name="套工道路等级" localSheetId="12">'[1]土地比较法-工业'!$B$97:$M$97</definedName>
    <definedName name="套工道路等级" localSheetId="11">'[2]土地比较法-工业'!$B$97:$M$97</definedName>
    <definedName name="套工道路等级">'土地比较法-工业'!$B$97:$M$97</definedName>
    <definedName name="套工地质条件" localSheetId="12">'[1]土地比较法-工业'!$B$114:$M$114</definedName>
    <definedName name="套工地质条件" localSheetId="11">'[2]土地比较法-工业'!$B$114:$M$114</definedName>
    <definedName name="套工地质条件">'土地比较法-工业'!$B$114:$M$114</definedName>
    <definedName name="套工交易情况" localSheetId="12">'[1]土地比较法-住宅、综合'!$A$73:$M$73</definedName>
    <definedName name="套工交易情况" localSheetId="11">'[2]土地比较法-住宅、综合'!$A$73:$M$73</definedName>
    <definedName name="套工交易情况">'土地比较法-住宅、综合'!$A$72:$M$72</definedName>
    <definedName name="套工土地级别" localSheetId="12">'[1]土地比较法-工业'!$B$99:$M$99</definedName>
    <definedName name="套工土地级别" localSheetId="11">'[2]土地比较法-工业'!$B$99:$M$99</definedName>
    <definedName name="套工土地级别">'土地比较法-工业'!$B$99:$M$99</definedName>
    <definedName name="套工用途" localSheetId="12">'[1]土地比较法-工业'!$B$70:$M$70</definedName>
    <definedName name="套工用途" localSheetId="11">'[2]土地比较法-工业'!$B$70:$M$70</definedName>
    <definedName name="套工用途">'土地比较法-工业'!$B$70:$M$70</definedName>
    <definedName name="套工宗地开发程度" localSheetId="12">'[1]土地比较法-工业'!$B$112:$M$112</definedName>
    <definedName name="套工宗地开发程度" localSheetId="11">'[2]土地比较法-工业'!$B$112:$M$112</definedName>
    <definedName name="套工宗地开发程度">'土地比较法-工业'!$B$112:$M$112</definedName>
    <definedName name="套工宗地形状" localSheetId="12">'[1]土地比较法-工业'!$B$110:$M$110</definedName>
    <definedName name="套工宗地形状" localSheetId="11">'[2]土地比较法-工业'!$B$110:$M$110</definedName>
    <definedName name="套工宗地形状">'土地比较法-工业'!$B$110:$M$110</definedName>
    <definedName name="套综道路等级" localSheetId="12">'[1]土地比较法-住宅、综合'!$B$106:$M$106</definedName>
    <definedName name="套综道路等级" localSheetId="11">'[2]土地比较法-住宅、综合'!$B$106:$M$106</definedName>
    <definedName name="套综道路等级">'土地比较法-住宅、综合'!$B$105:$M$105</definedName>
    <definedName name="套综工程地质条件" localSheetId="12">'[1]土地比较法-住宅、综合'!$B$125:$M$125</definedName>
    <definedName name="套综工程地质条件" localSheetId="11">'[2]土地比较法-住宅、综合'!$B$125:$M$125</definedName>
    <definedName name="套综工程地质条件">'土地比较法-住宅、综合'!$B$124:$M$124</definedName>
    <definedName name="套综交易情况" localSheetId="12">'[1]土地比较法-住宅、综合'!$A$73:$M$73</definedName>
    <definedName name="套综交易情况" localSheetId="11">'[2]土地比较法-住宅、综合'!$A$73:$M$73</definedName>
    <definedName name="套综交易情况">'土地比较法-住宅、综合'!$A$72:$M$72</definedName>
    <definedName name="套综临街宽度及深度" localSheetId="12">'[1]土地比较法-住宅、综合'!$B$121:$M$121</definedName>
    <definedName name="套综临街宽度及深度" localSheetId="11">'[2]土地比较法-住宅、综合'!$B$121:$M$121</definedName>
    <definedName name="套综临街宽度及深度">'土地比较法-住宅、综合'!$B$120:$M$120</definedName>
    <definedName name="套综土地级别" localSheetId="12">'[1]土地比较法-住宅、综合'!$B$108:$M$108</definedName>
    <definedName name="套综土地级别" localSheetId="11">'[2]土地比较法-住宅、综合'!$B$108:$M$108</definedName>
    <definedName name="套综土地级别">'土地比较法-住宅、综合'!$B$107:$M$107</definedName>
    <definedName name="套综用途" localSheetId="12">'[1]土地比较法-住宅、综合'!$B$75:$M$75</definedName>
    <definedName name="套综用途" localSheetId="11">'[2]土地比较法-住宅、综合'!$B$75:$M$75</definedName>
    <definedName name="套综用途">'土地比较法-住宅、综合'!$B$74:$M$74</definedName>
    <definedName name="套综宗地内开发程度" localSheetId="12">'[1]土地比较法-住宅、综合'!$B$123:$M$123</definedName>
    <definedName name="套综宗地内开发程度" localSheetId="11">'[2]土地比较法-住宅、综合'!$B$123:$M$123</definedName>
    <definedName name="套综宗地内开发程度">'土地比较法-住宅、综合'!$B$122:$M$122</definedName>
    <definedName name="套综宗地形状" localSheetId="12">'[1]土地比较法-住宅、综合'!$B$119:$M$119</definedName>
    <definedName name="套综宗地形状" localSheetId="11">'[2]土地比较法-住宅、综合'!$B$119:$M$119</definedName>
    <definedName name="套综宗地形状">'土地比较法-住宅、综合'!$B$118:$M$118</definedName>
    <definedName name="土地估价师">估价师及机构信息!$D$3:$D$24</definedName>
    <definedName name="土地级别" localSheetId="12">[1]定义!$C$1:$C$14</definedName>
    <definedName name="土地级别" localSheetId="11">[2]定义!$C$1:$C$14</definedName>
    <definedName name="土地级别">定义!$C$1:$C$14</definedName>
    <definedName name="土地利用方向">定义!$P$1:$P$6</definedName>
    <definedName name="土地年限区间" localSheetId="12">[1]定义!$I$1:$I$8</definedName>
    <definedName name="土地年限区间" localSheetId="11">[2]定义!$I$1:$I$8</definedName>
    <definedName name="土地年限区间">定义!$I$1:$I$16</definedName>
    <definedName name="位置" localSheetId="12">[1]定义!$E$2:$E$4</definedName>
    <definedName name="位置" localSheetId="11">[2]定义!$E$2:$E$4</definedName>
    <definedName name="位置">定义!$E$2:$E$4</definedName>
    <definedName name="五等判定" localSheetId="12">[1]定义!$W$1:$W$6</definedName>
    <definedName name="五等判定" localSheetId="11">[2]定义!$W$1:$W$6</definedName>
    <definedName name="五等判定">定义!$W$1:$W$6</definedName>
    <definedName name="五级">区片价!$M$1:$M$41</definedName>
    <definedName name="项目类型" localSheetId="12">'[1]数据-汇总表'!$C$17:$C$26</definedName>
    <definedName name="项目类型" localSheetId="11">'[2]数据-汇总表'!$C$17:$C$26</definedName>
    <definedName name="项目类型" localSheetId="24">'[3]数据-汇总表'!$C$17:$C$26</definedName>
    <definedName name="项目类型">'数据-汇总表'!$C$17:$C$26</definedName>
    <definedName name="写字楼等级" localSheetId="12">'[1]比较法-办公'!$B$113:$M$113</definedName>
    <definedName name="写字楼等级" localSheetId="11">'[2]比较法-办公'!$B$113:$M$113</definedName>
    <definedName name="写字楼等级">'比较法-办公'!$B$113:$M$113</definedName>
    <definedName name="一级">区片价!$I$1:$I$6</definedName>
    <definedName name="一修多修正项2" localSheetId="12">[1]典型户型修正!$5:$5</definedName>
    <definedName name="一修多修正项2" localSheetId="11">[2]典型户型修正!$5:$5</definedName>
    <definedName name="一修多修正项2">典型户型修正!$5:$5</definedName>
    <definedName name="一修多修正项3" localSheetId="12">[1]典型户型修正!$7:$7</definedName>
    <definedName name="一修多修正项3" localSheetId="11">[2]典型户型修正!$7:$7</definedName>
    <definedName name="一修多修正项3">典型户型修正!$7:$7</definedName>
    <definedName name="一修多修正项4" localSheetId="12">[1]典型户型修正!$9:$9</definedName>
    <definedName name="一修多修正项4" localSheetId="11">[2]典型户型修正!$9:$9</definedName>
    <definedName name="一修多修正项4">典型户型修正!$9:$9</definedName>
    <definedName name="一修多修正项5" localSheetId="12">[1]典型户型修正!$11:$11</definedName>
    <definedName name="一修多修正项5" localSheetId="11">[2]典型户型修正!$11:$11</definedName>
    <definedName name="一修多修正项5">典型户型修正!$11:$11</definedName>
    <definedName name="一修多修正项6" localSheetId="12">[1]典型户型修正!$13:$13</definedName>
    <definedName name="一修多修正项6" localSheetId="11">[2]典型户型修正!$13:$13</definedName>
    <definedName name="一修多修正项6">典型户型修正!$13:$13</definedName>
    <definedName name="一修多修正项7" localSheetId="12">[1]典型户型修正!$15:$15</definedName>
    <definedName name="一修多修正项7" localSheetId="11">[2]典型户型修正!$15:$15</definedName>
    <definedName name="一修多修正项7">典型户型修正!$15:$15</definedName>
    <definedName name="一修多修正项8" localSheetId="12">[1]典型户型修正!$17:$17</definedName>
    <definedName name="一修多修正项8" localSheetId="11">[2]典型户型修正!$17:$17</definedName>
    <definedName name="一修多修正项8">典型户型修正!$17:$17</definedName>
    <definedName name="用途明细" localSheetId="12">[1]定义!$A$1:$A$50</definedName>
    <definedName name="用途明细" localSheetId="11">[2]定义!$A$1:$A$50</definedName>
    <definedName name="用途明细">定义!$A$1:$A$50</definedName>
    <definedName name="有无电梯" localSheetId="12">'[1]比较法-仓储'!$B$84:$M$84</definedName>
    <definedName name="有无电梯" localSheetId="11">'[2]比较法-仓储'!$B$84:$M$84</definedName>
    <definedName name="有无电梯">'比较法-仓储'!$B$84:$M$84</definedName>
    <definedName name="主用途" localSheetId="12">[1]定义!$F$1:$F$10</definedName>
    <definedName name="主用途" localSheetId="11">[2]定义!$F$1:$F$10</definedName>
    <definedName name="主用途">定义!$F$1:$F$12</definedName>
    <definedName name="住宅朝向" localSheetId="12">'[1]比较法-住宅'!$B$88:$M$88</definedName>
    <definedName name="住宅朝向" localSheetId="11">'[2]比较法-住宅'!$B$88:$M$88</definedName>
    <definedName name="住宅朝向">'比较法-住宅'!$B$88:$M$88</definedName>
    <definedName name="住宅房型" localSheetId="12">'[1]比较法-住宅'!$B$118:$M$118</definedName>
    <definedName name="住宅房型" localSheetId="11">'[2]比较法-住宅'!$B$118:$M$118</definedName>
    <definedName name="住宅房型">'比较法-住宅'!$B$118:$M$118</definedName>
    <definedName name="住宅公共部分装修" localSheetId="12">'[1]比较法-住宅'!$B$109:$M$109</definedName>
    <definedName name="住宅公共部分装修" localSheetId="11">'[2]比较法-住宅'!$B$109:$M$109</definedName>
    <definedName name="住宅公共部分装修">'比较法-住宅'!$B$109:$M$109</definedName>
    <definedName name="住宅基础设施水平" localSheetId="12">'[1]比较法-住宅'!$B$116:$M$116</definedName>
    <definedName name="住宅基础设施水平" localSheetId="11">'[2]比较法-住宅'!$B$116:$M$116</definedName>
    <definedName name="住宅基础设施水平">'比较法-住宅'!$B$116:$M$116</definedName>
    <definedName name="住宅建筑结构" localSheetId="12">'[1]比较法-住宅'!$B$105:$M$105</definedName>
    <definedName name="住宅建筑结构" localSheetId="11">'[2]比较法-住宅'!$B$105:$M$105</definedName>
    <definedName name="住宅建筑结构">'比较法-住宅'!$B$105:$M$105</definedName>
    <definedName name="住宅建筑类型" localSheetId="12">'[1]比较法-住宅'!$B$100:$M$100</definedName>
    <definedName name="住宅建筑类型" localSheetId="11">'[2]比较法-住宅'!$B$100:$M$100</definedName>
    <definedName name="住宅建筑类型">'比较法-住宅'!$B$100:$M$100</definedName>
    <definedName name="住宅建筑品质" localSheetId="12">'[1]比较法-住宅'!$B$107:$M$107</definedName>
    <definedName name="住宅建筑品质" localSheetId="11">'[2]比较法-住宅'!$B$107:$M$107</definedName>
    <definedName name="住宅建筑品质">'比较法-住宅'!$B$107:$M$107</definedName>
    <definedName name="住宅交易情况" localSheetId="12">'[1]比较法-住宅'!$A$61:$M$61</definedName>
    <definedName name="住宅交易情况" localSheetId="11">'[2]比较法-住宅'!$A$61:$M$61</definedName>
    <definedName name="住宅交易情况">'比较法-住宅'!$A$61:$M$61</definedName>
    <definedName name="住宅楼层" localSheetId="12">'[1]比较法-住宅'!$B$86:$M$86</definedName>
    <definedName name="住宅楼层" localSheetId="11">'[2]比较法-住宅'!$B$86:$M$86</definedName>
    <definedName name="住宅楼层">'比较法-住宅'!$B$86:$M$86</definedName>
    <definedName name="住宅内部装修" localSheetId="12">'[1]比较法-住宅'!$B$122:$M$122</definedName>
    <definedName name="住宅内部装修" localSheetId="11">'[2]比较法-住宅'!$B$122:$M$122</definedName>
    <definedName name="住宅内部装修">'比较法-住宅'!$B$122:$M$122</definedName>
    <definedName name="住宅物业管理" localSheetId="12">'[1]比较法-住宅'!$B$114:$M$114</definedName>
    <definedName name="住宅物业管理" localSheetId="11">'[2]比较法-住宅'!$B$114:$M$114</definedName>
    <definedName name="住宅物业管理">'比较法-住宅'!$B$114:$M$114</definedName>
    <definedName name="住宅用途" localSheetId="12">'[1]比较法-住宅'!$B$63:$M$63</definedName>
    <definedName name="住宅用途" localSheetId="11">'[2]比较法-住宅'!$B$63:$M$63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 localSheetId="11">[2]估价师及机构信息!$A$3:$A$16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16" i="74" l="1"/>
  <c r="C17" i="74"/>
  <c r="C18" i="74"/>
  <c r="B18" i="74"/>
  <c r="B16" i="74"/>
  <c r="B17" i="74"/>
  <c r="C15" i="74"/>
  <c r="B15" i="74"/>
  <c r="CD15" i="81"/>
  <c r="D17" i="74" l="1"/>
  <c r="G17" i="74" l="1"/>
  <c r="I17" i="74" l="1"/>
  <c r="D16" i="74" l="1"/>
  <c r="G16" i="74" l="1"/>
  <c r="I16" i="74" l="1"/>
  <c r="D18" i="74" l="1"/>
  <c r="G18" i="74" l="1"/>
  <c r="I18" i="74" l="1"/>
  <c r="D15" i="74" l="1"/>
  <c r="G15" i="74" l="1"/>
  <c r="I15" i="74" l="1"/>
  <c r="C19" i="74" l="1"/>
  <c r="B19" i="74"/>
  <c r="C88" i="9"/>
  <c r="K84" i="9"/>
  <c r="G44" i="43" l="1"/>
  <c r="D40" i="43"/>
  <c r="D33" i="43"/>
  <c r="C14" i="74"/>
  <c r="B14" i="74"/>
  <c r="K20" i="3"/>
  <c r="K19" i="3"/>
  <c r="K18" i="3"/>
  <c r="K17" i="3"/>
  <c r="K16" i="3"/>
  <c r="K15" i="3"/>
  <c r="K14" i="3"/>
  <c r="K13" i="3"/>
  <c r="I20" i="3"/>
  <c r="I19" i="3"/>
  <c r="I18" i="3"/>
  <c r="I17" i="3"/>
  <c r="I16" i="3"/>
  <c r="I15" i="3"/>
  <c r="I14" i="3"/>
  <c r="I13" i="3"/>
  <c r="L33" i="82"/>
  <c r="L29" i="82"/>
  <c r="L28" i="82"/>
  <c r="L27" i="82"/>
  <c r="L26" i="82"/>
  <c r="L25" i="82"/>
  <c r="K25" i="82"/>
  <c r="J25" i="82"/>
  <c r="B20" i="3"/>
  <c r="B19" i="3"/>
  <c r="B18" i="3"/>
  <c r="B17" i="3"/>
  <c r="B16" i="3"/>
  <c r="B15" i="3"/>
  <c r="B14" i="3"/>
  <c r="B13" i="3"/>
  <c r="C20" i="3"/>
  <c r="C19" i="3"/>
  <c r="C18" i="3"/>
  <c r="C17" i="3"/>
  <c r="C16" i="3"/>
  <c r="C15" i="3"/>
  <c r="C14" i="3"/>
  <c r="C13" i="3"/>
  <c r="J32" i="82"/>
  <c r="K32" i="82" s="1"/>
  <c r="L32" i="82" s="1"/>
  <c r="N12" i="82" l="1"/>
  <c r="B69" i="82"/>
  <c r="B64" i="82" l="1"/>
  <c r="B70" i="82"/>
  <c r="C59" i="82"/>
  <c r="B37" i="82"/>
  <c r="H32" i="82"/>
  <c r="B32" i="82"/>
  <c r="B40" i="82" s="1"/>
  <c r="I31" i="82"/>
  <c r="H31" i="82"/>
  <c r="G31" i="82"/>
  <c r="I30" i="82"/>
  <c r="H30" i="82"/>
  <c r="G30" i="82"/>
  <c r="H29" i="82"/>
  <c r="H28" i="82"/>
  <c r="I27" i="82"/>
  <c r="H27" i="82"/>
  <c r="G27" i="82"/>
  <c r="H26" i="82"/>
  <c r="G26" i="82"/>
  <c r="I26" i="82" s="1"/>
  <c r="J24" i="82"/>
  <c r="L24" i="82" s="1"/>
  <c r="I24" i="82"/>
  <c r="J23" i="82"/>
  <c r="L23" i="82" s="1"/>
  <c r="I23" i="82"/>
  <c r="J22" i="82"/>
  <c r="L22" i="82" s="1"/>
  <c r="I22" i="82"/>
  <c r="J21" i="82"/>
  <c r="L21" i="82" s="1"/>
  <c r="I21" i="82"/>
  <c r="A21" i="82"/>
  <c r="A30" i="82" s="1"/>
  <c r="A38" i="82" s="1"/>
  <c r="A46" i="82" s="1"/>
  <c r="J20" i="82"/>
  <c r="L20" i="82" s="1"/>
  <c r="I20" i="82"/>
  <c r="J19" i="82"/>
  <c r="I19" i="82"/>
  <c r="L18" i="82"/>
  <c r="K18" i="82"/>
  <c r="I18" i="82"/>
  <c r="H18" i="82"/>
  <c r="G18" i="82"/>
  <c r="A18" i="82"/>
  <c r="A27" i="82" s="1"/>
  <c r="A35" i="82" s="1"/>
  <c r="A43" i="82" s="1"/>
  <c r="A51" i="82" s="1"/>
  <c r="B17" i="82"/>
  <c r="B34" i="82" s="1"/>
  <c r="B42" i="82" s="1"/>
  <c r="B50" i="82" s="1"/>
  <c r="A17" i="82"/>
  <c r="A26" i="82" s="1"/>
  <c r="A34" i="82" s="1"/>
  <c r="A42" i="82" s="1"/>
  <c r="A50" i="82" s="1"/>
  <c r="A16" i="82"/>
  <c r="A24" i="82" s="1"/>
  <c r="A33" i="82" s="1"/>
  <c r="A41" i="82" s="1"/>
  <c r="A49" i="82" s="1"/>
  <c r="B15" i="82"/>
  <c r="A15" i="82"/>
  <c r="A23" i="82" s="1"/>
  <c r="A32" i="82" s="1"/>
  <c r="A40" i="82" s="1"/>
  <c r="A48" i="82" s="1"/>
  <c r="A14" i="82"/>
  <c r="A22" i="82" s="1"/>
  <c r="A31" i="82" s="1"/>
  <c r="A39" i="82" s="1"/>
  <c r="A47" i="82" s="1"/>
  <c r="A13" i="82"/>
  <c r="G32" i="82"/>
  <c r="A12" i="82"/>
  <c r="A20" i="82" s="1"/>
  <c r="A29" i="82" s="1"/>
  <c r="A37" i="82" s="1"/>
  <c r="A45" i="82" s="1"/>
  <c r="N11" i="82"/>
  <c r="K31" i="82" s="1"/>
  <c r="L31" i="82" s="1"/>
  <c r="K30" i="82"/>
  <c r="L30" i="82" s="1"/>
  <c r="N9" i="82"/>
  <c r="K9" i="82"/>
  <c r="G29" i="82" s="1"/>
  <c r="N8" i="82"/>
  <c r="K8" i="82"/>
  <c r="G28" i="82" s="1"/>
  <c r="N7" i="82"/>
  <c r="N6" i="82"/>
  <c r="N5" i="82"/>
  <c r="G5" i="82"/>
  <c r="J33" i="82" l="1"/>
  <c r="K33" i="82"/>
  <c r="N13" i="82"/>
  <c r="I28" i="82"/>
  <c r="I29" i="82"/>
  <c r="L19" i="82"/>
  <c r="I32" i="82"/>
  <c r="D14" i="9" l="1"/>
  <c r="E34" i="77"/>
  <c r="D34" i="77"/>
  <c r="C36" i="77"/>
  <c r="C34" i="77"/>
  <c r="B35" i="1"/>
  <c r="B21" i="1"/>
  <c r="CA27" i="81"/>
  <c r="BZ27" i="81"/>
  <c r="BY27" i="81"/>
  <c r="BX27" i="81"/>
  <c r="BW27" i="81"/>
  <c r="BV27" i="81"/>
  <c r="BU27" i="81"/>
  <c r="BT27" i="81"/>
  <c r="BS27" i="81"/>
  <c r="BR27" i="81"/>
  <c r="BQ27" i="81"/>
  <c r="BP27" i="81"/>
  <c r="BN27" i="81"/>
  <c r="BM27" i="81"/>
  <c r="BL27" i="81"/>
  <c r="BK27" i="81"/>
  <c r="BJ27" i="81"/>
  <c r="BI27" i="81"/>
  <c r="BH27" i="81"/>
  <c r="BG27" i="81"/>
  <c r="BF27" i="81"/>
  <c r="BE27" i="81"/>
  <c r="BD27" i="81"/>
  <c r="BC27" i="81"/>
  <c r="BA27" i="81"/>
  <c r="AZ27" i="81"/>
  <c r="AY27" i="81"/>
  <c r="AX27" i="81"/>
  <c r="AW27" i="81"/>
  <c r="AV27" i="81"/>
  <c r="AU27" i="81"/>
  <c r="AT27" i="81"/>
  <c r="AS27" i="81"/>
  <c r="AR27" i="81"/>
  <c r="AQ27" i="81"/>
  <c r="AP27" i="81"/>
  <c r="AN27" i="81"/>
  <c r="AM27" i="81"/>
  <c r="AL27" i="81"/>
  <c r="AK27" i="81"/>
  <c r="AJ27" i="81"/>
  <c r="AI27" i="81"/>
  <c r="AH27" i="81"/>
  <c r="AG27" i="81"/>
  <c r="AF27" i="81"/>
  <c r="AE27" i="81"/>
  <c r="AD27" i="81"/>
  <c r="AC27" i="81"/>
  <c r="AA27" i="81"/>
  <c r="Z27" i="81"/>
  <c r="Y27" i="81"/>
  <c r="X27" i="81"/>
  <c r="W27" i="81"/>
  <c r="V27" i="81"/>
  <c r="U27" i="81"/>
  <c r="T27" i="81"/>
  <c r="S27" i="81"/>
  <c r="R27" i="81"/>
  <c r="Q27" i="81"/>
  <c r="P27" i="81"/>
  <c r="N27" i="81"/>
  <c r="M27" i="81"/>
  <c r="L27" i="81"/>
  <c r="K27" i="81"/>
  <c r="J27" i="81"/>
  <c r="I27" i="81"/>
  <c r="H27" i="81"/>
  <c r="G27" i="81"/>
  <c r="F27" i="81"/>
  <c r="E27" i="81"/>
  <c r="D27" i="81"/>
  <c r="C27" i="81"/>
  <c r="CA26" i="81"/>
  <c r="BZ26" i="81"/>
  <c r="BY26" i="81"/>
  <c r="BX26" i="81"/>
  <c r="BW26" i="81"/>
  <c r="BV26" i="81"/>
  <c r="BU26" i="81"/>
  <c r="BT26" i="81"/>
  <c r="BS26" i="81"/>
  <c r="BR26" i="81"/>
  <c r="BQ26" i="81"/>
  <c r="BP26" i="81"/>
  <c r="BN26" i="81"/>
  <c r="BM26" i="81"/>
  <c r="BL26" i="81"/>
  <c r="BK26" i="81"/>
  <c r="BJ26" i="81"/>
  <c r="BI26" i="81"/>
  <c r="BH26" i="81"/>
  <c r="BG26" i="81"/>
  <c r="BF26" i="81"/>
  <c r="BE26" i="81"/>
  <c r="BD26" i="81"/>
  <c r="BC26" i="81"/>
  <c r="BA26" i="81"/>
  <c r="AZ26" i="81"/>
  <c r="AY26" i="81"/>
  <c r="AX26" i="81"/>
  <c r="AW26" i="81"/>
  <c r="AV26" i="81"/>
  <c r="AU26" i="81"/>
  <c r="AT26" i="81"/>
  <c r="AS26" i="81"/>
  <c r="AR26" i="81"/>
  <c r="AQ26" i="81"/>
  <c r="AP26" i="81"/>
  <c r="AN26" i="81"/>
  <c r="AM26" i="81"/>
  <c r="AL26" i="81"/>
  <c r="AK26" i="81"/>
  <c r="AJ26" i="81"/>
  <c r="AI26" i="81"/>
  <c r="AH26" i="81"/>
  <c r="AG26" i="81"/>
  <c r="AF26" i="81"/>
  <c r="AE26" i="81"/>
  <c r="AD26" i="81"/>
  <c r="AC26" i="81"/>
  <c r="AA26" i="81"/>
  <c r="Z26" i="81"/>
  <c r="Y26" i="81"/>
  <c r="X26" i="81"/>
  <c r="W26" i="81"/>
  <c r="V26" i="81"/>
  <c r="U26" i="81"/>
  <c r="T26" i="81"/>
  <c r="S26" i="81"/>
  <c r="R26" i="81"/>
  <c r="Q26" i="81"/>
  <c r="P26" i="81"/>
  <c r="N26" i="81"/>
  <c r="M26" i="81"/>
  <c r="L26" i="81"/>
  <c r="K26" i="81"/>
  <c r="J26" i="81"/>
  <c r="I26" i="81"/>
  <c r="H26" i="81"/>
  <c r="G26" i="81"/>
  <c r="F26" i="81"/>
  <c r="E26" i="81"/>
  <c r="D26" i="81"/>
  <c r="C26" i="81"/>
  <c r="CA25" i="81"/>
  <c r="BZ25" i="81"/>
  <c r="BY25" i="81"/>
  <c r="BX25" i="81"/>
  <c r="BW25" i="81"/>
  <c r="BV25" i="81"/>
  <c r="BU25" i="81"/>
  <c r="BT25" i="81"/>
  <c r="BS25" i="81"/>
  <c r="BR25" i="81"/>
  <c r="BQ25" i="81"/>
  <c r="BP25" i="81"/>
  <c r="BN25" i="81"/>
  <c r="BM25" i="81"/>
  <c r="BL25" i="81"/>
  <c r="BK25" i="81"/>
  <c r="BJ25" i="81"/>
  <c r="BI25" i="81"/>
  <c r="BH25" i="81"/>
  <c r="BG25" i="81"/>
  <c r="BF25" i="81"/>
  <c r="BE25" i="81"/>
  <c r="BD25" i="81"/>
  <c r="BC25" i="81"/>
  <c r="BA25" i="81"/>
  <c r="AZ25" i="81"/>
  <c r="AY25" i="81"/>
  <c r="AX25" i="81"/>
  <c r="AW25" i="81"/>
  <c r="AV25" i="81"/>
  <c r="AU25" i="81"/>
  <c r="AT25" i="81"/>
  <c r="AS25" i="81"/>
  <c r="AR25" i="81"/>
  <c r="AQ25" i="81"/>
  <c r="AP25" i="81"/>
  <c r="AN25" i="81"/>
  <c r="AM25" i="81"/>
  <c r="AL25" i="81"/>
  <c r="AK25" i="81"/>
  <c r="AJ25" i="81"/>
  <c r="AI25" i="81"/>
  <c r="AH25" i="81"/>
  <c r="AG25" i="81"/>
  <c r="AF25" i="81"/>
  <c r="AE25" i="81"/>
  <c r="AD25" i="81"/>
  <c r="AC25" i="81"/>
  <c r="AA25" i="81"/>
  <c r="Z25" i="81"/>
  <c r="Y25" i="81"/>
  <c r="X25" i="81"/>
  <c r="W25" i="81"/>
  <c r="V25" i="81"/>
  <c r="U25" i="81"/>
  <c r="T25" i="81"/>
  <c r="S25" i="81"/>
  <c r="R25" i="81"/>
  <c r="Q25" i="81"/>
  <c r="P25" i="81"/>
  <c r="N25" i="81"/>
  <c r="M25" i="81"/>
  <c r="L25" i="81"/>
  <c r="K25" i="81"/>
  <c r="J25" i="81"/>
  <c r="I25" i="81"/>
  <c r="H25" i="81"/>
  <c r="G25" i="81"/>
  <c r="F25" i="81"/>
  <c r="E25" i="81"/>
  <c r="D25" i="81"/>
  <c r="C25" i="81"/>
  <c r="CA24" i="81"/>
  <c r="BZ24" i="81"/>
  <c r="BY24" i="81"/>
  <c r="BX24" i="81"/>
  <c r="BW24" i="81"/>
  <c r="BV24" i="81"/>
  <c r="BU24" i="81"/>
  <c r="BT24" i="81"/>
  <c r="BS24" i="81"/>
  <c r="BR24" i="81"/>
  <c r="BQ24" i="81"/>
  <c r="BP24" i="81"/>
  <c r="BN24" i="81"/>
  <c r="BM24" i="81"/>
  <c r="BL24" i="81"/>
  <c r="BK24" i="81"/>
  <c r="BJ24" i="81"/>
  <c r="BI24" i="81"/>
  <c r="BH24" i="81"/>
  <c r="BG24" i="81"/>
  <c r="BF24" i="81"/>
  <c r="BE24" i="81"/>
  <c r="BD24" i="81"/>
  <c r="BC24" i="81"/>
  <c r="BA24" i="81"/>
  <c r="AZ24" i="81"/>
  <c r="AY24" i="81"/>
  <c r="AX24" i="81"/>
  <c r="AW24" i="81"/>
  <c r="AV24" i="81"/>
  <c r="AU24" i="81"/>
  <c r="AT24" i="81"/>
  <c r="AS24" i="81"/>
  <c r="AR24" i="81"/>
  <c r="AQ24" i="81"/>
  <c r="AP24" i="81"/>
  <c r="AN24" i="81"/>
  <c r="AM24" i="81"/>
  <c r="AL24" i="81"/>
  <c r="AK24" i="81"/>
  <c r="AJ24" i="81"/>
  <c r="AI24" i="81"/>
  <c r="AH24" i="81"/>
  <c r="AG24" i="81"/>
  <c r="AF24" i="81"/>
  <c r="AE24" i="81"/>
  <c r="AD24" i="81"/>
  <c r="AC24" i="81"/>
  <c r="AA24" i="81"/>
  <c r="Z24" i="81"/>
  <c r="Y24" i="81"/>
  <c r="X24" i="81"/>
  <c r="W24" i="81"/>
  <c r="V24" i="81"/>
  <c r="U24" i="81"/>
  <c r="T24" i="81"/>
  <c r="S24" i="81"/>
  <c r="R24" i="81"/>
  <c r="Q24" i="81"/>
  <c r="P24" i="81"/>
  <c r="N24" i="81"/>
  <c r="M24" i="81"/>
  <c r="L24" i="81"/>
  <c r="K24" i="81"/>
  <c r="J24" i="81"/>
  <c r="I24" i="81"/>
  <c r="H24" i="81"/>
  <c r="G24" i="81"/>
  <c r="F24" i="81"/>
  <c r="E24" i="81"/>
  <c r="D24" i="81"/>
  <c r="C24" i="81"/>
  <c r="CA23" i="81"/>
  <c r="BZ23" i="81"/>
  <c r="BY23" i="81"/>
  <c r="BX23" i="81"/>
  <c r="BW23" i="81"/>
  <c r="BV23" i="81"/>
  <c r="BU23" i="81"/>
  <c r="BT23" i="81"/>
  <c r="BS23" i="81"/>
  <c r="BR23" i="81"/>
  <c r="BQ23" i="81"/>
  <c r="BP23" i="81"/>
  <c r="BN23" i="81"/>
  <c r="BM23" i="81"/>
  <c r="BL23" i="81"/>
  <c r="BK23" i="81"/>
  <c r="BJ23" i="81"/>
  <c r="BI23" i="81"/>
  <c r="BH23" i="81"/>
  <c r="BG23" i="81"/>
  <c r="BF23" i="81"/>
  <c r="BE23" i="81"/>
  <c r="BD23" i="81"/>
  <c r="BC23" i="81"/>
  <c r="BA23" i="81"/>
  <c r="AZ23" i="81"/>
  <c r="AY23" i="81"/>
  <c r="AX23" i="81"/>
  <c r="AW23" i="81"/>
  <c r="AV23" i="81"/>
  <c r="AU23" i="81"/>
  <c r="AT23" i="81"/>
  <c r="AS23" i="81"/>
  <c r="AR23" i="81"/>
  <c r="AQ23" i="81"/>
  <c r="AP23" i="81"/>
  <c r="AN23" i="81"/>
  <c r="AM23" i="81"/>
  <c r="AL23" i="81"/>
  <c r="AK23" i="81"/>
  <c r="AJ23" i="81"/>
  <c r="AI23" i="81"/>
  <c r="AH23" i="81"/>
  <c r="AG23" i="81"/>
  <c r="AF23" i="81"/>
  <c r="AE23" i="81"/>
  <c r="AD23" i="81"/>
  <c r="AC23" i="81"/>
  <c r="AA23" i="81"/>
  <c r="Z23" i="81"/>
  <c r="Y23" i="81"/>
  <c r="X23" i="81"/>
  <c r="W23" i="81"/>
  <c r="V23" i="81"/>
  <c r="U23" i="81"/>
  <c r="T23" i="81"/>
  <c r="S23" i="81"/>
  <c r="R23" i="81"/>
  <c r="Q23" i="81"/>
  <c r="P23" i="81"/>
  <c r="N23" i="81"/>
  <c r="M23" i="81"/>
  <c r="L23" i="81"/>
  <c r="K23" i="81"/>
  <c r="J23" i="81"/>
  <c r="I23" i="81"/>
  <c r="H23" i="81"/>
  <c r="G23" i="81"/>
  <c r="F23" i="81"/>
  <c r="E23" i="81"/>
  <c r="D23" i="81"/>
  <c r="C23" i="81"/>
  <c r="CA22" i="81"/>
  <c r="BZ22" i="81"/>
  <c r="BY22" i="81"/>
  <c r="BX22" i="81"/>
  <c r="BW22" i="81"/>
  <c r="BV22" i="81"/>
  <c r="BU22" i="81"/>
  <c r="BT22" i="81"/>
  <c r="BS22" i="81"/>
  <c r="BR22" i="81"/>
  <c r="BQ22" i="81"/>
  <c r="BP22" i="81"/>
  <c r="BN22" i="81"/>
  <c r="BM22" i="81"/>
  <c r="BL22" i="81"/>
  <c r="BK22" i="81"/>
  <c r="BJ22" i="81"/>
  <c r="BI22" i="81"/>
  <c r="BH22" i="81"/>
  <c r="BG22" i="81"/>
  <c r="BF22" i="81"/>
  <c r="BE22" i="81"/>
  <c r="BD22" i="81"/>
  <c r="BC22" i="81"/>
  <c r="BA22" i="81"/>
  <c r="AZ22" i="81"/>
  <c r="AY22" i="81"/>
  <c r="AX22" i="81"/>
  <c r="AW22" i="81"/>
  <c r="AV22" i="81"/>
  <c r="AU22" i="81"/>
  <c r="AT22" i="81"/>
  <c r="AS22" i="81"/>
  <c r="AR22" i="81"/>
  <c r="AQ22" i="81"/>
  <c r="AP22" i="81"/>
  <c r="AN22" i="81"/>
  <c r="AM22" i="81"/>
  <c r="AL22" i="81"/>
  <c r="AK22" i="81"/>
  <c r="AJ22" i="81"/>
  <c r="AI22" i="81"/>
  <c r="AH22" i="81"/>
  <c r="AG22" i="81"/>
  <c r="AF22" i="81"/>
  <c r="AE22" i="81"/>
  <c r="AD22" i="81"/>
  <c r="AC22" i="81"/>
  <c r="AA22" i="81"/>
  <c r="Z22" i="81"/>
  <c r="Y22" i="81"/>
  <c r="X22" i="81"/>
  <c r="W22" i="81"/>
  <c r="V22" i="81"/>
  <c r="U22" i="81"/>
  <c r="T22" i="81"/>
  <c r="S22" i="81"/>
  <c r="R22" i="81"/>
  <c r="Q22" i="81"/>
  <c r="P22" i="81"/>
  <c r="N22" i="81"/>
  <c r="M22" i="81"/>
  <c r="L22" i="81"/>
  <c r="K22" i="81"/>
  <c r="J22" i="81"/>
  <c r="I22" i="81"/>
  <c r="H22" i="81"/>
  <c r="G22" i="81"/>
  <c r="F22" i="81"/>
  <c r="E22" i="81"/>
  <c r="D22" i="81"/>
  <c r="C22" i="81"/>
  <c r="CA21" i="81"/>
  <c r="BZ21" i="81"/>
  <c r="BY21" i="81"/>
  <c r="BX21" i="81"/>
  <c r="BW21" i="81"/>
  <c r="BV21" i="81"/>
  <c r="BU21" i="81"/>
  <c r="BT21" i="81"/>
  <c r="BS21" i="81"/>
  <c r="BR21" i="81"/>
  <c r="BQ21" i="81"/>
  <c r="BP21" i="81"/>
  <c r="BN21" i="81"/>
  <c r="BM21" i="81"/>
  <c r="BL21" i="81"/>
  <c r="BK21" i="81"/>
  <c r="BJ21" i="81"/>
  <c r="BI21" i="81"/>
  <c r="BH21" i="81"/>
  <c r="BG21" i="81"/>
  <c r="BF21" i="81"/>
  <c r="BE21" i="81"/>
  <c r="BD21" i="81"/>
  <c r="BC21" i="81"/>
  <c r="BA21" i="81"/>
  <c r="AZ21" i="81"/>
  <c r="AY21" i="81"/>
  <c r="AX21" i="81"/>
  <c r="AW21" i="81"/>
  <c r="AV21" i="81"/>
  <c r="AU21" i="81"/>
  <c r="AT21" i="81"/>
  <c r="AS21" i="81"/>
  <c r="AR21" i="81"/>
  <c r="AQ21" i="81"/>
  <c r="AP21" i="81"/>
  <c r="AN21" i="81"/>
  <c r="AM21" i="81"/>
  <c r="AL21" i="81"/>
  <c r="AK21" i="81"/>
  <c r="AJ21" i="81"/>
  <c r="AI21" i="81"/>
  <c r="AH21" i="81"/>
  <c r="AG21" i="81"/>
  <c r="AF21" i="81"/>
  <c r="AE21" i="81"/>
  <c r="AD21" i="81"/>
  <c r="AC21" i="81"/>
  <c r="AA21" i="81"/>
  <c r="Z21" i="81"/>
  <c r="Y21" i="81"/>
  <c r="X21" i="81"/>
  <c r="W21" i="81"/>
  <c r="V21" i="81"/>
  <c r="U21" i="81"/>
  <c r="T21" i="81"/>
  <c r="S21" i="81"/>
  <c r="R21" i="81"/>
  <c r="Q21" i="81"/>
  <c r="P21" i="81"/>
  <c r="N21" i="81"/>
  <c r="M21" i="81"/>
  <c r="L21" i="81"/>
  <c r="K21" i="81"/>
  <c r="J21" i="81"/>
  <c r="I21" i="81"/>
  <c r="H21" i="81"/>
  <c r="G21" i="81"/>
  <c r="F21" i="81"/>
  <c r="E21" i="81"/>
  <c r="D21" i="81"/>
  <c r="C21" i="81"/>
  <c r="CA20" i="81"/>
  <c r="BZ20" i="81"/>
  <c r="BY20" i="81"/>
  <c r="BX20" i="81"/>
  <c r="BW20" i="81"/>
  <c r="BV20" i="81"/>
  <c r="BU20" i="81"/>
  <c r="BT20" i="81"/>
  <c r="BS20" i="81"/>
  <c r="BR20" i="81"/>
  <c r="BQ20" i="81"/>
  <c r="BP20" i="81"/>
  <c r="BN20" i="81"/>
  <c r="BM20" i="81"/>
  <c r="BL20" i="81"/>
  <c r="BK20" i="81"/>
  <c r="BJ20" i="81"/>
  <c r="BI20" i="81"/>
  <c r="BH20" i="81"/>
  <c r="BG20" i="81"/>
  <c r="BF20" i="81"/>
  <c r="BE20" i="81"/>
  <c r="BD20" i="81"/>
  <c r="BC20" i="81"/>
  <c r="BA20" i="81"/>
  <c r="AZ20" i="81"/>
  <c r="AY20" i="81"/>
  <c r="AX20" i="81"/>
  <c r="AW20" i="81"/>
  <c r="AV20" i="81"/>
  <c r="AU20" i="81"/>
  <c r="AT20" i="81"/>
  <c r="AS20" i="81"/>
  <c r="AR20" i="81"/>
  <c r="AQ20" i="81"/>
  <c r="AP20" i="81"/>
  <c r="AN20" i="81"/>
  <c r="AM20" i="81"/>
  <c r="AL20" i="81"/>
  <c r="AK20" i="81"/>
  <c r="AJ20" i="81"/>
  <c r="AI20" i="81"/>
  <c r="AH20" i="81"/>
  <c r="AG20" i="81"/>
  <c r="AF20" i="81"/>
  <c r="AE20" i="81"/>
  <c r="AD20" i="81"/>
  <c r="AC20" i="81"/>
  <c r="AA20" i="81"/>
  <c r="Z20" i="81"/>
  <c r="Y20" i="81"/>
  <c r="X20" i="81"/>
  <c r="W20" i="81"/>
  <c r="V20" i="81"/>
  <c r="U20" i="81"/>
  <c r="T20" i="81"/>
  <c r="S20" i="81"/>
  <c r="R20" i="81"/>
  <c r="Q20" i="81"/>
  <c r="P20" i="81"/>
  <c r="N20" i="81"/>
  <c r="M20" i="81"/>
  <c r="L20" i="81"/>
  <c r="K20" i="81"/>
  <c r="J20" i="81"/>
  <c r="I20" i="81"/>
  <c r="H20" i="81"/>
  <c r="G20" i="81"/>
  <c r="F20" i="81"/>
  <c r="E20" i="81"/>
  <c r="D20" i="81"/>
  <c r="C20" i="81"/>
  <c r="CA19" i="81"/>
  <c r="BZ19" i="81"/>
  <c r="BY19" i="81"/>
  <c r="BX19" i="81"/>
  <c r="BW19" i="81"/>
  <c r="BV19" i="81"/>
  <c r="BU19" i="81"/>
  <c r="BT19" i="81"/>
  <c r="BS19" i="81"/>
  <c r="BR19" i="81"/>
  <c r="BQ19" i="81"/>
  <c r="BP19" i="81"/>
  <c r="BN19" i="81"/>
  <c r="BM19" i="81"/>
  <c r="BL19" i="81"/>
  <c r="BK19" i="81"/>
  <c r="BJ19" i="81"/>
  <c r="BI19" i="81"/>
  <c r="BH19" i="81"/>
  <c r="BG19" i="81"/>
  <c r="BF19" i="81"/>
  <c r="BE19" i="81"/>
  <c r="BD19" i="81"/>
  <c r="BC19" i="81"/>
  <c r="BA19" i="81"/>
  <c r="AZ19" i="81"/>
  <c r="AY19" i="81"/>
  <c r="AX19" i="81"/>
  <c r="AW19" i="81"/>
  <c r="AV19" i="81"/>
  <c r="AU19" i="81"/>
  <c r="AT19" i="81"/>
  <c r="AS19" i="81"/>
  <c r="AR19" i="81"/>
  <c r="AQ19" i="81"/>
  <c r="AP19" i="81"/>
  <c r="AN19" i="81"/>
  <c r="AM19" i="81"/>
  <c r="AL19" i="81"/>
  <c r="AK19" i="81"/>
  <c r="AJ19" i="81"/>
  <c r="AI19" i="81"/>
  <c r="AH19" i="81"/>
  <c r="AG19" i="81"/>
  <c r="AF19" i="81"/>
  <c r="AE19" i="81"/>
  <c r="AD19" i="81"/>
  <c r="AC19" i="81"/>
  <c r="AA19" i="81"/>
  <c r="Z19" i="81"/>
  <c r="Y19" i="81"/>
  <c r="X19" i="81"/>
  <c r="W19" i="81"/>
  <c r="V19" i="81"/>
  <c r="U19" i="81"/>
  <c r="T19" i="81"/>
  <c r="S19" i="81"/>
  <c r="R19" i="81"/>
  <c r="Q19" i="81"/>
  <c r="P19" i="81"/>
  <c r="N19" i="81"/>
  <c r="M19" i="81"/>
  <c r="L19" i="81"/>
  <c r="K19" i="81"/>
  <c r="J19" i="81"/>
  <c r="I19" i="81"/>
  <c r="H19" i="81"/>
  <c r="G19" i="81"/>
  <c r="F19" i="81"/>
  <c r="E19" i="81"/>
  <c r="D19" i="81"/>
  <c r="C19" i="81"/>
  <c r="CA18" i="81"/>
  <c r="BZ18" i="81"/>
  <c r="BY18" i="81"/>
  <c r="BX18" i="81"/>
  <c r="BW18" i="81"/>
  <c r="BV18" i="81"/>
  <c r="BU18" i="81"/>
  <c r="BT18" i="81"/>
  <c r="BS18" i="81"/>
  <c r="BR18" i="81"/>
  <c r="BQ18" i="81"/>
  <c r="BP18" i="81"/>
  <c r="BN18" i="81"/>
  <c r="BM18" i="81"/>
  <c r="BL18" i="81"/>
  <c r="BK18" i="81"/>
  <c r="BJ18" i="81"/>
  <c r="BI18" i="81"/>
  <c r="BH18" i="81"/>
  <c r="BG18" i="81"/>
  <c r="BF18" i="81"/>
  <c r="BE18" i="81"/>
  <c r="BD18" i="81"/>
  <c r="BC18" i="81"/>
  <c r="BA18" i="81"/>
  <c r="AZ18" i="81"/>
  <c r="AY18" i="81"/>
  <c r="AX18" i="81"/>
  <c r="AW18" i="81"/>
  <c r="AV18" i="81"/>
  <c r="AU18" i="81"/>
  <c r="AT18" i="81"/>
  <c r="AS18" i="81"/>
  <c r="AR18" i="81"/>
  <c r="AQ18" i="81"/>
  <c r="AP18" i="81"/>
  <c r="AN18" i="81"/>
  <c r="AM18" i="81"/>
  <c r="AL18" i="81"/>
  <c r="AK18" i="81"/>
  <c r="AJ18" i="81"/>
  <c r="AI18" i="81"/>
  <c r="AH18" i="81"/>
  <c r="AG18" i="81"/>
  <c r="AF18" i="81"/>
  <c r="AE18" i="81"/>
  <c r="AD18" i="81"/>
  <c r="AC18" i="81"/>
  <c r="AA18" i="81"/>
  <c r="Z18" i="81"/>
  <c r="Y18" i="81"/>
  <c r="X18" i="81"/>
  <c r="W18" i="81"/>
  <c r="V18" i="81"/>
  <c r="U18" i="81"/>
  <c r="T18" i="81"/>
  <c r="S18" i="81"/>
  <c r="R18" i="81"/>
  <c r="Q18" i="81"/>
  <c r="P18" i="81"/>
  <c r="N18" i="81"/>
  <c r="M18" i="81"/>
  <c r="L18" i="81"/>
  <c r="K18" i="81"/>
  <c r="J18" i="81"/>
  <c r="I18" i="81"/>
  <c r="H18" i="81"/>
  <c r="G18" i="81"/>
  <c r="F18" i="81"/>
  <c r="E18" i="81"/>
  <c r="D18" i="81"/>
  <c r="C18" i="81"/>
  <c r="CA17" i="81"/>
  <c r="BZ17" i="81"/>
  <c r="BY17" i="81"/>
  <c r="BX17" i="81"/>
  <c r="BW17" i="81"/>
  <c r="BV17" i="81"/>
  <c r="BU17" i="81"/>
  <c r="BT17" i="81"/>
  <c r="BS17" i="81"/>
  <c r="BR17" i="81"/>
  <c r="BQ17" i="81"/>
  <c r="BP17" i="81"/>
  <c r="BN17" i="81"/>
  <c r="BM17" i="81"/>
  <c r="BL17" i="81"/>
  <c r="BK17" i="81"/>
  <c r="BJ17" i="81"/>
  <c r="BI17" i="81"/>
  <c r="BH17" i="81"/>
  <c r="BG17" i="81"/>
  <c r="BF17" i="81"/>
  <c r="BE17" i="81"/>
  <c r="BD17" i="81"/>
  <c r="BC17" i="81"/>
  <c r="BA17" i="81"/>
  <c r="AZ17" i="81"/>
  <c r="AY17" i="81"/>
  <c r="AX17" i="81"/>
  <c r="AW17" i="81"/>
  <c r="AV17" i="81"/>
  <c r="AU17" i="81"/>
  <c r="AT17" i="81"/>
  <c r="AS17" i="81"/>
  <c r="AR17" i="81"/>
  <c r="AQ17" i="81"/>
  <c r="AP17" i="81"/>
  <c r="AN17" i="81"/>
  <c r="AM17" i="81"/>
  <c r="AL17" i="81"/>
  <c r="AK17" i="81"/>
  <c r="AJ17" i="81"/>
  <c r="AI17" i="81"/>
  <c r="AH17" i="81"/>
  <c r="AG17" i="81"/>
  <c r="AF17" i="81"/>
  <c r="AE17" i="81"/>
  <c r="AD17" i="81"/>
  <c r="AC17" i="81"/>
  <c r="AA17" i="81"/>
  <c r="Z17" i="81"/>
  <c r="Y17" i="81"/>
  <c r="X17" i="81"/>
  <c r="W17" i="81"/>
  <c r="V17" i="81"/>
  <c r="U17" i="81"/>
  <c r="T17" i="81"/>
  <c r="S17" i="81"/>
  <c r="R17" i="81"/>
  <c r="Q17" i="81"/>
  <c r="P17" i="81"/>
  <c r="N17" i="81"/>
  <c r="M17" i="81"/>
  <c r="L17" i="81"/>
  <c r="K17" i="81"/>
  <c r="J17" i="81"/>
  <c r="I17" i="81"/>
  <c r="H17" i="81"/>
  <c r="G17" i="81"/>
  <c r="F17" i="81"/>
  <c r="E17" i="81"/>
  <c r="D17" i="81"/>
  <c r="C17" i="81"/>
  <c r="CA16" i="81"/>
  <c r="BZ16" i="81"/>
  <c r="BY16" i="81"/>
  <c r="BX16" i="81"/>
  <c r="BW16" i="81"/>
  <c r="BV16" i="81"/>
  <c r="BU16" i="81"/>
  <c r="BT16" i="81"/>
  <c r="BS16" i="81"/>
  <c r="BR16" i="81"/>
  <c r="BQ16" i="81"/>
  <c r="BP16" i="81"/>
  <c r="BN16" i="81"/>
  <c r="BM16" i="81"/>
  <c r="BL16" i="81"/>
  <c r="BK16" i="81"/>
  <c r="BJ16" i="81"/>
  <c r="BI16" i="81"/>
  <c r="BH16" i="81"/>
  <c r="BG16" i="81"/>
  <c r="BF16" i="81"/>
  <c r="BE16" i="81"/>
  <c r="BD16" i="81"/>
  <c r="BC16" i="81"/>
  <c r="BA16" i="81"/>
  <c r="AZ16" i="81"/>
  <c r="AY16" i="81"/>
  <c r="AX16" i="81"/>
  <c r="AW16" i="81"/>
  <c r="AV16" i="81"/>
  <c r="AU16" i="81"/>
  <c r="AT16" i="81"/>
  <c r="AS16" i="81"/>
  <c r="AR16" i="81"/>
  <c r="AQ16" i="81"/>
  <c r="AP16" i="81"/>
  <c r="AN16" i="81"/>
  <c r="AM16" i="81"/>
  <c r="AL16" i="81"/>
  <c r="AK16" i="81"/>
  <c r="AJ16" i="81"/>
  <c r="AI16" i="81"/>
  <c r="AH16" i="81"/>
  <c r="AG16" i="81"/>
  <c r="AF16" i="81"/>
  <c r="AE16" i="81"/>
  <c r="AD16" i="81"/>
  <c r="AC16" i="81"/>
  <c r="AA16" i="81"/>
  <c r="Z16" i="81"/>
  <c r="Y16" i="81"/>
  <c r="X16" i="81"/>
  <c r="W16" i="81"/>
  <c r="V16" i="81"/>
  <c r="U16" i="81"/>
  <c r="T16" i="81"/>
  <c r="S16" i="81"/>
  <c r="R16" i="81"/>
  <c r="Q16" i="81"/>
  <c r="P16" i="81"/>
  <c r="N16" i="81"/>
  <c r="M16" i="81"/>
  <c r="L16" i="81"/>
  <c r="K16" i="81"/>
  <c r="J16" i="81"/>
  <c r="I16" i="81"/>
  <c r="H16" i="81"/>
  <c r="G16" i="81"/>
  <c r="F16" i="81"/>
  <c r="E16" i="81"/>
  <c r="D16" i="81"/>
  <c r="C16" i="81"/>
  <c r="CA15" i="81"/>
  <c r="BZ15" i="81"/>
  <c r="BY15" i="81"/>
  <c r="BX15" i="81"/>
  <c r="BW15" i="81"/>
  <c r="BV15" i="81"/>
  <c r="BU15" i="81"/>
  <c r="BT15" i="81"/>
  <c r="BS15" i="81"/>
  <c r="BR15" i="81"/>
  <c r="BQ15" i="81"/>
  <c r="BP15" i="81"/>
  <c r="BN15" i="81"/>
  <c r="BM15" i="81"/>
  <c r="BL15" i="81"/>
  <c r="BK15" i="81"/>
  <c r="BJ15" i="81"/>
  <c r="BI15" i="81"/>
  <c r="BH15" i="81"/>
  <c r="BG15" i="81"/>
  <c r="BF15" i="81"/>
  <c r="BE15" i="81"/>
  <c r="BD15" i="81"/>
  <c r="BC15" i="81"/>
  <c r="BA15" i="81"/>
  <c r="AZ15" i="81"/>
  <c r="AY15" i="81"/>
  <c r="AX15" i="81"/>
  <c r="AW15" i="81"/>
  <c r="AV15" i="81"/>
  <c r="AU15" i="81"/>
  <c r="AT15" i="81"/>
  <c r="AS15" i="81"/>
  <c r="AR15" i="81"/>
  <c r="AQ15" i="81"/>
  <c r="AP15" i="81"/>
  <c r="AN15" i="81"/>
  <c r="AM15" i="81"/>
  <c r="AL15" i="81"/>
  <c r="AK15" i="81"/>
  <c r="AJ15" i="81"/>
  <c r="AI15" i="81"/>
  <c r="AH15" i="81"/>
  <c r="AG15" i="81"/>
  <c r="AF15" i="81"/>
  <c r="AE15" i="81"/>
  <c r="AD15" i="81"/>
  <c r="AC15" i="81"/>
  <c r="AA15" i="81"/>
  <c r="Z15" i="81"/>
  <c r="Y15" i="81"/>
  <c r="X15" i="81"/>
  <c r="W15" i="81"/>
  <c r="V15" i="81"/>
  <c r="U15" i="81"/>
  <c r="T15" i="81"/>
  <c r="S15" i="81"/>
  <c r="R15" i="81"/>
  <c r="Q15" i="81"/>
  <c r="P15" i="81"/>
  <c r="N15" i="81"/>
  <c r="M15" i="81"/>
  <c r="L15" i="81"/>
  <c r="K15" i="81"/>
  <c r="J15" i="81"/>
  <c r="I15" i="81"/>
  <c r="H15" i="81"/>
  <c r="G15" i="81"/>
  <c r="F15" i="81"/>
  <c r="E15" i="81"/>
  <c r="D15" i="81"/>
  <c r="C15" i="81"/>
  <c r="O15" i="81" s="1"/>
  <c r="O30" i="81" s="1"/>
  <c r="CA14" i="81"/>
  <c r="BZ14" i="81"/>
  <c r="BY14" i="81"/>
  <c r="BX14" i="81"/>
  <c r="BW14" i="81"/>
  <c r="BV14" i="81"/>
  <c r="BU14" i="81"/>
  <c r="BT14" i="81"/>
  <c r="BS14" i="81"/>
  <c r="BR14" i="81"/>
  <c r="BQ14" i="81"/>
  <c r="BP14" i="81"/>
  <c r="CB14" i="81" s="1"/>
  <c r="BN14" i="81"/>
  <c r="BM14" i="81"/>
  <c r="BL14" i="81"/>
  <c r="BK14" i="81"/>
  <c r="BJ14" i="81"/>
  <c r="BI14" i="81"/>
  <c r="BH14" i="81"/>
  <c r="BG14" i="81"/>
  <c r="BF14" i="81"/>
  <c r="BE14" i="81"/>
  <c r="BD14" i="81"/>
  <c r="BC14" i="81"/>
  <c r="BO14" i="81" s="1"/>
  <c r="BA14" i="81"/>
  <c r="AZ14" i="81"/>
  <c r="AY14" i="81"/>
  <c r="AX14" i="81"/>
  <c r="AW14" i="81"/>
  <c r="AV14" i="81"/>
  <c r="AU14" i="81"/>
  <c r="AT14" i="81"/>
  <c r="AS14" i="81"/>
  <c r="AR14" i="81"/>
  <c r="AQ14" i="81"/>
  <c r="AP14" i="81"/>
  <c r="BB14" i="81" s="1"/>
  <c r="AN14" i="81"/>
  <c r="AM14" i="81"/>
  <c r="AL14" i="81"/>
  <c r="AK14" i="81"/>
  <c r="AJ14" i="81"/>
  <c r="AI14" i="81"/>
  <c r="AH14" i="81"/>
  <c r="AG14" i="81"/>
  <c r="AF14" i="81"/>
  <c r="AE14" i="81"/>
  <c r="AD14" i="81"/>
  <c r="AC14" i="81"/>
  <c r="AO14" i="81" s="1"/>
  <c r="AA14" i="81"/>
  <c r="Z14" i="81"/>
  <c r="Y14" i="81"/>
  <c r="X14" i="81"/>
  <c r="W14" i="81"/>
  <c r="V14" i="81"/>
  <c r="U14" i="81"/>
  <c r="T14" i="81"/>
  <c r="S14" i="81"/>
  <c r="R14" i="81"/>
  <c r="Q14" i="81"/>
  <c r="P14" i="81"/>
  <c r="AB14" i="81" s="1"/>
  <c r="N14" i="81"/>
  <c r="M14" i="81"/>
  <c r="L14" i="81"/>
  <c r="K14" i="81"/>
  <c r="J14" i="81"/>
  <c r="I14" i="81"/>
  <c r="H14" i="81"/>
  <c r="G14" i="81"/>
  <c r="F14" i="81"/>
  <c r="E14" i="81"/>
  <c r="D14" i="81"/>
  <c r="C14" i="81"/>
  <c r="O14" i="81" s="1"/>
  <c r="CA13" i="81"/>
  <c r="BZ13" i="81"/>
  <c r="BY13" i="81"/>
  <c r="BX13" i="81"/>
  <c r="BW13" i="81"/>
  <c r="BV13" i="81"/>
  <c r="BU13" i="81"/>
  <c r="BT13" i="81"/>
  <c r="BS13" i="81"/>
  <c r="BR13" i="81"/>
  <c r="BQ13" i="81"/>
  <c r="BP13" i="81"/>
  <c r="CB13" i="81" s="1"/>
  <c r="BN13" i="81"/>
  <c r="BM13" i="81"/>
  <c r="BL13" i="81"/>
  <c r="BK13" i="81"/>
  <c r="BJ13" i="81"/>
  <c r="BI13" i="81"/>
  <c r="BH13" i="81"/>
  <c r="BG13" i="81"/>
  <c r="BF13" i="81"/>
  <c r="BE13" i="81"/>
  <c r="BD13" i="81"/>
  <c r="BC13" i="81"/>
  <c r="BO13" i="81" s="1"/>
  <c r="BA13" i="81"/>
  <c r="AZ13" i="81"/>
  <c r="AY13" i="81"/>
  <c r="AX13" i="81"/>
  <c r="AW13" i="81"/>
  <c r="AV13" i="81"/>
  <c r="AU13" i="81"/>
  <c r="AT13" i="81"/>
  <c r="AS13" i="81"/>
  <c r="AR13" i="81"/>
  <c r="AQ13" i="81"/>
  <c r="AP13" i="81"/>
  <c r="BB13" i="81" s="1"/>
  <c r="AN13" i="81"/>
  <c r="AM13" i="81"/>
  <c r="AL13" i="81"/>
  <c r="AK13" i="81"/>
  <c r="AJ13" i="81"/>
  <c r="AI13" i="81"/>
  <c r="AH13" i="81"/>
  <c r="AG13" i="81"/>
  <c r="AF13" i="81"/>
  <c r="AE13" i="81"/>
  <c r="AD13" i="81"/>
  <c r="AC13" i="81"/>
  <c r="AO13" i="81" s="1"/>
  <c r="AA13" i="81"/>
  <c r="Z13" i="81"/>
  <c r="Y13" i="81"/>
  <c r="X13" i="81"/>
  <c r="W13" i="81"/>
  <c r="V13" i="81"/>
  <c r="U13" i="81"/>
  <c r="T13" i="81"/>
  <c r="S13" i="81"/>
  <c r="R13" i="81"/>
  <c r="Q13" i="81"/>
  <c r="P13" i="81"/>
  <c r="AB13" i="81" s="1"/>
  <c r="N13" i="81"/>
  <c r="M13" i="81"/>
  <c r="L13" i="81"/>
  <c r="K13" i="81"/>
  <c r="J13" i="81"/>
  <c r="I13" i="81"/>
  <c r="H13" i="81"/>
  <c r="G13" i="81"/>
  <c r="F13" i="81"/>
  <c r="E13" i="81"/>
  <c r="D13" i="81"/>
  <c r="C13" i="81"/>
  <c r="O13" i="81" s="1"/>
  <c r="CA12" i="81"/>
  <c r="BZ12" i="81"/>
  <c r="BY12" i="81"/>
  <c r="BX12" i="81"/>
  <c r="BW12" i="81"/>
  <c r="BV12" i="81"/>
  <c r="BU12" i="81"/>
  <c r="BT12" i="81"/>
  <c r="BS12" i="81"/>
  <c r="BR12" i="81"/>
  <c r="BQ12" i="81"/>
  <c r="BP12" i="81"/>
  <c r="CB12" i="81" s="1"/>
  <c r="BN12" i="81"/>
  <c r="BM12" i="81"/>
  <c r="BL12" i="81"/>
  <c r="BK12" i="81"/>
  <c r="BJ12" i="81"/>
  <c r="BI12" i="81"/>
  <c r="BH12" i="81"/>
  <c r="BG12" i="81"/>
  <c r="BF12" i="81"/>
  <c r="BE12" i="81"/>
  <c r="BD12" i="81"/>
  <c r="BC12" i="81"/>
  <c r="BO12" i="81" s="1"/>
  <c r="BA12" i="81"/>
  <c r="AZ12" i="81"/>
  <c r="AY12" i="81"/>
  <c r="AX12" i="81"/>
  <c r="AW12" i="81"/>
  <c r="AV12" i="81"/>
  <c r="AU12" i="81"/>
  <c r="AT12" i="81"/>
  <c r="AS12" i="81"/>
  <c r="AR12" i="81"/>
  <c r="AQ12" i="81"/>
  <c r="AP12" i="81"/>
  <c r="BB12" i="81" s="1"/>
  <c r="AN12" i="81"/>
  <c r="AM12" i="81"/>
  <c r="AL12" i="81"/>
  <c r="AK12" i="81"/>
  <c r="AJ12" i="81"/>
  <c r="AI12" i="81"/>
  <c r="AH12" i="81"/>
  <c r="AG12" i="81"/>
  <c r="AF12" i="81"/>
  <c r="AE12" i="81"/>
  <c r="AD12" i="81"/>
  <c r="AC12" i="81"/>
  <c r="AO12" i="81" s="1"/>
  <c r="AA12" i="81"/>
  <c r="Z12" i="81"/>
  <c r="Y12" i="81"/>
  <c r="X12" i="81"/>
  <c r="W12" i="81"/>
  <c r="V12" i="81"/>
  <c r="U12" i="81"/>
  <c r="T12" i="81"/>
  <c r="S12" i="81"/>
  <c r="R12" i="81"/>
  <c r="Q12" i="81"/>
  <c r="P12" i="81"/>
  <c r="AB12" i="81" s="1"/>
  <c r="N12" i="81"/>
  <c r="M12" i="81"/>
  <c r="L12" i="81"/>
  <c r="K12" i="81"/>
  <c r="J12" i="81"/>
  <c r="I12" i="81"/>
  <c r="H12" i="81"/>
  <c r="G12" i="81"/>
  <c r="F12" i="81"/>
  <c r="E12" i="81"/>
  <c r="D12" i="81"/>
  <c r="C12" i="81"/>
  <c r="O12" i="81" s="1"/>
  <c r="CA11" i="81"/>
  <c r="BZ11" i="81"/>
  <c r="BY11" i="81"/>
  <c r="BX11" i="81"/>
  <c r="BW11" i="81"/>
  <c r="BV11" i="81"/>
  <c r="BU11" i="81"/>
  <c r="BT11" i="81"/>
  <c r="BS11" i="81"/>
  <c r="BR11" i="81"/>
  <c r="BQ11" i="81"/>
  <c r="BP11" i="81"/>
  <c r="CB11" i="81" s="1"/>
  <c r="BN11" i="81"/>
  <c r="BM11" i="81"/>
  <c r="BL11" i="81"/>
  <c r="BK11" i="81"/>
  <c r="BJ11" i="81"/>
  <c r="BI11" i="81"/>
  <c r="BH11" i="81"/>
  <c r="BG11" i="81"/>
  <c r="BF11" i="81"/>
  <c r="BE11" i="81"/>
  <c r="BD11" i="81"/>
  <c r="BC11" i="81"/>
  <c r="BO11" i="81" s="1"/>
  <c r="BA11" i="81"/>
  <c r="AZ11" i="81"/>
  <c r="AY11" i="81"/>
  <c r="AX11" i="81"/>
  <c r="AW11" i="81"/>
  <c r="AV11" i="81"/>
  <c r="AU11" i="81"/>
  <c r="AT11" i="81"/>
  <c r="AS11" i="81"/>
  <c r="AR11" i="81"/>
  <c r="AQ11" i="81"/>
  <c r="AP11" i="81"/>
  <c r="AN11" i="81"/>
  <c r="AM11" i="81"/>
  <c r="AL11" i="81"/>
  <c r="AK11" i="81"/>
  <c r="AJ11" i="81"/>
  <c r="AI11" i="81"/>
  <c r="AH11" i="81"/>
  <c r="AG11" i="81"/>
  <c r="AF11" i="81"/>
  <c r="AE11" i="81"/>
  <c r="AD11" i="81"/>
  <c r="AC11" i="81"/>
  <c r="AO11" i="81" s="1"/>
  <c r="AA11" i="81"/>
  <c r="Z11" i="81"/>
  <c r="Y11" i="81"/>
  <c r="X11" i="81"/>
  <c r="W11" i="81"/>
  <c r="V11" i="81"/>
  <c r="U11" i="81"/>
  <c r="T11" i="81"/>
  <c r="S11" i="81"/>
  <c r="R11" i="81"/>
  <c r="Q11" i="81"/>
  <c r="P11" i="81"/>
  <c r="AB11" i="81" s="1"/>
  <c r="N11" i="81"/>
  <c r="M11" i="81"/>
  <c r="L11" i="81"/>
  <c r="K11" i="81"/>
  <c r="J11" i="81"/>
  <c r="I11" i="81"/>
  <c r="H11" i="81"/>
  <c r="G11" i="81"/>
  <c r="F11" i="81"/>
  <c r="E11" i="81"/>
  <c r="D11" i="81"/>
  <c r="C11" i="81"/>
  <c r="O11" i="81" s="1"/>
  <c r="CA10" i="81"/>
  <c r="BZ10" i="81"/>
  <c r="BY10" i="81"/>
  <c r="BX10" i="81"/>
  <c r="BW10" i="81"/>
  <c r="BV10" i="81"/>
  <c r="BU10" i="81"/>
  <c r="BT10" i="81"/>
  <c r="BS10" i="81"/>
  <c r="BR10" i="81"/>
  <c r="BQ10" i="81"/>
  <c r="BP10" i="81"/>
  <c r="CB10" i="81" s="1"/>
  <c r="BN10" i="81"/>
  <c r="BM10" i="81"/>
  <c r="BL10" i="81"/>
  <c r="BK10" i="81"/>
  <c r="BJ10" i="81"/>
  <c r="BI10" i="81"/>
  <c r="BH10" i="81"/>
  <c r="BG10" i="81"/>
  <c r="BF10" i="81"/>
  <c r="BE10" i="81"/>
  <c r="BD10" i="81"/>
  <c r="BC10" i="81"/>
  <c r="BO10" i="81" s="1"/>
  <c r="BA10" i="81"/>
  <c r="AZ10" i="81"/>
  <c r="AY10" i="81"/>
  <c r="AX10" i="81"/>
  <c r="AW10" i="81"/>
  <c r="AV10" i="81"/>
  <c r="AU10" i="81"/>
  <c r="AT10" i="81"/>
  <c r="AS10" i="81"/>
  <c r="AR10" i="81"/>
  <c r="AQ10" i="81"/>
  <c r="AP10" i="81"/>
  <c r="BB10" i="81" s="1"/>
  <c r="AN10" i="81"/>
  <c r="AM10" i="81"/>
  <c r="AL10" i="81"/>
  <c r="AK10" i="81"/>
  <c r="AJ10" i="81"/>
  <c r="AI10" i="81"/>
  <c r="AH10" i="81"/>
  <c r="AG10" i="81"/>
  <c r="AF10" i="81"/>
  <c r="AE10" i="81"/>
  <c r="AD10" i="81"/>
  <c r="AC10" i="81"/>
  <c r="AO10" i="81" s="1"/>
  <c r="AA10" i="81"/>
  <c r="Z10" i="81"/>
  <c r="Y10" i="81"/>
  <c r="X10" i="81"/>
  <c r="W10" i="81"/>
  <c r="V10" i="81"/>
  <c r="U10" i="81"/>
  <c r="T10" i="81"/>
  <c r="S10" i="81"/>
  <c r="R10" i="81"/>
  <c r="Q10" i="81"/>
  <c r="P10" i="81"/>
  <c r="N10" i="81"/>
  <c r="M10" i="81"/>
  <c r="L10" i="81"/>
  <c r="K10" i="81"/>
  <c r="J10" i="81"/>
  <c r="I10" i="81"/>
  <c r="H10" i="81"/>
  <c r="G10" i="81"/>
  <c r="F10" i="81"/>
  <c r="E10" i="81"/>
  <c r="D10" i="81"/>
  <c r="C10" i="81"/>
  <c r="O10" i="81" s="1"/>
  <c r="CA9" i="81"/>
  <c r="BZ9" i="81"/>
  <c r="BY9" i="81"/>
  <c r="BX9" i="81"/>
  <c r="BW9" i="81"/>
  <c r="BV9" i="81"/>
  <c r="BU9" i="81"/>
  <c r="BT9" i="81"/>
  <c r="BS9" i="81"/>
  <c r="BR9" i="81"/>
  <c r="BQ9" i="81"/>
  <c r="BP9" i="81"/>
  <c r="CB9" i="81" s="1"/>
  <c r="BN9" i="81"/>
  <c r="BM9" i="81"/>
  <c r="BL9" i="81"/>
  <c r="BK9" i="81"/>
  <c r="BJ9" i="81"/>
  <c r="BI9" i="81"/>
  <c r="BH9" i="81"/>
  <c r="BG9" i="81"/>
  <c r="BF9" i="81"/>
  <c r="BE9" i="81"/>
  <c r="BD9" i="81"/>
  <c r="BC9" i="81"/>
  <c r="BO9" i="81" s="1"/>
  <c r="BA9" i="81"/>
  <c r="AZ9" i="81"/>
  <c r="AY9" i="81"/>
  <c r="AX9" i="81"/>
  <c r="AW9" i="81"/>
  <c r="AV9" i="81"/>
  <c r="AU9" i="81"/>
  <c r="AT9" i="81"/>
  <c r="AS9" i="81"/>
  <c r="AR9" i="81"/>
  <c r="AQ9" i="81"/>
  <c r="AP9" i="81"/>
  <c r="AN9" i="81"/>
  <c r="AM9" i="81"/>
  <c r="AL9" i="81"/>
  <c r="AK9" i="81"/>
  <c r="AJ9" i="81"/>
  <c r="AI9" i="81"/>
  <c r="AH9" i="81"/>
  <c r="AG9" i="81"/>
  <c r="AF9" i="81"/>
  <c r="AE9" i="81"/>
  <c r="AD9" i="81"/>
  <c r="AC9" i="81"/>
  <c r="AO9" i="81" s="1"/>
  <c r="AA9" i="81"/>
  <c r="Z9" i="81"/>
  <c r="Y9" i="81"/>
  <c r="X9" i="81"/>
  <c r="W9" i="81"/>
  <c r="V9" i="81"/>
  <c r="U9" i="81"/>
  <c r="T9" i="81"/>
  <c r="S9" i="81"/>
  <c r="R9" i="81"/>
  <c r="Q9" i="81"/>
  <c r="P9" i="81"/>
  <c r="AB9" i="81" s="1"/>
  <c r="N9" i="81"/>
  <c r="M9" i="81"/>
  <c r="L9" i="81"/>
  <c r="K9" i="81"/>
  <c r="J9" i="81"/>
  <c r="I9" i="81"/>
  <c r="H9" i="81"/>
  <c r="G9" i="81"/>
  <c r="F9" i="81"/>
  <c r="E9" i="81"/>
  <c r="D9" i="81"/>
  <c r="C9" i="81"/>
  <c r="CA8" i="81"/>
  <c r="BZ8" i="81"/>
  <c r="BY8" i="81"/>
  <c r="BX8" i="81"/>
  <c r="BW8" i="81"/>
  <c r="BV8" i="81"/>
  <c r="BU8" i="81"/>
  <c r="BT8" i="81"/>
  <c r="BS8" i="81"/>
  <c r="BR8" i="81"/>
  <c r="BQ8" i="81"/>
  <c r="BP8" i="81"/>
  <c r="CB8" i="81" s="1"/>
  <c r="BN8" i="81"/>
  <c r="BM8" i="81"/>
  <c r="BL8" i="81"/>
  <c r="BK8" i="81"/>
  <c r="BJ8" i="81"/>
  <c r="BI8" i="81"/>
  <c r="BH8" i="81"/>
  <c r="BG8" i="81"/>
  <c r="BF8" i="81"/>
  <c r="BE8" i="81"/>
  <c r="BD8" i="81"/>
  <c r="BC8" i="81"/>
  <c r="BO8" i="81" s="1"/>
  <c r="BA8" i="81"/>
  <c r="AZ8" i="81"/>
  <c r="AY8" i="81"/>
  <c r="AX8" i="81"/>
  <c r="AW8" i="81"/>
  <c r="AV8" i="81"/>
  <c r="AU8" i="81"/>
  <c r="AT8" i="81"/>
  <c r="AS8" i="81"/>
  <c r="AR8" i="81"/>
  <c r="AQ8" i="81"/>
  <c r="AP8" i="81"/>
  <c r="BB8" i="81" s="1"/>
  <c r="AN8" i="81"/>
  <c r="AM8" i="81"/>
  <c r="AL8" i="81"/>
  <c r="AK8" i="81"/>
  <c r="AJ8" i="81"/>
  <c r="AI8" i="81"/>
  <c r="AH8" i="81"/>
  <c r="AG8" i="81"/>
  <c r="AF8" i="81"/>
  <c r="AE8" i="81"/>
  <c r="AD8" i="81"/>
  <c r="AC8" i="81"/>
  <c r="AO8" i="81" s="1"/>
  <c r="AA8" i="81"/>
  <c r="Z8" i="81"/>
  <c r="Y8" i="81"/>
  <c r="X8" i="81"/>
  <c r="W8" i="81"/>
  <c r="V8" i="81"/>
  <c r="U8" i="81"/>
  <c r="T8" i="81"/>
  <c r="S8" i="81"/>
  <c r="R8" i="81"/>
  <c r="Q8" i="81"/>
  <c r="P8" i="81"/>
  <c r="AB8" i="81" s="1"/>
  <c r="N8" i="81"/>
  <c r="M8" i="81"/>
  <c r="L8" i="81"/>
  <c r="K8" i="81"/>
  <c r="J8" i="81"/>
  <c r="I8" i="81"/>
  <c r="H8" i="81"/>
  <c r="G8" i="81"/>
  <c r="F8" i="81"/>
  <c r="E8" i="81"/>
  <c r="D8" i="81"/>
  <c r="C8" i="81"/>
  <c r="O8" i="81" s="1"/>
  <c r="CA7" i="81"/>
  <c r="BZ7" i="81"/>
  <c r="BY7" i="81"/>
  <c r="BX7" i="81"/>
  <c r="BW7" i="81"/>
  <c r="BV7" i="81"/>
  <c r="BU7" i="81"/>
  <c r="BT7" i="81"/>
  <c r="BS7" i="81"/>
  <c r="BR7" i="81"/>
  <c r="BQ7" i="81"/>
  <c r="BP7" i="81"/>
  <c r="CB7" i="81" s="1"/>
  <c r="BN7" i="81"/>
  <c r="BM7" i="81"/>
  <c r="BL7" i="81"/>
  <c r="BK7" i="81"/>
  <c r="BJ7" i="81"/>
  <c r="BI7" i="81"/>
  <c r="BH7" i="81"/>
  <c r="BG7" i="81"/>
  <c r="BF7" i="81"/>
  <c r="BE7" i="81"/>
  <c r="BD7" i="81"/>
  <c r="BC7" i="81"/>
  <c r="BO7" i="81" s="1"/>
  <c r="BA7" i="81"/>
  <c r="AZ7" i="81"/>
  <c r="AY7" i="81"/>
  <c r="AX7" i="81"/>
  <c r="AW7" i="81"/>
  <c r="AV7" i="81"/>
  <c r="AU7" i="81"/>
  <c r="AT7" i="81"/>
  <c r="AS7" i="81"/>
  <c r="AR7" i="81"/>
  <c r="AQ7" i="81"/>
  <c r="AP7" i="81"/>
  <c r="BB7" i="81" s="1"/>
  <c r="AN7" i="81"/>
  <c r="AM7" i="81"/>
  <c r="AL7" i="81"/>
  <c r="AK7" i="81"/>
  <c r="AJ7" i="81"/>
  <c r="AI7" i="81"/>
  <c r="AH7" i="81"/>
  <c r="AG7" i="81"/>
  <c r="AF7" i="81"/>
  <c r="AE7" i="81"/>
  <c r="AD7" i="81"/>
  <c r="AC7" i="81"/>
  <c r="AO7" i="81" s="1"/>
  <c r="AA7" i="81"/>
  <c r="Z7" i="81"/>
  <c r="Y7" i="81"/>
  <c r="X7" i="81"/>
  <c r="W7" i="81"/>
  <c r="V7" i="81"/>
  <c r="U7" i="81"/>
  <c r="T7" i="81"/>
  <c r="S7" i="81"/>
  <c r="R7" i="81"/>
  <c r="Q7" i="81"/>
  <c r="P7" i="81"/>
  <c r="AB7" i="81" s="1"/>
  <c r="N7" i="81"/>
  <c r="M7" i="81"/>
  <c r="L7" i="81"/>
  <c r="K7" i="81"/>
  <c r="J7" i="81"/>
  <c r="I7" i="81"/>
  <c r="H7" i="81"/>
  <c r="G7" i="81"/>
  <c r="F7" i="81"/>
  <c r="E7" i="81"/>
  <c r="D7" i="81"/>
  <c r="C7" i="81"/>
  <c r="O7" i="81" s="1"/>
  <c r="CA6" i="81"/>
  <c r="BZ6" i="81"/>
  <c r="BY6" i="81"/>
  <c r="BX6" i="81"/>
  <c r="BW6" i="81"/>
  <c r="BV6" i="81"/>
  <c r="BU6" i="81"/>
  <c r="BT6" i="81"/>
  <c r="BS6" i="81"/>
  <c r="BR6" i="81"/>
  <c r="BQ6" i="81"/>
  <c r="BP6" i="81"/>
  <c r="CB6" i="81" s="1"/>
  <c r="BN6" i="81"/>
  <c r="BM6" i="81"/>
  <c r="BL6" i="81"/>
  <c r="BK6" i="81"/>
  <c r="BJ6" i="81"/>
  <c r="BI6" i="81"/>
  <c r="BH6" i="81"/>
  <c r="BG6" i="81"/>
  <c r="BF6" i="81"/>
  <c r="BE6" i="81"/>
  <c r="BD6" i="81"/>
  <c r="BC6" i="81"/>
  <c r="BO6" i="81" s="1"/>
  <c r="BA6" i="81"/>
  <c r="AZ6" i="81"/>
  <c r="AY6" i="81"/>
  <c r="AX6" i="81"/>
  <c r="AW6" i="81"/>
  <c r="AV6" i="81"/>
  <c r="AU6" i="81"/>
  <c r="AT6" i="81"/>
  <c r="AS6" i="81"/>
  <c r="AR6" i="81"/>
  <c r="AQ6" i="81"/>
  <c r="AP6" i="81"/>
  <c r="BB6" i="81" s="1"/>
  <c r="AN6" i="81"/>
  <c r="AM6" i="81"/>
  <c r="AL6" i="81"/>
  <c r="AK6" i="81"/>
  <c r="AJ6" i="81"/>
  <c r="AI6" i="81"/>
  <c r="AH6" i="81"/>
  <c r="AG6" i="81"/>
  <c r="AF6" i="81"/>
  <c r="AE6" i="81"/>
  <c r="AD6" i="81"/>
  <c r="AC6" i="81"/>
  <c r="AO6" i="81" s="1"/>
  <c r="AA6" i="81"/>
  <c r="Z6" i="81"/>
  <c r="Y6" i="81"/>
  <c r="X6" i="81"/>
  <c r="W6" i="81"/>
  <c r="V6" i="81"/>
  <c r="U6" i="81"/>
  <c r="T6" i="81"/>
  <c r="S6" i="81"/>
  <c r="R6" i="81"/>
  <c r="Q6" i="81"/>
  <c r="P6" i="81"/>
  <c r="AB6" i="81" s="1"/>
  <c r="N6" i="81"/>
  <c r="M6" i="81"/>
  <c r="L6" i="81"/>
  <c r="K6" i="81"/>
  <c r="J6" i="81"/>
  <c r="I6" i="81"/>
  <c r="H6" i="81"/>
  <c r="G6" i="81"/>
  <c r="F6" i="81"/>
  <c r="E6" i="81"/>
  <c r="D6" i="81"/>
  <c r="C6" i="81"/>
  <c r="O6" i="81" s="1"/>
  <c r="CA5" i="81"/>
  <c r="BZ5" i="81"/>
  <c r="BY5" i="81"/>
  <c r="BX5" i="81"/>
  <c r="BW5" i="81"/>
  <c r="BV5" i="81"/>
  <c r="BU5" i="81"/>
  <c r="BT5" i="81"/>
  <c r="BS5" i="81"/>
  <c r="BR5" i="81"/>
  <c r="BQ5" i="81"/>
  <c r="BP5" i="81"/>
  <c r="CB5" i="81" s="1"/>
  <c r="CB29" i="81" s="1"/>
  <c r="BN5" i="81"/>
  <c r="BM5" i="81"/>
  <c r="BL5" i="81"/>
  <c r="BK5" i="81"/>
  <c r="BJ5" i="81"/>
  <c r="BI5" i="81"/>
  <c r="BH5" i="81"/>
  <c r="BG5" i="81"/>
  <c r="BF5" i="81"/>
  <c r="BE5" i="81"/>
  <c r="BD5" i="81"/>
  <c r="BC5" i="81"/>
  <c r="BO5" i="81" s="1"/>
  <c r="BO29" i="81" s="1"/>
  <c r="BA5" i="81"/>
  <c r="AZ5" i="81"/>
  <c r="AY5" i="81"/>
  <c r="AX5" i="81"/>
  <c r="AW5" i="81"/>
  <c r="AV5" i="81"/>
  <c r="AU5" i="81"/>
  <c r="AT5" i="81"/>
  <c r="AS5" i="81"/>
  <c r="AR5" i="81"/>
  <c r="AQ5" i="81"/>
  <c r="AP5" i="81"/>
  <c r="BB5" i="81" s="1"/>
  <c r="BB29" i="81" s="1"/>
  <c r="AN5" i="81"/>
  <c r="AM5" i="81"/>
  <c r="AL5" i="81"/>
  <c r="AK5" i="81"/>
  <c r="AJ5" i="81"/>
  <c r="AI5" i="81"/>
  <c r="AH5" i="81"/>
  <c r="AG5" i="81"/>
  <c r="AF5" i="81"/>
  <c r="AE5" i="81"/>
  <c r="AD5" i="81"/>
  <c r="AC5" i="81"/>
  <c r="AO5" i="81" s="1"/>
  <c r="AO29" i="81" s="1"/>
  <c r="AA5" i="81"/>
  <c r="Z5" i="81"/>
  <c r="Y5" i="81"/>
  <c r="X5" i="81"/>
  <c r="W5" i="81"/>
  <c r="V5" i="81"/>
  <c r="U5" i="81"/>
  <c r="T5" i="81"/>
  <c r="S5" i="81"/>
  <c r="R5" i="81"/>
  <c r="Q5" i="81"/>
  <c r="P5" i="81"/>
  <c r="AB5" i="81" s="1"/>
  <c r="AB29" i="81" s="1"/>
  <c r="N5" i="81"/>
  <c r="M5" i="81"/>
  <c r="L5" i="81"/>
  <c r="K5" i="81"/>
  <c r="J5" i="81"/>
  <c r="I5" i="81"/>
  <c r="H5" i="81"/>
  <c r="G5" i="81"/>
  <c r="F5" i="81"/>
  <c r="E5" i="81"/>
  <c r="D5" i="81"/>
  <c r="C5" i="81"/>
  <c r="O5" i="81" s="1"/>
  <c r="O29" i="81" s="1"/>
  <c r="CB4" i="81"/>
  <c r="BN4" i="81"/>
  <c r="BM4" i="81"/>
  <c r="BL4" i="81"/>
  <c r="BK4" i="81"/>
  <c r="BJ4" i="81"/>
  <c r="BI4" i="81"/>
  <c r="BH4" i="81"/>
  <c r="BG4" i="81"/>
  <c r="BF4" i="81"/>
  <c r="BE4" i="81"/>
  <c r="BD4" i="81"/>
  <c r="BC4" i="81"/>
  <c r="BA4" i="81"/>
  <c r="AZ4" i="81"/>
  <c r="AY4" i="81"/>
  <c r="AX4" i="81"/>
  <c r="AW4" i="81"/>
  <c r="AV4" i="81"/>
  <c r="AU4" i="81"/>
  <c r="AT4" i="81"/>
  <c r="AS4" i="81"/>
  <c r="AR4" i="81"/>
  <c r="AQ4" i="81"/>
  <c r="AP4" i="81"/>
  <c r="AN4" i="81"/>
  <c r="AM4" i="81"/>
  <c r="AL4" i="81"/>
  <c r="AK4" i="81"/>
  <c r="AJ4" i="81"/>
  <c r="AI4" i="81"/>
  <c r="AH4" i="81"/>
  <c r="AG4" i="81"/>
  <c r="AF4" i="81"/>
  <c r="AE4" i="81"/>
  <c r="AD4" i="81"/>
  <c r="AC4" i="81"/>
  <c r="AA4" i="81"/>
  <c r="Z4" i="81"/>
  <c r="Y4" i="81"/>
  <c r="X4" i="81"/>
  <c r="W4" i="81"/>
  <c r="V4" i="81"/>
  <c r="U4" i="81"/>
  <c r="T4" i="81"/>
  <c r="S4" i="81"/>
  <c r="R4" i="81"/>
  <c r="Q4" i="81"/>
  <c r="P4" i="81"/>
  <c r="N4" i="81"/>
  <c r="M4" i="81"/>
  <c r="L4" i="81"/>
  <c r="K4" i="81"/>
  <c r="J4" i="81"/>
  <c r="I4" i="81"/>
  <c r="H4" i="81"/>
  <c r="G4" i="81"/>
  <c r="F4" i="81"/>
  <c r="E4" i="81"/>
  <c r="D4" i="81"/>
  <c r="C4" i="81"/>
  <c r="CB3" i="81"/>
  <c r="BN3" i="81"/>
  <c r="BM3" i="81"/>
  <c r="BL3" i="81"/>
  <c r="BK3" i="81"/>
  <c r="BJ3" i="81"/>
  <c r="BI3" i="81"/>
  <c r="BH3" i="81"/>
  <c r="BG3" i="81"/>
  <c r="BF3" i="81"/>
  <c r="BE3" i="81"/>
  <c r="BD3" i="81"/>
  <c r="BC3" i="81"/>
  <c r="BA3" i="81"/>
  <c r="AZ3" i="81"/>
  <c r="AY3" i="81"/>
  <c r="AX3" i="81"/>
  <c r="AW3" i="81"/>
  <c r="AV3" i="81"/>
  <c r="AU3" i="81"/>
  <c r="AT3" i="81"/>
  <c r="AS3" i="81"/>
  <c r="AR3" i="81"/>
  <c r="AQ3" i="81"/>
  <c r="AP3" i="81"/>
  <c r="AN3" i="81"/>
  <c r="AM3" i="81"/>
  <c r="AL3" i="81"/>
  <c r="AK3" i="81"/>
  <c r="AJ3" i="81"/>
  <c r="AI3" i="81"/>
  <c r="AH3" i="81"/>
  <c r="AG3" i="81"/>
  <c r="AF3" i="81"/>
  <c r="AE3" i="81"/>
  <c r="AD3" i="81"/>
  <c r="AC3" i="81"/>
  <c r="AA3" i="81"/>
  <c r="Z3" i="81"/>
  <c r="Y3" i="81"/>
  <c r="X3" i="81"/>
  <c r="W3" i="81"/>
  <c r="V3" i="81"/>
  <c r="U3" i="81"/>
  <c r="T3" i="81"/>
  <c r="S3" i="81"/>
  <c r="R3" i="81"/>
  <c r="Q3" i="81"/>
  <c r="P3" i="81"/>
  <c r="N3" i="81"/>
  <c r="M3" i="81"/>
  <c r="L3" i="81"/>
  <c r="K3" i="81"/>
  <c r="J3" i="81"/>
  <c r="I3" i="81"/>
  <c r="H3" i="81"/>
  <c r="G3" i="81"/>
  <c r="F3" i="81"/>
  <c r="E3" i="81"/>
  <c r="D3" i="81"/>
  <c r="C3" i="81"/>
  <c r="CB2" i="81"/>
  <c r="BN2" i="81"/>
  <c r="BM2" i="81"/>
  <c r="BL2" i="81"/>
  <c r="BK2" i="81"/>
  <c r="BJ2" i="81"/>
  <c r="BI2" i="81"/>
  <c r="BH2" i="81"/>
  <c r="BG2" i="81"/>
  <c r="BF2" i="81"/>
  <c r="BE2" i="81"/>
  <c r="BD2" i="81"/>
  <c r="BC2" i="81"/>
  <c r="BA2" i="81"/>
  <c r="AZ2" i="81"/>
  <c r="AY2" i="81"/>
  <c r="AX2" i="81"/>
  <c r="AW2" i="81"/>
  <c r="AV2" i="81"/>
  <c r="AU2" i="81"/>
  <c r="AT2" i="81"/>
  <c r="AS2" i="81"/>
  <c r="AR2" i="81"/>
  <c r="AQ2" i="81"/>
  <c r="AP2" i="81"/>
  <c r="AN2" i="81"/>
  <c r="AM2" i="81"/>
  <c r="AL2" i="81"/>
  <c r="AK2" i="81"/>
  <c r="AJ2" i="81"/>
  <c r="AI2" i="81"/>
  <c r="AH2" i="81"/>
  <c r="AG2" i="81"/>
  <c r="AF2" i="81"/>
  <c r="AE2" i="81"/>
  <c r="AD2" i="81"/>
  <c r="AC2" i="81"/>
  <c r="AA2" i="81"/>
  <c r="Z2" i="81"/>
  <c r="Y2" i="81"/>
  <c r="X2" i="81"/>
  <c r="W2" i="81"/>
  <c r="V2" i="81"/>
  <c r="U2" i="81"/>
  <c r="T2" i="81"/>
  <c r="S2" i="81"/>
  <c r="R2" i="81"/>
  <c r="Q2" i="81"/>
  <c r="P2" i="81"/>
  <c r="N2" i="81"/>
  <c r="M2" i="81"/>
  <c r="L2" i="81"/>
  <c r="K2" i="81"/>
  <c r="J2" i="81"/>
  <c r="I2" i="81"/>
  <c r="H2" i="81"/>
  <c r="G2" i="81"/>
  <c r="F2" i="81"/>
  <c r="E2" i="81"/>
  <c r="D2" i="81"/>
  <c r="C2" i="81"/>
  <c r="N19" i="1"/>
  <c r="D3" i="4"/>
  <c r="O3" i="81" l="1"/>
  <c r="AB3" i="81"/>
  <c r="BB3" i="81"/>
  <c r="E28" i="81"/>
  <c r="I28" i="81"/>
  <c r="M28" i="81"/>
  <c r="R28" i="81"/>
  <c r="V28" i="81"/>
  <c r="Z28" i="81"/>
  <c r="AE28" i="81"/>
  <c r="AI28" i="81"/>
  <c r="AM28" i="81"/>
  <c r="AR28" i="81"/>
  <c r="C28" i="81"/>
  <c r="K28" i="81"/>
  <c r="T28" i="81"/>
  <c r="AK28" i="81"/>
  <c r="AP28" i="81"/>
  <c r="AB10" i="81"/>
  <c r="BB11" i="81"/>
  <c r="O2" i="81"/>
  <c r="AB2" i="81"/>
  <c r="AO2" i="81"/>
  <c r="BB2" i="81"/>
  <c r="BO2" i="81"/>
  <c r="D28" i="81"/>
  <c r="H28" i="81"/>
  <c r="L28" i="81"/>
  <c r="Q28" i="81"/>
  <c r="U28" i="81"/>
  <c r="Y28" i="81"/>
  <c r="AD28" i="81"/>
  <c r="AH28" i="81"/>
  <c r="AL28" i="81"/>
  <c r="AQ28" i="81"/>
  <c r="AU28" i="81"/>
  <c r="AO3" i="81"/>
  <c r="BO3" i="81"/>
  <c r="O4" i="81"/>
  <c r="AB4" i="81"/>
  <c r="AO4" i="81"/>
  <c r="BB4" i="81"/>
  <c r="BO4" i="81"/>
  <c r="F28" i="81"/>
  <c r="J28" i="81"/>
  <c r="N28" i="81"/>
  <c r="S28" i="81"/>
  <c r="W28" i="81"/>
  <c r="AA28" i="81"/>
  <c r="AF28" i="81"/>
  <c r="AJ28" i="81"/>
  <c r="AN28" i="81"/>
  <c r="AS28" i="81"/>
  <c r="G28" i="81"/>
  <c r="X28" i="81"/>
  <c r="AG28" i="81"/>
  <c r="AT28" i="81"/>
  <c r="AB15" i="81"/>
  <c r="AB30" i="81" s="1"/>
  <c r="AO15" i="81"/>
  <c r="AO30" i="81" s="1"/>
  <c r="BB15" i="81"/>
  <c r="BB30" i="81" s="1"/>
  <c r="BO15" i="81"/>
  <c r="BO30" i="81" s="1"/>
  <c r="CB15" i="81"/>
  <c r="O16" i="81"/>
  <c r="AB16" i="81"/>
  <c r="AO16" i="81"/>
  <c r="BB16" i="81"/>
  <c r="BO16" i="81"/>
  <c r="CB16" i="81"/>
  <c r="O17" i="81"/>
  <c r="AB17" i="81"/>
  <c r="AO17" i="81"/>
  <c r="BB17" i="81"/>
  <c r="BO17" i="81"/>
  <c r="CB17" i="81"/>
  <c r="O18" i="81"/>
  <c r="AB18" i="81"/>
  <c r="AO18" i="81"/>
  <c r="BB18" i="81"/>
  <c r="BO18" i="81"/>
  <c r="CB18" i="81"/>
  <c r="O19" i="81"/>
  <c r="AB19" i="81"/>
  <c r="AO19" i="81"/>
  <c r="BB19" i="81"/>
  <c r="BO19" i="81"/>
  <c r="CB19" i="81"/>
  <c r="O20" i="81"/>
  <c r="AB20" i="81"/>
  <c r="AO20" i="81"/>
  <c r="BB20" i="81"/>
  <c r="BO20" i="81"/>
  <c r="CB20" i="81"/>
  <c r="O21" i="81"/>
  <c r="AB21" i="81"/>
  <c r="AO21" i="81"/>
  <c r="BB21" i="81"/>
  <c r="BO21" i="81"/>
  <c r="CB21" i="81"/>
  <c r="O22" i="81"/>
  <c r="AB22" i="81"/>
  <c r="AO22" i="81"/>
  <c r="BB22" i="81"/>
  <c r="BO22" i="81"/>
  <c r="CB22" i="81"/>
  <c r="O23" i="81"/>
  <c r="AB23" i="81"/>
  <c r="AO23" i="81"/>
  <c r="BB23" i="81"/>
  <c r="BO23" i="81"/>
  <c r="CB23" i="81"/>
  <c r="O24" i="81"/>
  <c r="AB24" i="81"/>
  <c r="AO24" i="81"/>
  <c r="BB24" i="81"/>
  <c r="BO24" i="81"/>
  <c r="CB24" i="81"/>
  <c r="O25" i="81"/>
  <c r="AB25" i="81"/>
  <c r="AO25" i="81"/>
  <c r="BB25" i="81"/>
  <c r="BO25" i="81"/>
  <c r="CB25" i="81"/>
  <c r="O26" i="81"/>
  <c r="AB26" i="81"/>
  <c r="AO26" i="81"/>
  <c r="BB26" i="81"/>
  <c r="BO26" i="81"/>
  <c r="CB26" i="81"/>
  <c r="O27" i="81"/>
  <c r="AB27" i="81"/>
  <c r="AO27" i="81"/>
  <c r="BB27" i="81"/>
  <c r="BO27" i="81"/>
  <c r="CB27" i="81"/>
  <c r="D6" i="77"/>
  <c r="AB28" i="81"/>
  <c r="AO28" i="81"/>
  <c r="BB9" i="81"/>
  <c r="P28" i="81"/>
  <c r="O9" i="81"/>
  <c r="O28" i="81" s="1"/>
  <c r="AC28" i="81"/>
  <c r="I7" i="79"/>
  <c r="CB30" i="81" l="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0" i="43"/>
  <c r="D98" i="43"/>
  <c r="D97" i="43"/>
  <c r="D96"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D95" i="43" l="1"/>
  <c r="D99" i="43"/>
  <c r="E93" i="43" s="1"/>
  <c r="B91" i="43" s="1"/>
  <c r="D101" i="43"/>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F93" i="43" l="1"/>
  <c r="H100" i="43" s="1"/>
  <c r="G23" i="78"/>
  <c r="G24" i="78"/>
  <c r="G25" i="78"/>
  <c r="B15" i="78"/>
  <c r="B18" i="78"/>
  <c r="G16" i="73"/>
  <c r="F16" i="73"/>
  <c r="E16" i="73"/>
  <c r="H99" i="43" l="1"/>
  <c r="H94" i="43"/>
  <c r="H101" i="43"/>
  <c r="H95" i="43"/>
  <c r="H93" i="43"/>
  <c r="H97" i="43"/>
  <c r="H96" i="43"/>
  <c r="H98" i="43"/>
  <c r="G17" i="73"/>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R22" i="77"/>
  <c r="R21" i="77"/>
  <c r="N19" i="77"/>
  <c r="R18" i="77"/>
  <c r="D18" i="77"/>
  <c r="R17" i="77"/>
  <c r="D17" i="77"/>
  <c r="R16" i="77"/>
  <c r="D16" i="77"/>
  <c r="D15" i="77"/>
  <c r="N14" i="77"/>
  <c r="M14" i="77"/>
  <c r="D14" i="77"/>
  <c r="R13" i="77"/>
  <c r="R12" i="77"/>
  <c r="R11" i="77"/>
  <c r="R10" i="77"/>
  <c r="D10" i="77"/>
  <c r="R9" i="77"/>
  <c r="D9" i="77"/>
  <c r="R8" i="77"/>
  <c r="R7" i="77"/>
  <c r="R4" i="77"/>
  <c r="R3" i="77"/>
  <c r="R14" i="77" l="1"/>
  <c r="R24" i="77" s="1"/>
  <c r="R25" i="77"/>
  <c r="D29" i="77"/>
  <c r="E23" i="77"/>
  <c r="D26" i="77"/>
  <c r="C29" i="77"/>
  <c r="R35" i="77"/>
  <c r="U34" i="77" s="1"/>
  <c r="AH9" i="71"/>
  <c r="AG9" i="71"/>
  <c r="AE9" i="71"/>
  <c r="AF9" i="71" s="1"/>
  <c r="AD9" i="71"/>
  <c r="Q9" i="71"/>
  <c r="P9" i="71"/>
  <c r="O9" i="71"/>
  <c r="N9" i="71"/>
  <c r="D32" i="77" l="1"/>
  <c r="D38" i="77" s="1"/>
  <c r="D39" i="77" s="1"/>
  <c r="R19" i="77"/>
  <c r="R5" i="77" s="1"/>
  <c r="U5" i="77" s="1"/>
  <c r="E26" i="77"/>
  <c r="E29" i="77"/>
  <c r="E32" i="77" s="1"/>
  <c r="E38" i="77" s="1"/>
  <c r="E39" i="77" s="1"/>
  <c r="AH10" i="71"/>
  <c r="AG10" i="71"/>
  <c r="AE10" i="71"/>
  <c r="AF10" i="71" s="1"/>
  <c r="AD10" i="71"/>
  <c r="Q10" i="71"/>
  <c r="AB9" i="71" s="1"/>
  <c r="P10" i="71"/>
  <c r="AA9" i="71" s="1"/>
  <c r="O10" i="71"/>
  <c r="Y9" i="71" s="1"/>
  <c r="Z9" i="71" s="1"/>
  <c r="N10" i="71"/>
  <c r="X9" i="71" s="1"/>
  <c r="V12" i="71" l="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B73" i="43"/>
  <c r="C17" i="20"/>
  <c r="B61" i="43"/>
  <c r="C16" i="20"/>
  <c r="C17" i="39"/>
  <c r="C15" i="20"/>
  <c r="C15" i="39" s="1"/>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H37"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9" i="6" s="1"/>
  <c r="G27" i="6" s="1"/>
  <c r="G17" i="3"/>
  <c r="BA17" i="3"/>
  <c r="BT5" i="3"/>
  <c r="AZ350" i="3"/>
  <c r="AZ352" i="3"/>
  <c r="AZ356" i="3"/>
  <c r="AZ360" i="3"/>
  <c r="AZ364" i="3"/>
  <c r="AZ368" i="3"/>
  <c r="BA15" i="3"/>
  <c r="BB5" i="3"/>
  <c r="F19" i="6" s="1"/>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2" i="15"/>
  <c r="M8" i="67"/>
  <c r="M9" i="15"/>
  <c r="M26" i="15"/>
  <c r="L48" i="15"/>
  <c r="M28" i="15"/>
  <c r="F26" i="15"/>
  <c r="M9" i="67"/>
  <c r="F7" i="73"/>
  <c r="M29" i="67"/>
  <c r="F8" i="15"/>
  <c r="M24" i="15"/>
  <c r="M22" i="67"/>
  <c r="M23" i="67"/>
  <c r="F13" i="67"/>
  <c r="F40" i="15"/>
  <c r="F36" i="15"/>
  <c r="F5" i="73"/>
  <c r="M6" i="15"/>
  <c r="F38" i="67"/>
  <c r="F7" i="67"/>
  <c r="F38" i="15"/>
  <c r="E2" i="68"/>
  <c r="F4" i="73"/>
  <c r="L48" i="67"/>
  <c r="E10" i="76"/>
  <c r="F26" i="67"/>
  <c r="F16" i="67"/>
  <c r="B10" i="76"/>
  <c r="E2" i="69"/>
  <c r="F7" i="15"/>
  <c r="M26" i="67"/>
  <c r="M24" i="67"/>
  <c r="M6" i="67"/>
  <c r="F20" i="31"/>
  <c r="C76" i="15"/>
  <c r="E8" i="76"/>
  <c r="F36" i="67"/>
  <c r="F16" i="15"/>
  <c r="F42" i="67"/>
  <c r="F6" i="67"/>
  <c r="B8" i="76"/>
  <c r="F40" i="67"/>
  <c r="F37" i="15"/>
  <c r="C76" i="67"/>
  <c r="M23" i="15"/>
  <c r="M22" i="15"/>
  <c r="M29" i="15"/>
  <c r="B9" i="76"/>
  <c r="F8" i="67"/>
  <c r="B7" i="76"/>
  <c r="F6" i="73"/>
  <c r="F3" i="73"/>
  <c r="D4" i="73"/>
  <c r="F37" i="67"/>
  <c r="D3" i="73"/>
  <c r="F9" i="15"/>
  <c r="E13" i="76"/>
  <c r="L47" i="15"/>
  <c r="F43" i="67"/>
  <c r="E9" i="76"/>
  <c r="B11" i="76"/>
  <c r="F13" i="15"/>
  <c r="D5" i="73"/>
  <c r="E11" i="76"/>
  <c r="F6" i="15"/>
  <c r="D7" i="73"/>
  <c r="AO13" i="1"/>
  <c r="F43" i="15"/>
  <c r="D6" i="73"/>
  <c r="B13" i="76"/>
  <c r="M28" i="67"/>
  <c r="J15" i="15"/>
  <c r="B12" i="76"/>
  <c r="L47" i="67"/>
  <c r="E12" i="76"/>
  <c r="F9" i="67"/>
  <c r="J15" i="67"/>
  <c r="M8" i="15"/>
  <c r="E7" i="76"/>
  <c r="B79" i="43" l="1"/>
  <c r="B68" i="43"/>
  <c r="B57" i="43"/>
  <c r="C29" i="39"/>
  <c r="B77" i="43"/>
  <c r="B76" i="43"/>
  <c r="BA26" i="3"/>
  <c r="BA27" i="3"/>
  <c r="AZ27" i="3" s="1"/>
  <c r="BA28" i="3"/>
  <c r="AZ28" i="3" s="1"/>
  <c r="BA29" i="3"/>
  <c r="AZ29" i="3" s="1"/>
  <c r="BA30" i="3"/>
  <c r="AZ30" i="3" s="1"/>
  <c r="BA21" i="3"/>
  <c r="BA22" i="3"/>
  <c r="BL22" i="3"/>
  <c r="BL21" i="3"/>
  <c r="AZ21" i="3" s="1"/>
  <c r="BA24" i="3"/>
  <c r="AZ24" i="3" s="1"/>
  <c r="BL26" i="3"/>
  <c r="BL18" i="3"/>
  <c r="G28" i="6"/>
  <c r="F28" i="6"/>
  <c r="BL19" i="3"/>
  <c r="G29" i="6"/>
  <c r="E19" i="6"/>
  <c r="K6" i="1" s="1"/>
  <c r="AP6" i="1" s="1"/>
  <c r="BA23" i="3"/>
  <c r="AZ23" i="3" s="1"/>
  <c r="AZ26" i="3"/>
  <c r="BA20" i="3"/>
  <c r="AZ20" i="3" s="1"/>
  <c r="BA25" i="3"/>
  <c r="AZ25" i="3" s="1"/>
  <c r="BL16" i="3"/>
  <c r="AZ14" i="3"/>
  <c r="BL15" i="3"/>
  <c r="BA18" i="3"/>
  <c r="AZ18" i="3" s="1"/>
  <c r="BA19" i="3"/>
  <c r="AZ19" i="3" s="1"/>
  <c r="C21" i="68"/>
  <c r="C40" i="69"/>
  <c r="A15" i="62"/>
  <c r="B61" i="72" s="1"/>
  <c r="AZ15" i="3"/>
  <c r="G5" i="3"/>
  <c r="B3" i="3" s="1"/>
  <c r="E253" i="3" s="1"/>
  <c r="F29" i="6"/>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61" i="3"/>
  <c r="E14" i="6"/>
  <c r="E63" i="39" s="1"/>
  <c r="I4" i="6"/>
  <c r="G3" i="43" s="1"/>
  <c r="G26" i="43" s="1"/>
  <c r="G30" i="6"/>
  <c r="G31" i="6" s="1"/>
  <c r="L19" i="6"/>
  <c r="L27" i="6"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215" i="3"/>
  <c r="E261" i="3"/>
  <c r="E395" i="3"/>
  <c r="E550" i="3"/>
  <c r="E117" i="3"/>
  <c r="E161" i="3"/>
  <c r="E91" i="3"/>
  <c r="E61" i="3"/>
  <c r="E134" i="3"/>
  <c r="E245" i="3"/>
  <c r="E301" i="3"/>
  <c r="E263" i="3"/>
  <c r="E350" i="3"/>
  <c r="E423" i="3"/>
  <c r="E578" i="3"/>
  <c r="AI6" i="3"/>
  <c r="E518" i="3"/>
  <c r="E49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C36" i="68"/>
  <c r="C16" i="15"/>
  <c r="C16" i="67"/>
  <c r="G1" i="73"/>
  <c r="E385" i="3" l="1"/>
  <c r="E586" i="3"/>
  <c r="E382" i="3"/>
  <c r="E191" i="3"/>
  <c r="E290" i="3"/>
  <c r="E260" i="3"/>
  <c r="E320" i="3"/>
  <c r="E551" i="3"/>
  <c r="AN6" i="3"/>
  <c r="E402" i="3"/>
  <c r="E303" i="3"/>
  <c r="E159" i="3"/>
  <c r="E135" i="3"/>
  <c r="E180" i="3"/>
  <c r="E445" i="3"/>
  <c r="E415" i="3"/>
  <c r="E294" i="3"/>
  <c r="E151" i="3"/>
  <c r="E503" i="3"/>
  <c r="E183" i="3"/>
  <c r="E69" i="3"/>
  <c r="E538" i="3"/>
  <c r="E254" i="3"/>
  <c r="E221" i="3"/>
  <c r="E535" i="3"/>
  <c r="E361" i="3"/>
  <c r="E563" i="3"/>
  <c r="E189" i="3"/>
  <c r="E407" i="3"/>
  <c r="E555" i="3"/>
  <c r="E302" i="3"/>
  <c r="E17" i="3"/>
  <c r="E172" i="3"/>
  <c r="E528" i="3"/>
  <c r="E114" i="3"/>
  <c r="E216" i="3"/>
  <c r="E380" i="3"/>
  <c r="AB6" i="3"/>
  <c r="AR6" i="3"/>
  <c r="E508" i="3"/>
  <c r="E278" i="3"/>
  <c r="E130" i="3"/>
  <c r="E231" i="3"/>
  <c r="E387" i="3"/>
  <c r="M6" i="3"/>
  <c r="E431" i="3"/>
  <c r="E185" i="3"/>
  <c r="E230" i="3"/>
  <c r="E335" i="3"/>
  <c r="E439" i="3"/>
  <c r="V6" i="3"/>
  <c r="E533" i="3"/>
  <c r="E569" i="3"/>
  <c r="E343" i="3"/>
  <c r="E201" i="3"/>
  <c r="AJ6" i="3"/>
  <c r="E514" i="3"/>
  <c r="E247" i="3"/>
  <c r="E239" i="3"/>
  <c r="E526" i="3"/>
  <c r="E282" i="3"/>
  <c r="E59" i="40"/>
  <c r="E270" i="3"/>
  <c r="E337" i="3"/>
  <c r="E516" i="3"/>
  <c r="E305" i="3"/>
  <c r="E217" i="3"/>
  <c r="AM6" i="3"/>
  <c r="E570" i="3"/>
  <c r="E358" i="3"/>
  <c r="E229" i="3"/>
  <c r="E410" i="3"/>
  <c r="E509" i="3"/>
  <c r="E322" i="3"/>
  <c r="E553" i="3"/>
  <c r="E175" i="3"/>
  <c r="E366" i="3"/>
  <c r="E70" i="3"/>
  <c r="E210" i="3"/>
  <c r="U6" i="3"/>
  <c r="E317" i="3"/>
  <c r="E403" i="3"/>
  <c r="E441" i="3"/>
  <c r="E126" i="3"/>
  <c r="E54" i="3"/>
  <c r="E561" i="3"/>
  <c r="E559" i="3"/>
  <c r="E311" i="3"/>
  <c r="E143" i="3"/>
  <c r="E396" i="3"/>
  <c r="E579" i="3"/>
  <c r="E388" i="3"/>
  <c r="N6" i="3"/>
  <c r="E268" i="3"/>
  <c r="E530" i="3"/>
  <c r="E125" i="3"/>
  <c r="E384" i="3"/>
  <c r="E272" i="3"/>
  <c r="E489" i="3"/>
  <c r="E93" i="3"/>
  <c r="E29" i="3"/>
  <c r="E291" i="3"/>
  <c r="E162" i="3"/>
  <c r="E367" i="3"/>
  <c r="E529" i="3"/>
  <c r="E196" i="3"/>
  <c r="W6" i="3"/>
  <c r="E44" i="3"/>
  <c r="E331" i="3"/>
  <c r="E186" i="3"/>
  <c r="E447" i="3"/>
  <c r="E548" i="3"/>
  <c r="E357" i="3"/>
  <c r="E157" i="3"/>
  <c r="E471" i="3"/>
  <c r="E313" i="3"/>
  <c r="E71" i="3"/>
  <c r="E581" i="3"/>
  <c r="E145" i="3"/>
  <c r="E208" i="3"/>
  <c r="E438" i="3"/>
  <c r="E352" i="3"/>
  <c r="BL5" i="3"/>
  <c r="E28" i="6"/>
  <c r="K14" i="1" s="1"/>
  <c r="AZ22" i="3"/>
  <c r="M6" i="1"/>
  <c r="O6" i="1" s="1"/>
  <c r="F30" i="6"/>
  <c r="AZ16" i="3"/>
  <c r="AZ5" i="3" s="1"/>
  <c r="Q16" i="1"/>
  <c r="F27" i="69" s="1"/>
  <c r="C47" i="69" s="1"/>
  <c r="D45" i="69" s="1"/>
  <c r="E29" i="6"/>
  <c r="K15" i="1" s="1"/>
  <c r="N94" i="46"/>
  <c r="BA5" i="3"/>
  <c r="E480" i="3"/>
  <c r="E30" i="3"/>
  <c r="E334" i="3"/>
  <c r="E316" i="3"/>
  <c r="E295" i="3"/>
  <c r="E166" i="3"/>
  <c r="E92" i="3"/>
  <c r="E28" i="3"/>
  <c r="E476" i="3"/>
  <c r="E558" i="3"/>
  <c r="AG6" i="3"/>
  <c r="E236" i="3"/>
  <c r="E394" i="3"/>
  <c r="E73" i="3"/>
  <c r="AE6" i="3"/>
  <c r="E437" i="3"/>
  <c r="E120" i="3"/>
  <c r="E238" i="3"/>
  <c r="H26" i="43"/>
  <c r="E213" i="3"/>
  <c r="E565" i="3"/>
  <c r="E304" i="3"/>
  <c r="E237" i="3"/>
  <c r="E169" i="3"/>
  <c r="E298" i="3"/>
  <c r="E321" i="3"/>
  <c r="E338" i="3"/>
  <c r="E418" i="3"/>
  <c r="E506" i="3"/>
  <c r="E523" i="3"/>
  <c r="S6" i="3"/>
  <c r="H6" i="3" s="1"/>
  <c r="E390" i="3"/>
  <c r="E97" i="3"/>
  <c r="E285" i="3"/>
  <c r="E359" i="3"/>
  <c r="E574" i="3"/>
  <c r="O6" i="3"/>
  <c r="E328" i="3"/>
  <c r="E426" i="3"/>
  <c r="E153" i="3"/>
  <c r="E501" i="3"/>
  <c r="E319" i="3"/>
  <c r="E53" i="3"/>
  <c r="E109" i="3"/>
  <c r="E572" i="3"/>
  <c r="E377" i="3"/>
  <c r="E273" i="3"/>
  <c r="E211" i="3"/>
  <c r="E182" i="3"/>
  <c r="E27" i="3"/>
  <c r="E546" i="3"/>
  <c r="E531" i="3"/>
  <c r="P6" i="3"/>
  <c r="E164" i="3"/>
  <c r="E32" i="3"/>
  <c r="E256" i="3"/>
  <c r="E496" i="3"/>
  <c r="E424" i="3"/>
  <c r="E330" i="3"/>
  <c r="E128" i="3"/>
  <c r="J26" i="43"/>
  <c r="F26" i="43"/>
  <c r="D26" i="43" s="1"/>
  <c r="C25" i="43" s="1"/>
  <c r="N370" i="46"/>
  <c r="E26" i="43"/>
  <c r="E121" i="3"/>
  <c r="E88" i="3"/>
  <c r="E404" i="3"/>
  <c r="E444" i="3"/>
  <c r="E547" i="3"/>
  <c r="E443" i="3"/>
  <c r="E448" i="3"/>
  <c r="E576" i="3"/>
  <c r="E252" i="3"/>
  <c r="I6" i="3"/>
  <c r="E580" i="3"/>
  <c r="E274" i="3"/>
  <c r="E203" i="3"/>
  <c r="E55" i="3"/>
  <c r="E429" i="3"/>
  <c r="E344" i="3"/>
  <c r="E481" i="3"/>
  <c r="Q6" i="3"/>
  <c r="E177" i="3"/>
  <c r="E262" i="3"/>
  <c r="E434" i="3"/>
  <c r="E156" i="3"/>
  <c r="E557" i="3"/>
  <c r="E432" i="3"/>
  <c r="E411" i="3"/>
  <c r="E379" i="3"/>
  <c r="E207" i="3"/>
  <c r="E397" i="3"/>
  <c r="E14" i="3"/>
  <c r="E257" i="3"/>
  <c r="E168" i="3"/>
  <c r="E475" i="3"/>
  <c r="E537" i="3"/>
  <c r="E288" i="3"/>
  <c r="E474" i="3"/>
  <c r="E532" i="3"/>
  <c r="E224" i="3"/>
  <c r="E306" i="3"/>
  <c r="E136" i="3"/>
  <c r="E122"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09" i="3"/>
  <c r="E386" i="3"/>
  <c r="E584" i="3"/>
  <c r="E24" i="3"/>
  <c r="E87" i="3"/>
  <c r="E250" i="3"/>
  <c r="E341" i="3"/>
  <c r="Y6" i="3"/>
  <c r="E154" i="3"/>
  <c r="E222" i="3"/>
  <c r="E323"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66" i="3"/>
  <c r="E307" i="3"/>
  <c r="E354" i="3"/>
  <c r="E66" i="3"/>
  <c r="E48" i="3"/>
  <c r="E127" i="3"/>
  <c r="E284" i="3"/>
  <c r="E51" i="3"/>
  <c r="E179" i="3"/>
  <c r="E373" i="3"/>
  <c r="E329" i="3"/>
  <c r="E16" i="3"/>
  <c r="E188" i="3"/>
  <c r="E223" i="3"/>
  <c r="E116" i="3"/>
  <c r="E105" i="3"/>
  <c r="E393" i="3"/>
  <c r="E493" i="3"/>
  <c r="E564" i="3"/>
  <c r="E543" i="3"/>
  <c r="E427" i="3"/>
  <c r="E486" i="3"/>
  <c r="E507" i="3"/>
  <c r="E422" i="3"/>
  <c r="E440" i="3"/>
  <c r="AH6" i="3"/>
  <c r="E483" i="3"/>
  <c r="E25" i="3"/>
  <c r="E202" i="3"/>
  <c r="E346" i="3"/>
  <c r="E60" i="3"/>
  <c r="E15" i="3"/>
  <c r="E100" i="3"/>
  <c r="E234" i="3"/>
  <c r="E325" i="3"/>
  <c r="E36" i="3"/>
  <c r="E289" i="3"/>
  <c r="E364" i="3"/>
  <c r="E20" i="3"/>
  <c r="E176" i="3"/>
  <c r="E265" i="3"/>
  <c r="E524" i="3"/>
  <c r="E21" i="3"/>
  <c r="J6" i="3"/>
  <c r="E401" i="3"/>
  <c r="E108" i="3"/>
  <c r="E242" i="3"/>
  <c r="E333" i="3"/>
  <c r="E43" i="3"/>
  <c r="E455" i="3"/>
  <c r="E170" i="3"/>
  <c r="E219" i="3"/>
  <c r="E392" i="3"/>
  <c r="E112" i="3"/>
  <c r="E233" i="3"/>
  <c r="E381" i="3"/>
  <c r="E63" i="3"/>
  <c r="E118" i="3"/>
  <c r="E283" i="3"/>
  <c r="E513" i="3"/>
  <c r="E340" i="3"/>
  <c r="E218" i="3"/>
  <c r="E490" i="3"/>
  <c r="E498" i="3"/>
  <c r="E463" i="3"/>
  <c r="E178" i="3"/>
  <c r="E226" i="3"/>
  <c r="E372" i="3"/>
  <c r="E540" i="3"/>
  <c r="E79" i="3"/>
  <c r="E137" i="3"/>
  <c r="E299" i="3"/>
  <c r="AQ6" i="3"/>
  <c r="E123" i="3"/>
  <c r="E50" i="3"/>
  <c r="E62" i="3"/>
  <c r="E82" i="3"/>
  <c r="E376" i="3"/>
  <c r="E419" i="3"/>
  <c r="E40" i="3"/>
  <c r="E119" i="3"/>
  <c r="E276" i="3"/>
  <c r="L6" i="3"/>
  <c r="E473" i="3"/>
  <c r="E38" i="3"/>
  <c r="E194" i="3"/>
  <c r="E339" i="3"/>
  <c r="E52" i="3"/>
  <c r="E147" i="3"/>
  <c r="E355" i="3"/>
  <c r="E68" i="3"/>
  <c r="E81" i="3"/>
  <c r="E264" i="3"/>
  <c r="E309" i="3"/>
  <c r="E101" i="3"/>
  <c r="E365"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19" i="3"/>
  <c r="D18" i="53"/>
  <c r="B35" i="72" s="1"/>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F41" i="67"/>
  <c r="AC6" i="3" l="1"/>
  <c r="E6" i="3" s="1"/>
  <c r="K16" i="1"/>
  <c r="E3" i="6"/>
  <c r="B4" i="77" s="1"/>
  <c r="AY6" i="3"/>
  <c r="F45" i="69"/>
  <c r="F28" i="12"/>
  <c r="C29" i="12" s="1"/>
  <c r="D28" i="12" s="1"/>
  <c r="F27" i="68"/>
  <c r="C29" i="68" s="1"/>
  <c r="D27" i="68" s="1"/>
  <c r="C29" i="69"/>
  <c r="D27" i="69" s="1"/>
  <c r="F27" i="11"/>
  <c r="C29" i="11" s="1"/>
  <c r="D27" i="11" s="1"/>
  <c r="E65" i="39"/>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F45" i="68" l="1"/>
  <c r="C47" i="68"/>
  <c r="D45" i="68" s="1"/>
  <c r="D116" i="43"/>
  <c r="G54" i="34"/>
  <c r="H54" i="34" s="1"/>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D30" i="6" l="1"/>
  <c r="H24" i="6"/>
  <c r="H21" i="6"/>
  <c r="C18" i="67"/>
  <c r="C15" i="67"/>
  <c r="H23" i="6"/>
  <c r="R23" i="6" s="1"/>
  <c r="R10" i="1"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C21" i="12" l="1"/>
  <c r="C22" i="12" s="1"/>
  <c r="F7" i="21"/>
  <c r="S7" i="21" s="1"/>
  <c r="J7" i="21"/>
  <c r="D7" i="71"/>
  <c r="C6" i="71"/>
  <c r="C23" i="67"/>
  <c r="C29" i="67" s="1"/>
  <c r="J59" i="67" s="1"/>
  <c r="J60" i="67" s="1"/>
  <c r="Q48" i="67" s="1"/>
  <c r="C19" i="15"/>
  <c r="C20" i="15" s="1"/>
  <c r="C26" i="15" s="1"/>
  <c r="C33" i="68"/>
  <c r="C30" i="12"/>
  <c r="C28" i="12" s="1"/>
  <c r="C38" i="11"/>
  <c r="C35" i="11"/>
  <c r="H27" i="6"/>
  <c r="R19" i="6"/>
  <c r="C27" i="12"/>
  <c r="C25" i="12" s="1"/>
  <c r="C20" i="69"/>
  <c r="C28" i="69" s="1"/>
  <c r="C27" i="69" s="1"/>
  <c r="C24" i="68"/>
  <c r="C39" i="69"/>
  <c r="C43" i="69" s="1"/>
  <c r="C42" i="69"/>
  <c r="J69" i="39"/>
  <c r="K67" i="39"/>
  <c r="U7" i="21"/>
  <c r="AB7" i="21"/>
  <c r="T48" i="21" s="1"/>
  <c r="G48" i="21" s="1"/>
  <c r="AA7" i="21"/>
  <c r="R48" i="21" s="1"/>
  <c r="J63" i="40"/>
  <c r="I65" i="40"/>
  <c r="K48" i="35"/>
  <c r="L48" i="35" s="1"/>
  <c r="M48" i="35" s="1"/>
  <c r="N48" i="35" s="1"/>
  <c r="O48" i="35" s="1"/>
  <c r="H7" i="35" s="1"/>
  <c r="AC7" i="21"/>
  <c r="V48" i="21" s="1"/>
  <c r="I48" i="21" s="1"/>
  <c r="W7" i="21"/>
  <c r="C39" i="68" l="1"/>
  <c r="C91" i="9"/>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67"/>
  <c r="M21" i="15"/>
  <c r="C94" i="9" l="1"/>
  <c r="C92" i="9"/>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D13" i="77"/>
  <c r="D12" i="77" s="1"/>
  <c r="D11" i="77"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11" i="77" l="1"/>
  <c r="E7" i="77" s="1"/>
  <c r="C27" i="77" s="1"/>
  <c r="D7" i="77"/>
  <c r="C26" i="77" s="1"/>
  <c r="C32" i="77" s="1"/>
  <c r="C38" i="77" s="1"/>
  <c r="C39" i="77" s="1"/>
  <c r="C40" i="7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2" i="77" l="1"/>
  <c r="C41" i="77"/>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5"/>
  <c r="D2" i="34"/>
  <c r="D19" i="9"/>
  <c r="L51" i="15"/>
  <c r="D102" i="9" l="1"/>
  <c r="D21" i="9"/>
  <c r="B3" i="77"/>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8" i="1"/>
  <c r="AO6" i="1"/>
  <c r="AO7" i="1"/>
  <c r="AO9" i="1"/>
  <c r="AO12" i="1"/>
  <c r="AO10" i="1"/>
  <c r="AO11" i="1"/>
  <c r="D103" i="9" l="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 i="43" l="1"/>
  <c r="E33" i="43"/>
  <c r="C30" i="43" s="1"/>
  <c r="B2" i="43" s="1"/>
  <c r="E6" i="76"/>
  <c r="B6" i="76"/>
  <c r="B3" i="43" l="1"/>
  <c r="C6" i="68"/>
  <c r="E2" i="76"/>
  <c r="B2" i="76"/>
  <c r="C7" i="68" l="1"/>
  <c r="C5" i="68" s="1"/>
  <c r="B3" i="76"/>
  <c r="C23" i="68" l="1"/>
  <c r="C20" i="68"/>
  <c r="C28" i="68" l="1"/>
  <c r="C27" i="68" s="1"/>
  <c r="C25" i="68"/>
  <c r="C22" i="68" s="1"/>
  <c r="C31" i="68" l="1"/>
  <c r="C52" i="68" s="1"/>
  <c r="B2" i="68" s="1"/>
  <c r="C19" i="9"/>
  <c r="B3" i="68" l="1"/>
  <c r="C57" i="68"/>
  <c r="C56" i="68" s="1"/>
  <c r="C102" i="9"/>
  <c r="C21" i="9"/>
  <c r="G19" i="9"/>
  <c r="D22" i="9"/>
  <c r="D35" i="9"/>
  <c r="D34" i="9"/>
  <c r="C20" i="9"/>
  <c r="C103" i="9" l="1"/>
  <c r="G20" i="9"/>
  <c r="G21" i="9"/>
  <c r="C32" i="9"/>
  <c r="C35" i="9" l="1"/>
  <c r="F118" i="9" s="1"/>
  <c r="H118" i="9"/>
  <c r="C34" i="9" l="1"/>
  <c r="D118" i="9" s="1"/>
  <c r="D4" i="52" s="1"/>
  <c r="B47" i="72" s="1"/>
  <c r="C104" i="9"/>
  <c r="H4" i="52"/>
  <c r="H101" i="9"/>
  <c r="D14" i="74" s="1"/>
  <c r="I118" i="9"/>
  <c r="H119" i="9"/>
  <c r="H5" i="52" s="1"/>
  <c r="F4" i="52"/>
  <c r="B51" i="72" s="1"/>
  <c r="F119" i="9"/>
  <c r="F5" i="52" s="1"/>
  <c r="B53" i="72" s="1"/>
  <c r="G118" i="9"/>
  <c r="G4" i="52" s="1"/>
  <c r="B52" i="72" s="1"/>
  <c r="E14" i="74" l="1"/>
  <c r="F14" i="74"/>
  <c r="D119" i="9"/>
  <c r="D5" i="52" s="1"/>
  <c r="B49" i="72" s="1"/>
  <c r="C105" i="9"/>
  <c r="H102" i="9"/>
  <c r="E118" i="9"/>
  <c r="E4" i="52" s="1"/>
  <c r="B48" i="72" s="1"/>
  <c r="I4" i="52"/>
  <c r="D5" i="53"/>
  <c r="D45" i="9"/>
  <c r="H107" i="9"/>
  <c r="G14" i="74" s="1"/>
  <c r="M48" i="9"/>
  <c r="M49" i="9" l="1"/>
  <c r="D122" i="9"/>
  <c r="D13" i="53"/>
  <c r="H108" i="9"/>
  <c r="C93" i="9"/>
  <c r="C86" i="9" s="1"/>
  <c r="C78" i="9"/>
  <c r="C73" i="9" s="1"/>
  <c r="D52" i="9"/>
  <c r="C64" i="9"/>
  <c r="C63" i="9" s="1"/>
  <c r="C67" i="9" s="1"/>
  <c r="D55" i="9"/>
  <c r="M53" i="9" s="1"/>
  <c r="D53" i="9"/>
  <c r="D48" i="9" s="1"/>
  <c r="M52" i="9" s="1"/>
  <c r="C72" i="9"/>
  <c r="C85" i="9"/>
  <c r="D7" i="53"/>
  <c r="B21" i="72" s="1"/>
  <c r="B20" i="72"/>
  <c r="D6" i="53"/>
  <c r="B22" i="72" s="1"/>
  <c r="C79" i="9" l="1"/>
  <c r="C95" i="9"/>
  <c r="C96" i="9" s="1"/>
  <c r="E96" i="9" s="1"/>
  <c r="E97" i="9" s="1"/>
  <c r="C68" i="9"/>
  <c r="D54" i="9" s="1"/>
  <c r="D59" i="9"/>
  <c r="M55" i="9" s="1"/>
  <c r="D15" i="53"/>
  <c r="B31" i="72" s="1"/>
  <c r="B30" i="72"/>
  <c r="D14" i="53"/>
  <c r="B32" i="72" s="1"/>
  <c r="C80" i="9"/>
  <c r="E80" i="9" s="1"/>
  <c r="E81" i="9" s="1"/>
  <c r="D123" i="9"/>
  <c r="D9" i="52" s="1"/>
  <c r="D8" i="52"/>
  <c r="L65" i="9"/>
  <c r="M65" i="9" s="1"/>
  <c r="L67" i="9"/>
  <c r="M67" i="9" s="1"/>
  <c r="L64" i="9"/>
  <c r="M64" i="9" s="1"/>
  <c r="L63" i="9"/>
  <c r="M63" i="9" s="1"/>
  <c r="L68" i="9"/>
  <c r="M68" i="9" s="1"/>
  <c r="L66" i="9"/>
  <c r="M66" i="9" s="1"/>
  <c r="C97" i="9" l="1"/>
  <c r="D58" i="9" s="1"/>
  <c r="D56" i="9" s="1"/>
  <c r="M54" i="9" s="1"/>
  <c r="N57" i="9" s="1"/>
  <c r="N58" i="9" s="1"/>
  <c r="M69" i="9"/>
  <c r="N69" i="9" s="1"/>
  <c r="C81" i="9"/>
  <c r="N59" i="9" l="1"/>
  <c r="H111" i="9" s="1"/>
  <c r="I14" i="74" s="1"/>
  <c r="P57" i="9"/>
  <c r="N61" i="9" l="1"/>
  <c r="H112" i="9" s="1"/>
  <c r="N60" i="9"/>
  <c r="D21" i="53"/>
  <c r="B39" i="72" s="1"/>
  <c r="D126" i="9"/>
  <c r="D19" i="53"/>
  <c r="B38" i="72" l="1"/>
  <c r="D20" i="53"/>
  <c r="B40" i="72" s="1"/>
  <c r="D127" i="9"/>
  <c r="D13" i="52" s="1"/>
  <c r="D12" i="52"/>
  <c r="F15" i="74" l="1"/>
  <c r="E15" i="74"/>
  <c r="F16" i="74" l="1"/>
  <c r="E16" i="74"/>
  <c r="F17" i="74" l="1"/>
  <c r="E17" i="74"/>
  <c r="F18" i="74" l="1"/>
  <c r="E18" i="74"/>
  <c r="D19" i="74" l="1"/>
  <c r="B5" i="74" s="1"/>
  <c r="D5" i="74" l="1"/>
  <c r="C5" i="74"/>
  <c r="F19" i="74"/>
  <c r="E19" i="74"/>
  <c r="G19" i="74"/>
  <c r="B6" i="74" s="1"/>
  <c r="D6" i="74" l="1"/>
  <c r="C6" i="74"/>
  <c r="I19" i="74" l="1"/>
  <c r="B8" i="74"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作者</author>
  </authors>
  <commentList>
    <comment ref="AA8" authorId="0">
      <text>
        <r>
          <rPr>
            <sz val="9"/>
            <rFont val="宋体"/>
            <family val="3"/>
            <charset val="134"/>
          </rPr>
          <t xml:space="preserve">
凯迪拉克冠名退票</t>
        </r>
      </text>
    </comment>
    <comment ref="X19" authorId="0">
      <text>
        <r>
          <rPr>
            <sz val="9"/>
            <rFont val="宋体"/>
            <family val="3"/>
            <charset val="134"/>
          </rPr>
          <t xml:space="preserve">
退2018年土地税</t>
        </r>
      </text>
    </comment>
    <comment ref="AN19" authorId="0">
      <text>
        <r>
          <rPr>
            <sz val="9"/>
            <rFont val="宋体"/>
            <family val="3"/>
            <charset val="134"/>
          </rPr>
          <t>作者:
退2019年房产税减免</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<sst xmlns="http://schemas.openxmlformats.org/spreadsheetml/2006/main" count="8092" uniqueCount="3657">
  <si>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</si>
  <si>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</si>
  <si>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</si>
  <si>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</si>
  <si>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</si>
  <si>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</si>
  <si>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</si>
  <si>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</si>
  <si>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</si>
  <si>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</si>
  <si>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</si>
  <si>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</si>
  <si>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</si>
  <si>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</si>
  <si>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</si>
  <si>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</si>
  <si>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</si>
  <si>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</si>
  <si>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</si>
  <si>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</si>
  <si>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</si>
  <si>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</si>
  <si>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</si>
  <si>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</si>
  <si>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</si>
  <si>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</si>
  <si>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</si>
  <si>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</si>
  <si>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</si>
  <si>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</si>
  <si>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</si>
  <si>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</si>
  <si>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</si>
  <si>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</si>
  <si>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</si>
  <si>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</si>
  <si>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</si>
  <si>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</si>
  <si>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</si>
  <si>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</si>
  <si>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</si>
  <si>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</si>
  <si>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</si>
  <si>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</si>
  <si>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</si>
  <si>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</si>
  <si>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</si>
  <si>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</si>
  <si>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</si>
  <si>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</si>
  <si>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</si>
  <si>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</si>
  <si>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</si>
  <si>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</si>
  <si>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</si>
  <si>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</si>
  <si>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</si>
  <si>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</si>
  <si>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</si>
  <si>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</si>
  <si>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</si>
  <si>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</si>
  <si>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</si>
  <si>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</si>
  <si>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</si>
  <si>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</si>
  <si>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</si>
  <si>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</si>
  <si>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</si>
  <si>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</si>
  <si>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</si>
  <si>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</si>
  <si>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</si>
  <si>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</si>
  <si>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</si>
  <si>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</si>
  <si>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</si>
  <si>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</si>
  <si>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</si>
  <si>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</si>
  <si>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</si>
  <si>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</si>
  <si>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</si>
  <si>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</si>
  <si>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</si>
  <si>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</si>
  <si>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</si>
  <si>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</si>
  <si>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</si>
  <si>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</si>
  <si>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</si>
  <si>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</si>
  <si>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</si>
  <si>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</si>
  <si>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</si>
  <si>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</si>
  <si>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</si>
  <si>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</si>
  <si>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</si>
  <si>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</si>
  <si>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</si>
  <si>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</si>
  <si>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</si>
  <si>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</si>
  <si>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</si>
  <si>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</si>
  <si>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</si>
  <si>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</si>
  <si>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</si>
  <si>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</si>
  <si>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</si>
  <si>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</si>
  <si>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</si>
  <si>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</si>
  <si>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</si>
  <si>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</si>
  <si>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</si>
  <si>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</si>
  <si>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</si>
  <si>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</si>
  <si>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</si>
  <si>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</si>
  <si>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</si>
  <si>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</si>
  <si>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</si>
  <si>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</si>
  <si>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</si>
  <si>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</si>
  <si>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</si>
  <si>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</si>
  <si>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</si>
  <si>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</si>
  <si>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</si>
  <si>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</si>
  <si>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</si>
  <si>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</si>
  <si>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</si>
  <si>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</si>
  <si>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</si>
  <si>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</si>
  <si>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</si>
  <si>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</si>
  <si>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</si>
  <si>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</si>
  <si>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</si>
  <si>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</si>
  <si>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</si>
  <si>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</si>
  <si>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</si>
  <si>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</si>
  <si>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</si>
  <si>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</si>
  <si>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</si>
  <si>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</si>
  <si>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</si>
  <si>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</si>
  <si>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</si>
  <si>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</si>
  <si>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</si>
  <si>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</si>
  <si>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</si>
  <si>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</si>
  <si>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</si>
  <si>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</si>
  <si>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</si>
  <si>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</si>
  <si>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</si>
  <si>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</si>
  <si>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</si>
  <si>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</si>
  <si>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</si>
  <si>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</si>
  <si>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</si>
  <si>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</si>
  <si>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</si>
  <si>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</si>
  <si>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</si>
  <si>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</si>
  <si>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</si>
  <si>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</si>
  <si>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</si>
  <si>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</si>
  <si>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</si>
  <si>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</si>
  <si>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</si>
  <si>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</si>
  <si>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</si>
  <si>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</si>
  <si>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</si>
  <si>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</si>
  <si>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</si>
  <si>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</si>
  <si>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</si>
  <si>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</si>
  <si>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</si>
  <si>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</si>
  <si>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</si>
  <si>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</si>
  <si>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</si>
  <si>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</si>
  <si>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</si>
  <si>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</si>
  <si>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</si>
  <si>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</si>
  <si>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</si>
  <si>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</si>
  <si>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</si>
  <si>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</si>
  <si>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</si>
  <si>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</si>
  <si>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</si>
  <si>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</si>
  <si>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</si>
  <si>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</si>
  <si>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</si>
  <si>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</si>
  <si>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</si>
  <si>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</si>
  <si>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</si>
  <si>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</si>
  <si>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</si>
  <si>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</si>
  <si>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</si>
  <si>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</si>
  <si>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</si>
  <si>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</si>
  <si>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</si>
  <si>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</si>
  <si>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</si>
  <si>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</si>
  <si>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</si>
  <si>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</si>
  <si>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</si>
  <si>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</si>
  <si>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</si>
  <si>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</si>
  <si>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</si>
  <si>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</si>
  <si>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</si>
  <si>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</si>
  <si>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</si>
  <si>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</si>
  <si>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</si>
  <si>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</si>
  <si>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</si>
  <si>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</si>
  <si>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</si>
  <si>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</si>
  <si>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</si>
  <si>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</si>
  <si>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</si>
  <si>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</si>
  <si>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</si>
  <si>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</si>
  <si>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</si>
  <si>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</si>
  <si>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</si>
  <si>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</si>
  <si>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</si>
  <si>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</si>
  <si>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</si>
  <si>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</si>
  <si>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</si>
  <si>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</si>
  <si>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</si>
  <si>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</si>
  <si>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</si>
  <si>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</si>
  <si>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</si>
  <si>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</si>
  <si>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</si>
  <si>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</si>
  <si>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</si>
  <si>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</si>
  <si>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</si>
  <si>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</si>
  <si>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</si>
  <si>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</si>
  <si>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</si>
  <si>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</si>
  <si>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</si>
  <si>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</si>
  <si>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</si>
  <si>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</si>
  <si>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</si>
  <si>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</si>
  <si>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</si>
  <si>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</si>
  <si>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</si>
  <si>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</si>
  <si>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</si>
  <si>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</si>
  <si>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</si>
  <si>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</si>
  <si>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</si>
  <si>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</si>
  <si>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</si>
  <si>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</si>
  <si>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</si>
  <si>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</si>
  <si>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</si>
  <si>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</si>
  <si>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</si>
  <si>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</si>
  <si>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</si>
  <si>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</si>
  <si>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</si>
  <si>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</si>
  <si>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</si>
  <si>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</si>
  <si>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</si>
  <si>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</si>
  <si>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</si>
  <si>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</si>
  <si>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</si>
  <si>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</si>
  <si>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</si>
  <si>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</si>
  <si>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</si>
  <si>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</si>
  <si>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</si>
  <si>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</si>
  <si>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</si>
  <si>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</si>
  <si>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</si>
  <si>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</si>
  <si>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</si>
  <si>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</si>
  <si>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</si>
  <si>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</si>
  <si>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</si>
  <si>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</si>
  <si>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</si>
  <si>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</si>
  <si>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</si>
  <si>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</si>
  <si>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</si>
  <si>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</si>
  <si>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</si>
  <si>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</si>
  <si>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</si>
  <si>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</si>
  <si>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</si>
  <si>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</si>
  <si>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</si>
  <si>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</si>
  <si>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</si>
  <si>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</si>
  <si>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</si>
  <si>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</si>
  <si>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</si>
  <si>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</si>
  <si>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</si>
  <si>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</si>
  <si>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</si>
  <si>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</si>
  <si>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</si>
  <si>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</si>
  <si>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</si>
  <si>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</si>
  <si>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</si>
  <si>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</si>
  <si>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</si>
  <si>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</si>
  <si>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</si>
  <si>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</si>
  <si>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</si>
  <si>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</si>
  <si>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</si>
  <si>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</si>
  <si>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</si>
  <si>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</si>
  <si>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</si>
  <si>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</si>
  <si>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</si>
  <si>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</si>
  <si>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</si>
  <si>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</si>
  <si>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</si>
  <si>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</si>
  <si>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</si>
  <si>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</si>
  <si>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</si>
  <si>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</si>
  <si>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</si>
  <si>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</si>
  <si>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</si>
  <si>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</si>
  <si>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</si>
  <si>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</si>
  <si>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</si>
  <si>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</si>
  <si>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</si>
  <si>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</si>
  <si>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</si>
  <si>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</si>
  <si>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</si>
  <si>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</si>
  <si>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</si>
  <si>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</si>
  <si>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</si>
  <si>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</si>
  <si>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</si>
  <si>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</si>
  <si>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</si>
  <si>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</si>
  <si>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</si>
  <si>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</si>
  <si>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</si>
  <si>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</si>
  <si>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</si>
  <si>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</si>
  <si>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</si>
  <si>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</si>
  <si>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</si>
  <si>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</si>
  <si>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</si>
  <si>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</si>
  <si>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</si>
  <si>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</si>
  <si>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</si>
  <si>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</si>
  <si>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</si>
  <si>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</si>
  <si>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</si>
  <si>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</si>
  <si>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</si>
  <si>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</si>
  <si>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</si>
  <si>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</si>
  <si>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</si>
  <si>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</si>
  <si>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</si>
  <si>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</si>
  <si>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</si>
  <si>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</si>
  <si>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</si>
  <si>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</si>
  <si>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</si>
  <si>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</si>
  <si>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</si>
  <si>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</si>
  <si>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</si>
  <si>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</si>
  <si>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</si>
  <si>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</si>
  <si>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</si>
  <si>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</si>
  <si>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</si>
  <si>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</si>
  <si>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</si>
  <si>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</si>
  <si>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</si>
  <si>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</si>
  <si>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</si>
  <si>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</si>
  <si>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</si>
  <si>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</si>
  <si>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</si>
  <si>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</si>
  <si>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</si>
  <si>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</si>
  <si>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</si>
  <si>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</si>
  <si>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</si>
  <si>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</si>
  <si>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</si>
  <si>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</si>
  <si>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</si>
  <si>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</si>
  <si>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</si>
  <si>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</si>
  <si>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</si>
  <si>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</si>
  <si>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</si>
  <si>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</si>
  <si>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</si>
  <si>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</si>
  <si>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</si>
  <si>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</si>
  <si>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</si>
  <si>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</si>
  <si>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</si>
  <si>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</si>
  <si>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</si>
  <si>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</si>
  <si>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</si>
  <si>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</si>
  <si>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</si>
  <si>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</si>
  <si>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</si>
  <si>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</si>
  <si>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</si>
  <si>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</si>
  <si>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</si>
  <si>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</si>
  <si>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</si>
  <si>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</si>
  <si>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</si>
  <si>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</si>
  <si>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</si>
  <si>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</si>
  <si>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</si>
  <si>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</si>
  <si>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</si>
  <si>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</si>
  <si>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</si>
  <si>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</si>
  <si>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</si>
  <si>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</si>
  <si>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</si>
  <si>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</si>
  <si>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</si>
  <si>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</si>
  <si>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</si>
  <si>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</si>
  <si>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</si>
  <si>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</si>
  <si>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</si>
  <si>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</si>
  <si>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</si>
  <si>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</si>
  <si>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</si>
  <si>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</si>
  <si>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</si>
  <si>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</si>
  <si>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</si>
  <si>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</si>
  <si>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</si>
  <si>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</si>
  <si>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</si>
  <si>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</si>
  <si>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</si>
  <si>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</si>
  <si>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</si>
  <si>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</si>
  <si>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</si>
  <si>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</si>
  <si>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</si>
  <si>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</si>
  <si>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</si>
  <si>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</si>
  <si>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</si>
  <si>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</si>
  <si>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</si>
  <si>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</si>
  <si>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</si>
  <si>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</si>
  <si>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</si>
  <si>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</si>
  <si>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</si>
  <si>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</si>
  <si>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</si>
  <si>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</si>
  <si>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</si>
  <si>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</si>
  <si>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</si>
  <si>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</si>
  <si>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</si>
  <si>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</si>
  <si>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</si>
  <si>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</si>
  <si>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</si>
  <si>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</si>
  <si>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</si>
  <si>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</si>
  <si>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</si>
  <si>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</si>
  <si>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</si>
  <si>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</si>
  <si>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</si>
  <si>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</si>
  <si>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</si>
  <si>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</si>
  <si>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</si>
  <si>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</si>
  <si>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</si>
  <si>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</si>
  <si>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</si>
  <si>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</si>
  <si>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</si>
  <si>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</si>
  <si>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</si>
  <si>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</si>
  <si>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</si>
  <si>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</si>
  <si>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</si>
  <si>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</si>
  <si>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</si>
  <si>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</si>
  <si>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</si>
  <si>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</si>
  <si>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</si>
  <si>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</si>
  <si>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</si>
  <si>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</si>
  <si>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</si>
  <si>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</si>
  <si>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</si>
  <si>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</si>
  <si>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</si>
  <si>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</si>
  <si>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</si>
  <si>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</si>
  <si>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</si>
  <si>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</si>
  <si>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</si>
  <si>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</si>
  <si>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</si>
  <si>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</si>
  <si>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</si>
  <si>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</si>
  <si>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</si>
  <si>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</si>
  <si>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</si>
  <si>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</si>
  <si>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</si>
  <si>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</si>
  <si>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</si>
  <si>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</si>
  <si>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</si>
  <si>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</si>
  <si>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</si>
  <si>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</si>
  <si>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</si>
  <si>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</si>
  <si>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</si>
  <si>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</si>
  <si>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</si>
  <si>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</si>
  <si>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</si>
  <si>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</si>
  <si>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</si>
  <si>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</si>
  <si>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</si>
  <si>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</si>
  <si>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</si>
  <si>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</si>
  <si>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</si>
  <si>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</si>
  <si>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</si>
  <si>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</si>
  <si>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</si>
  <si>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</si>
  <si>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</si>
  <si>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</si>
  <si>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</si>
  <si>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</si>
  <si>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</si>
  <si>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</si>
  <si>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</si>
  <si>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</si>
  <si>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</si>
  <si>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</si>
  <si>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</si>
  <si>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</si>
  <si>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</si>
  <si>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</si>
  <si>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</si>
  <si>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</si>
  <si>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</si>
  <si>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</si>
  <si>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</si>
  <si>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</si>
  <si>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</si>
  <si>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</si>
  <si>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</si>
  <si>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</si>
  <si>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</si>
  <si>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</si>
  <si>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</si>
  <si>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</si>
  <si>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</si>
  <si>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</si>
  <si>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</si>
  <si>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</si>
  <si>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</si>
  <si>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</si>
  <si>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</si>
  <si>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</si>
  <si>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</si>
  <si>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</si>
  <si>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</si>
  <si>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</si>
  <si>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</si>
  <si>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</si>
  <si>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</si>
  <si>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</si>
  <si>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</si>
  <si>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</si>
  <si>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</si>
  <si>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</si>
  <si>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</si>
  <si>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</si>
  <si>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</si>
  <si>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</si>
  <si>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</si>
  <si>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</si>
  <si>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</si>
  <si>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</si>
  <si>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</si>
  <si>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</si>
  <si>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</si>
  <si>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</si>
  <si>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</si>
  <si>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</si>
  <si>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</si>
  <si>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</si>
  <si>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</si>
  <si>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</si>
  <si>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</si>
  <si>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</si>
  <si>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</si>
  <si>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</si>
  <si>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</si>
  <si>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</si>
  <si>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</si>
  <si>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</si>
  <si>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</si>
  <si>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</si>
  <si>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</si>
  <si>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</si>
  <si>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</si>
  <si>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</si>
  <si>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</si>
  <si>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</si>
  <si>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</si>
  <si>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</si>
  <si>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</si>
  <si>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</si>
  <si>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</si>
  <si>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</si>
  <si>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</si>
  <si>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</si>
  <si>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</si>
  <si>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</si>
  <si>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</si>
  <si>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</si>
  <si>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</si>
  <si>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</si>
  <si>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</si>
  <si>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</si>
  <si>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</si>
  <si>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</si>
  <si>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</si>
  <si>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</si>
  <si>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</si>
  <si>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</si>
  <si>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</si>
  <si>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</si>
  <si>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</si>
  <si>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</si>
  <si>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</si>
  <si>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</si>
  <si>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</si>
  <si>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</si>
  <si>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</si>
  <si>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</si>
  <si>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</si>
  <si>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</si>
  <si>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</si>
  <si>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</si>
  <si>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</si>
  <si>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</si>
  <si>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</si>
  <si>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</si>
  <si>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</si>
  <si>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</si>
  <si>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</si>
  <si>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</si>
  <si>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</si>
  <si>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</si>
  <si>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</si>
  <si>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</si>
  <si>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</si>
  <si>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</si>
  <si>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</si>
  <si>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</si>
  <si>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</si>
  <si>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</si>
  <si>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</si>
  <si>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</si>
  <si>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</si>
  <si>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</si>
  <si>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</si>
  <si>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</si>
  <si>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</si>
  <si>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</si>
  <si>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</si>
  <si>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</si>
  <si>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</si>
  <si>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</si>
  <si>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</si>
  <si>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</si>
  <si>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</si>
  <si>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</si>
  <si>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</si>
  <si>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</si>
  <si>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</si>
  <si>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</si>
  <si>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</si>
  <si>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</si>
  <si>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</si>
  <si>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</si>
  <si>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</si>
  <si>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</si>
  <si>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</si>
  <si>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</si>
  <si>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</si>
  <si>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</si>
  <si>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</si>
  <si>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</si>
  <si>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</si>
  <si>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</si>
  <si>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</si>
  <si>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</si>
  <si>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</si>
  <si>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</si>
  <si>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</si>
  <si>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</si>
  <si>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</si>
  <si>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</si>
  <si>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</si>
  <si>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</si>
  <si>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</si>
  <si>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</si>
  <si>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</si>
  <si>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</si>
  <si>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</si>
  <si>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</si>
  <si>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</si>
  <si>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</si>
  <si>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</si>
  <si>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</si>
  <si>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</si>
  <si>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</si>
  <si>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</si>
  <si>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</si>
  <si>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</si>
  <si>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</si>
  <si>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</si>
  <si>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</si>
  <si>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</si>
  <si>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</si>
  <si>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</si>
  <si>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</si>
  <si>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</si>
  <si>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</si>
  <si>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</si>
  <si>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</si>
  <si>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</si>
  <si>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</si>
  <si>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</si>
  <si>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</si>
  <si>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</si>
  <si>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</si>
  <si>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</si>
  <si>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</si>
  <si>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</si>
  <si>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</si>
  <si>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</si>
  <si>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</si>
  <si>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</si>
  <si>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</si>
  <si>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</si>
  <si>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</si>
  <si>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</si>
  <si>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</si>
  <si>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</si>
  <si>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</si>
  <si>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</si>
  <si>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</si>
  <si>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</si>
  <si>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</si>
  <si>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</si>
  <si>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</si>
  <si>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</si>
  <si>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</si>
  <si>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</si>
  <si>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</si>
  <si>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</si>
  <si>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</si>
  <si>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</si>
  <si>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</si>
  <si>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</si>
  <si>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</si>
  <si>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</si>
  <si>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</si>
  <si>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</si>
  <si>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</si>
  <si>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</si>
  <si>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</si>
  <si>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</si>
  <si>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</si>
  <si>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</si>
  <si>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</si>
  <si>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</si>
  <si>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</si>
  <si>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</si>
  <si>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</si>
  <si>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</si>
  <si>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</si>
  <si>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</si>
  <si>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</si>
  <si>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</si>
  <si>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</si>
  <si>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</si>
  <si>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</si>
  <si>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</si>
  <si>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</si>
  <si>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</si>
  <si>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</si>
  <si>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</si>
  <si>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</si>
  <si>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</si>
  <si>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</si>
  <si>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</si>
  <si>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</si>
  <si>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</si>
  <si>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</si>
  <si>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</si>
  <si>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</si>
  <si>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</si>
  <si>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</si>
  <si>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</si>
  <si>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</si>
  <si>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</si>
  <si>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</si>
  <si>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</si>
  <si>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</si>
  <si>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</si>
  <si>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</si>
  <si>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</si>
  <si>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</si>
  <si>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</si>
  <si>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</si>
  <si>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</si>
  <si>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</si>
  <si>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</si>
  <si>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</si>
  <si>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</si>
  <si>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</si>
  <si>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</si>
  <si>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</si>
  <si>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</si>
  <si>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</si>
  <si>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</si>
  <si>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</si>
  <si>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</si>
  <si>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</si>
  <si>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</si>
  <si>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</si>
  <si>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</si>
  <si>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</si>
  <si>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</si>
  <si>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</si>
  <si>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</si>
  <si>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</si>
  <si>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</si>
  <si>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</si>
  <si>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</si>
  <si>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</si>
  <si>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</si>
  <si>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</si>
  <si>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</si>
  <si>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</si>
  <si>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</si>
  <si>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</si>
  <si>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</si>
  <si>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</si>
  <si>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</si>
  <si>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</si>
  <si>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</si>
  <si>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</si>
  <si>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</si>
  <si>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</si>
  <si>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</si>
  <si>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</si>
  <si>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</si>
  <si>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</si>
  <si>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</si>
  <si>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</si>
  <si>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</si>
  <si>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</si>
  <si>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</si>
  <si>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</si>
  <si>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</si>
  <si>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</si>
  <si>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</si>
  <si>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</si>
  <si>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</si>
  <si>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</si>
  <si>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</si>
  <si>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</si>
  <si>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</si>
  <si>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</si>
  <si>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</si>
  <si>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</si>
  <si>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</si>
  <si>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</si>
  <si>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</si>
  <si>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</si>
  <si>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</si>
  <si>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</si>
  <si>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</si>
  <si>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</si>
  <si>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</si>
  <si>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</si>
  <si>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</si>
  <si>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</si>
  <si>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</si>
  <si>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</si>
  <si>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</si>
  <si>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</si>
  <si>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</si>
  <si>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</si>
  <si>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</si>
  <si>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</si>
  <si>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</si>
  <si>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</si>
  <si>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</si>
  <si>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</si>
  <si>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</si>
  <si>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</si>
  <si>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</si>
  <si>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</si>
  <si>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</si>
  <si>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</si>
  <si>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</si>
  <si>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</si>
  <si>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</si>
  <si>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</si>
  <si>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</si>
  <si>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</si>
  <si>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</si>
  <si>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</si>
  <si>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</si>
  <si>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</si>
  <si>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</si>
  <si>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</si>
  <si>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</si>
  <si>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</si>
  <si>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</si>
  <si>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</si>
  <si>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</si>
  <si>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</si>
  <si>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</si>
  <si>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</si>
  <si>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</si>
  <si>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</si>
  <si>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</si>
  <si>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</si>
  <si>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</si>
  <si>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</si>
  <si>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</si>
  <si>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</si>
  <si>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</si>
  <si>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</si>
  <si>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</si>
  <si>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</si>
  <si>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</si>
  <si>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</si>
  <si>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</si>
  <si>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</si>
  <si>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</si>
  <si>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</si>
  <si>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</si>
  <si>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</si>
  <si>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</si>
  <si>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</si>
  <si>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</si>
  <si>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</si>
  <si>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</si>
  <si>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</si>
  <si>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</si>
  <si>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</si>
  <si>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</si>
  <si>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</si>
  <si>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</si>
  <si>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</si>
  <si>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</si>
  <si>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</si>
  <si>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</si>
  <si>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</si>
  <si>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</si>
  <si>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</si>
  <si>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</si>
  <si>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</si>
  <si>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</si>
  <si>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</si>
  <si>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</si>
  <si>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</si>
  <si>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</si>
  <si>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</si>
  <si>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</si>
  <si>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</si>
  <si>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</si>
  <si>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</si>
  <si>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</si>
  <si>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</si>
  <si>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</si>
  <si>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</si>
  <si>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</si>
  <si>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</si>
  <si>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</si>
  <si>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</si>
  <si>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</si>
  <si>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</si>
  <si>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</si>
  <si>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</si>
  <si>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</si>
  <si>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</si>
  <si>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</si>
  <si>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</si>
  <si>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</si>
  <si>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</si>
  <si>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</si>
  <si>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</si>
  <si>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</si>
  <si>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</si>
  <si>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</si>
  <si>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</si>
  <si>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</si>
  <si>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</si>
  <si>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</si>
  <si>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</si>
  <si>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</si>
  <si>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</si>
  <si>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</si>
  <si>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</si>
  <si>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</si>
  <si>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</si>
  <si>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</si>
  <si>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</si>
  <si>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</si>
  <si>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</si>
  <si>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</si>
  <si>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</si>
  <si>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</si>
  <si>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</si>
  <si>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</si>
  <si>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</si>
  <si>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</si>
  <si>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</si>
  <si>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</si>
  <si>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</si>
  <si>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</si>
  <si>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</si>
  <si>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</si>
  <si>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</si>
  <si>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</si>
  <si>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</si>
  <si>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</si>
  <si>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</si>
  <si>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</si>
  <si>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</si>
  <si>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</si>
  <si>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</si>
  <si>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</si>
  <si>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</si>
  <si>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</si>
  <si>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</si>
  <si>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</si>
  <si>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</si>
  <si>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</si>
  <si>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</si>
  <si>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</si>
  <si>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</si>
  <si>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</si>
  <si>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</si>
  <si>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</si>
  <si>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</si>
  <si>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</si>
  <si>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</si>
  <si>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</si>
  <si>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</si>
  <si>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</si>
  <si>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</si>
  <si>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</si>
  <si>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</si>
  <si>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</si>
  <si>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</si>
  <si>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</si>
  <si>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</si>
  <si>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</si>
  <si>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</si>
  <si>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</si>
  <si>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</si>
  <si>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</si>
  <si>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</si>
  <si>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</si>
  <si>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</si>
  <si>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</si>
  <si>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</si>
  <si>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</si>
  <si>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</si>
  <si>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</si>
  <si>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</si>
  <si>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</si>
  <si>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</si>
  <si>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</si>
  <si>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</si>
  <si>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</si>
  <si>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</si>
  <si>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</si>
  <si>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</si>
  <si>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</si>
  <si>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</si>
  <si>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</si>
  <si>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</si>
  <si>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</si>
  <si>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</si>
  <si>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</si>
  <si>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</si>
  <si>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</si>
  <si>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</si>
  <si>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</si>
  <si>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</si>
  <si>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</si>
  <si>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</si>
  <si>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</si>
  <si>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</si>
  <si>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</si>
  <si>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</si>
  <si>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</si>
  <si>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</si>
  <si>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</si>
  <si>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</si>
  <si>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</si>
  <si>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</si>
  <si>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</si>
  <si>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</si>
  <si>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</si>
  <si>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</si>
  <si>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</si>
  <si>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</si>
  <si>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</si>
  <si>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</si>
  <si>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</si>
  <si>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</si>
  <si>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</si>
  <si>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</si>
  <si>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</si>
  <si>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</si>
  <si>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</si>
  <si>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</si>
  <si>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</si>
  <si>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</si>
  <si>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</si>
  <si>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</si>
  <si>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</si>
  <si>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</si>
  <si>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</si>
  <si>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</si>
  <si>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</si>
  <si>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</si>
  <si>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</si>
  <si>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</si>
  <si>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</si>
  <si>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</si>
  <si>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</si>
  <si>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</si>
  <si>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</si>
  <si>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</si>
  <si>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</si>
  <si>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</si>
  <si>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</si>
  <si>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</si>
  <si>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</si>
  <si>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</si>
  <si>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</si>
  <si>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</si>
  <si>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</si>
  <si>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</si>
  <si>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</si>
  <si>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</si>
  <si>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</si>
  <si>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</si>
  <si>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</si>
  <si>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</si>
  <si>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</si>
  <si>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</si>
  <si>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</si>
  <si>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</si>
  <si>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</si>
  <si>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</si>
  <si>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</si>
  <si>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</si>
  <si>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</si>
  <si>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</si>
  <si>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</si>
  <si>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</si>
  <si>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</si>
  <si>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</si>
  <si>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</si>
  <si>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</si>
  <si>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</si>
  <si>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</si>
  <si>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</si>
  <si>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</si>
  <si>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</si>
  <si>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</si>
  <si>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</si>
  <si>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</si>
  <si>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</si>
  <si>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</si>
  <si>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</si>
  <si>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</si>
  <si>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</si>
  <si>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</si>
  <si>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</si>
  <si>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</si>
  <si>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</si>
  <si>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</si>
  <si>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</si>
  <si>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</si>
  <si>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</si>
  <si>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</si>
  <si>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</si>
  <si>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</si>
  <si>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</si>
  <si>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</si>
  <si>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</si>
  <si>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</si>
  <si>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</si>
  <si>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</si>
  <si>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</si>
  <si>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</si>
  <si>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</si>
  <si>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</si>
  <si>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</si>
  <si>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</si>
  <si>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</si>
  <si>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</si>
  <si>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</si>
  <si>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</si>
  <si>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</si>
  <si>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</si>
  <si>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</si>
  <si>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</si>
  <si>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</si>
  <si>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</si>
  <si>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</si>
  <si>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</si>
  <si>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</si>
  <si>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</si>
  <si>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</si>
  <si>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</si>
  <si>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</si>
  <si>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</si>
  <si>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</si>
  <si>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</si>
  <si>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</si>
  <si>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</si>
  <si>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</si>
  <si>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</si>
  <si>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</si>
  <si>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</si>
  <si>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</si>
  <si>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</si>
  <si>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</si>
  <si>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</si>
  <si>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</si>
  <si>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</si>
  <si>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</si>
  <si>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</si>
  <si>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</si>
  <si>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</si>
  <si>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</si>
  <si>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</si>
  <si>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</si>
  <si>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</si>
  <si>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</si>
  <si>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</si>
  <si>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</si>
  <si>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</si>
  <si>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</si>
  <si>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</si>
  <si>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</si>
  <si>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</si>
  <si>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</si>
  <si>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</si>
  <si>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</si>
  <si>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</si>
  <si>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</si>
  <si>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</si>
  <si>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</si>
  <si>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</si>
  <si>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</si>
  <si>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</si>
  <si>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</si>
  <si>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</si>
  <si>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</si>
  <si>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</si>
  <si>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</si>
  <si>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</si>
  <si>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</si>
  <si>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</si>
  <si>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</si>
  <si>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</si>
  <si>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</si>
  <si>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</si>
  <si>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</si>
  <si>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</si>
  <si>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</si>
  <si>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</si>
  <si>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</si>
  <si>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</si>
  <si>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</si>
  <si>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</si>
  <si>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</si>
  <si>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</si>
  <si>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</si>
  <si>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</si>
  <si>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</si>
  <si>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</si>
  <si>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</si>
  <si>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</si>
  <si>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</si>
  <si>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</si>
  <si>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</si>
  <si>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</si>
  <si>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</si>
  <si>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</si>
  <si>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</si>
  <si>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</si>
  <si>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</si>
  <si>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</si>
  <si>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</si>
  <si>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</si>
  <si>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</si>
  <si>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</si>
  <si>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</si>
  <si>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</si>
  <si>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</si>
  <si>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</si>
  <si>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</si>
  <si>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</si>
  <si>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</si>
  <si>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</si>
  <si>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</si>
  <si>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</si>
  <si>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</si>
  <si>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</si>
  <si>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</si>
  <si>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</si>
  <si>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</si>
  <si>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</si>
  <si>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</si>
  <si>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</si>
  <si>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</si>
  <si>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</si>
  <si>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</si>
  <si>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</si>
  <si>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</si>
  <si>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</si>
  <si>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</si>
  <si>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</si>
  <si>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</si>
  <si>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</si>
  <si>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</si>
  <si>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</si>
  <si>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</si>
  <si>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</si>
  <si>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</si>
  <si>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</si>
  <si>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</si>
  <si>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</si>
  <si>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</si>
  <si>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</si>
  <si>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</si>
  <si>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</si>
  <si>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</si>
  <si>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</si>
  <si>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</si>
  <si>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</si>
  <si>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</si>
  <si>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</si>
  <si>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</si>
  <si>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</si>
  <si>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</si>
  <si>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</si>
  <si>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</si>
  <si>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</si>
  <si>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</si>
  <si>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</si>
  <si>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</si>
  <si>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</si>
  <si>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</si>
  <si>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</si>
  <si>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</si>
  <si>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</si>
  <si>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</si>
  <si>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</si>
  <si>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</si>
  <si>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</si>
  <si>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</si>
  <si>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</si>
  <si>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</si>
  <si>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</si>
  <si>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</si>
  <si>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</si>
  <si>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</si>
  <si>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</si>
  <si>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</si>
  <si>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</si>
  <si>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</si>
  <si>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</si>
  <si>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</si>
  <si>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</si>
  <si>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</si>
  <si>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</si>
  <si>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</si>
  <si>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</si>
  <si>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</si>
  <si>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</si>
  <si>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</si>
  <si>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</si>
  <si>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</si>
  <si>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</si>
  <si>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</si>
  <si>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</si>
  <si>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</si>
  <si>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</si>
  <si>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</si>
  <si>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</si>
  <si>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</si>
  <si>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</si>
  <si>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</si>
  <si>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</si>
  <si>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</si>
  <si>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</si>
  <si>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</si>
  <si>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</si>
  <si>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</si>
  <si>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</si>
  <si>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</si>
  <si>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</si>
  <si>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</si>
  <si>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</si>
  <si>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</si>
  <si>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</si>
  <si>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</si>
  <si>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</si>
  <si>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</si>
  <si>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</si>
  <si>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</si>
  <si>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</si>
  <si>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</si>
  <si>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</si>
  <si>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</si>
  <si>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</si>
  <si>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</si>
  <si>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</si>
  <si>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</si>
  <si>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</si>
  <si>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</si>
  <si>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</si>
  <si>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</si>
  <si>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</si>
  <si>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</si>
  <si>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</si>
  <si>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</si>
  <si>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</si>
  <si>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</si>
  <si>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</si>
  <si>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</si>
  <si>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</si>
  <si>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</si>
  <si>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</si>
  <si>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</si>
  <si>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</si>
  <si>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</si>
  <si>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</si>
  <si>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</si>
  <si>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</si>
  <si>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</si>
  <si>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</si>
  <si>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</si>
  <si>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</si>
  <si>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</si>
  <si>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</si>
  <si>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</si>
  <si>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</si>
  <si>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</si>
  <si>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</si>
  <si>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</si>
  <si>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</si>
  <si>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</si>
  <si>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</si>
  <si>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</si>
  <si>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</si>
  <si>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</si>
  <si>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</si>
  <si>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</si>
  <si>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</si>
  <si>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</si>
  <si>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</si>
  <si>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</si>
  <si>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</si>
  <si>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</si>
  <si>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</si>
  <si>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</si>
  <si>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</si>
  <si>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</si>
  <si>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</si>
  <si>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</si>
  <si>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</si>
  <si>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</si>
  <si>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</si>
  <si>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</si>
  <si>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</si>
  <si>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</si>
  <si>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</si>
  <si>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</si>
  <si>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</si>
  <si>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</si>
  <si>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</si>
  <si>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</si>
  <si>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</si>
  <si>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</si>
  <si>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</si>
  <si>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</si>
  <si>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</si>
  <si>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</si>
  <si>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</si>
  <si>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</si>
  <si>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</si>
  <si>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</si>
  <si>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</si>
  <si>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</si>
  <si>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</si>
  <si>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</si>
  <si>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</si>
  <si>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</si>
  <si>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</si>
  <si>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</si>
  <si>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</si>
  <si>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</si>
  <si>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</si>
  <si>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</si>
  <si>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</si>
  <si>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</si>
  <si>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</si>
  <si>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</si>
  <si>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</si>
  <si>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</si>
  <si>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</si>
  <si>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</si>
  <si>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</si>
  <si>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</si>
  <si>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</si>
  <si>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</si>
  <si>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</si>
  <si>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</si>
  <si>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</si>
  <si>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</si>
  <si>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</si>
  <si>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</si>
  <si>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</si>
  <si>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</si>
  <si>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</si>
  <si>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</si>
  <si>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</si>
  <si>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</si>
  <si>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</si>
  <si>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</si>
  <si>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</si>
  <si>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</si>
  <si>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</si>
  <si>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</si>
  <si>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</si>
  <si>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</si>
  <si>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</si>
  <si>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</si>
  <si>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</si>
  <si>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</si>
  <si>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</si>
  <si>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</si>
  <si>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</si>
  <si>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</si>
  <si>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</si>
  <si>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</si>
  <si>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</si>
  <si>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</si>
  <si>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</si>
  <si>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</si>
  <si>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</si>
  <si>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</si>
  <si>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</si>
  <si>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</si>
  <si>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</si>
  <si>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</si>
  <si>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</si>
  <si>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</si>
  <si>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</si>
  <si>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</si>
  <si>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</si>
  <si>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</si>
  <si>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</si>
  <si>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</si>
  <si>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</si>
  <si>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</si>
  <si>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</si>
  <si>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</si>
  <si>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</si>
  <si>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</si>
  <si>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</si>
  <si>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</si>
  <si>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</si>
  <si>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</si>
  <si>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</si>
  <si>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</si>
  <si>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</si>
  <si>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</si>
  <si>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</si>
  <si>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</si>
  <si>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</si>
  <si>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</si>
  <si>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</si>
  <si>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</si>
  <si>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</si>
  <si>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</si>
  <si>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</si>
  <si>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</si>
  <si>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</si>
  <si>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</si>
  <si>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</si>
  <si>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</si>
  <si>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</si>
  <si>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</si>
  <si>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</si>
  <si>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</si>
  <si>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</si>
  <si>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</si>
  <si>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</si>
  <si>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</si>
  <si>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</si>
  <si>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</si>
  <si>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</si>
  <si>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</si>
  <si>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</si>
  <si>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</si>
  <si>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</si>
  <si>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</si>
  <si>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</si>
  <si>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</si>
  <si>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</si>
  <si>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</si>
  <si>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</si>
  <si>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</si>
  <si>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</si>
  <si>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</si>
  <si>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</si>
  <si>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</si>
  <si>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</si>
  <si>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</si>
  <si>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</si>
  <si>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</si>
  <si>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</si>
  <si>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</si>
  <si>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</si>
  <si>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</si>
  <si>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</si>
  <si>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</si>
  <si>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</si>
  <si>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</si>
  <si>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</si>
  <si>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</si>
  <si>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</si>
  <si>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</si>
  <si>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</si>
  <si>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</si>
  <si>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</si>
  <si>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</si>
  <si>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</si>
  <si>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</si>
  <si>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</si>
  <si>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</si>
  <si>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</si>
  <si>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</si>
  <si>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</si>
  <si>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</si>
  <si>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</si>
  <si>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</si>
  <si>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</si>
  <si>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</si>
  <si>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</si>
  <si>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</si>
  <si>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</si>
  <si>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</si>
  <si>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</si>
  <si>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</si>
  <si>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</si>
  <si>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</si>
  <si>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</si>
  <si>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</si>
  <si>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</si>
  <si>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</si>
  <si>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</si>
  <si>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</si>
  <si>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</si>
  <si>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</si>
  <si>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</si>
  <si>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</si>
  <si>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</si>
  <si>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</si>
  <si>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</si>
  <si>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</si>
  <si>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</si>
  <si>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</si>
  <si>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</si>
  <si>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</si>
  <si>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</si>
  <si>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</si>
  <si>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</si>
  <si>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</si>
  <si>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</si>
  <si>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</si>
  <si>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</si>
  <si>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</si>
  <si>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</si>
  <si>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</si>
  <si>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</si>
  <si>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</si>
  <si>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</si>
  <si>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</si>
  <si>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</si>
  <si>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</si>
  <si>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</si>
  <si>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</si>
  <si>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</si>
  <si>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</si>
  <si>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</si>
  <si>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</si>
  <si>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</si>
  <si>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</si>
  <si>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</si>
  <si>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</si>
  <si>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</si>
  <si>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</si>
  <si>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</si>
  <si>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</si>
  <si>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</si>
  <si>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</si>
  <si>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</si>
  <si>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</si>
  <si>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</si>
  <si>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</si>
  <si>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</si>
  <si>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</si>
  <si>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</si>
  <si>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</si>
  <si>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</si>
  <si>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</si>
  <si>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</si>
  <si>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</si>
  <si>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</si>
  <si>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</si>
  <si>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</si>
  <si>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</si>
  <si>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</si>
  <si>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</si>
  <si>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</si>
  <si>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</si>
  <si>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</si>
  <si>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</si>
  <si>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</si>
  <si>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</si>
  <si>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</si>
  <si>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</si>
  <si>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</si>
  <si>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</si>
  <si>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</si>
  <si>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</si>
  <si>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</si>
  <si>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</si>
  <si>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</si>
  <si>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</si>
  <si>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</si>
  <si>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</si>
  <si>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</si>
  <si>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</si>
  <si>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</si>
  <si>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</si>
  <si>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</si>
  <si>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</si>
  <si>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</si>
  <si>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</si>
  <si>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</si>
  <si>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</si>
  <si>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</si>
  <si>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</si>
  <si>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</si>
  <si>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</si>
  <si>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</si>
  <si>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</si>
  <si>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</si>
  <si>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</si>
  <si>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</si>
  <si>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</si>
  <si>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</si>
  <si>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</si>
  <si>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</si>
  <si>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</si>
  <si>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</si>
  <si>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</si>
  <si>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</si>
  <si>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</si>
  <si>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</si>
  <si>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</si>
  <si>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</si>
  <si>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</si>
  <si>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</si>
  <si>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</si>
  <si>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</si>
  <si>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</si>
  <si>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</si>
  <si>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</si>
  <si>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</si>
  <si>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</si>
  <si>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</si>
  <si>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</si>
  <si>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</si>
  <si>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</si>
  <si>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</si>
  <si>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</si>
  <si>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</si>
  <si>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</si>
  <si>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</si>
  <si>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</si>
  <si>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</si>
  <si>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</si>
  <si>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</si>
  <si>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</si>
  <si>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</si>
  <si>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</si>
  <si>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</si>
  <si>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</si>
  <si>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</si>
  <si>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</si>
  <si>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</si>
  <si>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</si>
  <si>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</si>
  <si>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</si>
  <si>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</si>
  <si>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</si>
  <si>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</si>
  <si>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</si>
  <si>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</si>
  <si>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</si>
  <si>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</si>
  <si>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</si>
  <si>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</si>
  <si>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</si>
  <si>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</si>
  <si>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</si>
  <si>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</si>
  <si>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</si>
  <si>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</si>
  <si>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</si>
  <si>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</si>
  <si>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</si>
  <si>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</si>
  <si>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</si>
  <si>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</si>
  <si>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</si>
  <si>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</si>
  <si>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</si>
  <si>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</si>
  <si>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</si>
  <si>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</si>
  <si>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</si>
  <si>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</si>
  <si>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</si>
  <si>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</si>
  <si>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</si>
  <si>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</si>
  <si>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</si>
  <si>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</si>
  <si>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</si>
  <si>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</si>
  <si>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</si>
  <si>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</si>
  <si>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</si>
  <si>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</si>
  <si>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</si>
  <si>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</si>
  <si>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</si>
  <si>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</si>
  <si>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</si>
  <si>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</si>
  <si>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</si>
  <si>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</si>
  <si>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</si>
  <si>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</si>
  <si>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</si>
  <si>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</si>
  <si>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</si>
  <si>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</si>
  <si>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</si>
  <si>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</si>
  <si>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</si>
  <si>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</si>
  <si>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</si>
  <si>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</si>
  <si>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</si>
  <si>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</si>
  <si>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</si>
  <si>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</si>
  <si>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</si>
  <si>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</si>
  <si>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</si>
  <si>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</si>
  <si>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</si>
  <si>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</si>
  <si>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</si>
  <si>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</si>
  <si>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</si>
  <si>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</si>
  <si>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</si>
  <si>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</si>
  <si>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</si>
  <si>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</si>
  <si>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</si>
  <si>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</si>
  <si>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</si>
  <si>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</si>
  <si>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</si>
  <si>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</si>
  <si>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</si>
  <si>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</si>
  <si>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</si>
  <si>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</si>
  <si>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</si>
  <si>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</si>
  <si>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</si>
  <si>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</si>
  <si>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</si>
  <si>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</si>
  <si>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</si>
  <si>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</si>
  <si>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</si>
  <si>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</si>
  <si>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</si>
  <si>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</si>
  <si>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</si>
  <si>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</si>
  <si>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</si>
  <si>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</si>
  <si>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</si>
  <si>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</si>
  <si>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</si>
  <si>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</si>
  <si>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</si>
  <si>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</si>
  <si>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</si>
  <si>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</si>
  <si>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</si>
  <si>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</si>
  <si>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</si>
  <si>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</si>
  <si>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</si>
  <si>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</si>
  <si>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</si>
  <si>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</si>
  <si>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</si>
  <si>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</si>
  <si>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</si>
  <si>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</si>
  <si>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</si>
  <si>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</si>
  <si>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</si>
  <si>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</si>
  <si>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</si>
  <si>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</si>
  <si>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</si>
  <si>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</si>
  <si>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</si>
  <si>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</si>
  <si>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</si>
  <si>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</si>
  <si>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</si>
  <si>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</si>
  <si>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</si>
  <si>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</si>
  <si>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</si>
  <si>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</si>
  <si>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</si>
  <si>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</si>
  <si>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</si>
  <si>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</si>
  <si>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</si>
  <si>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</si>
  <si>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</si>
  <si>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</si>
  <si>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</si>
  <si>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</si>
  <si>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</si>
  <si>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</si>
  <si>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</si>
  <si>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</si>
  <si>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</si>
  <si>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</si>
  <si>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</si>
  <si>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</si>
  <si>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</si>
  <si>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</si>
  <si>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</si>
  <si>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</si>
  <si>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</si>
  <si>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</si>
  <si>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</si>
  <si>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</si>
  <si>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</si>
  <si>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</si>
  <si>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</si>
  <si>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</si>
  <si>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</si>
  <si>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</si>
  <si>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</si>
  <si>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</si>
  <si>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</si>
  <si>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</si>
  <si>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</si>
  <si>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</si>
  <si>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</si>
  <si>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</si>
  <si>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</si>
  <si>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</si>
  <si>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</si>
  <si>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</si>
  <si>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</si>
  <si>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</si>
  <si>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</si>
  <si>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</si>
  <si>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</si>
  <si>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</si>
  <si>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</si>
  <si>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</si>
  <si>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</si>
  <si>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</si>
  <si>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</si>
  <si>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</si>
  <si>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</si>
  <si>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</si>
  <si>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</si>
  <si>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</si>
  <si>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</si>
  <si>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</si>
  <si>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</si>
  <si>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</si>
  <si>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</si>
  <si>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</si>
  <si>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</si>
  <si>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</si>
  <si>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</si>
  <si>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</si>
  <si>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</si>
  <si>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</si>
  <si>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</si>
  <si>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</si>
  <si>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</si>
  <si>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</si>
  <si>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</si>
  <si>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</si>
  <si>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</si>
  <si>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</si>
  <si>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</si>
  <si>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</si>
  <si>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</si>
  <si>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</si>
  <si>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</si>
  <si>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</si>
  <si>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</si>
  <si>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</si>
  <si>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</si>
  <si>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</si>
  <si>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</si>
  <si>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</si>
  <si>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</si>
  <si>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</si>
  <si>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</si>
  <si>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</si>
  <si>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</si>
  <si>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</si>
  <si>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</si>
  <si>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</si>
  <si>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</si>
  <si>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</si>
  <si>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</si>
  <si>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</si>
  <si>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</si>
  <si>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</si>
  <si>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</si>
  <si>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</si>
  <si>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</si>
  <si>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</si>
  <si>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</si>
  <si>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</si>
  <si>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</si>
  <si>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</si>
  <si>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</si>
  <si>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</si>
  <si>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</si>
  <si>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</si>
  <si>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</si>
  <si>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</si>
  <si>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</si>
  <si>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</si>
  <si>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</si>
  <si>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</si>
  <si>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</si>
  <si>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</si>
  <si>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</si>
  <si>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</si>
  <si>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</si>
  <si>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</si>
  <si>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</si>
  <si>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</si>
  <si>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</si>
  <si>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</si>
  <si>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</si>
  <si>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</si>
  <si>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</si>
  <si>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</si>
  <si>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</si>
  <si>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</si>
  <si>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</si>
  <si>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</si>
  <si>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</si>
  <si>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</si>
  <si>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</si>
  <si>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</si>
  <si>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</si>
  <si>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</si>
  <si>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</si>
  <si>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</si>
  <si>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</si>
  <si>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</si>
  <si>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</si>
  <si>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</si>
  <si>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</si>
  <si>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</si>
  <si>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</si>
  <si>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</si>
  <si>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</si>
  <si>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</si>
  <si>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</si>
  <si>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</si>
  <si>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</si>
  <si>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</si>
  <si>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</si>
  <si>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</si>
  <si>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</si>
  <si>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</si>
  <si>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</si>
  <si>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</si>
  <si>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</si>
  <si>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</si>
  <si>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</si>
  <si>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</si>
  <si>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</si>
  <si>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</si>
  <si>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</si>
  <si>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</si>
  <si>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</si>
  <si>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</si>
  <si>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</si>
  <si>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</si>
  <si>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</si>
  <si>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</si>
  <si>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</si>
  <si>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</si>
  <si>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</si>
  <si>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</si>
  <si>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</si>
  <si>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</si>
  <si>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</si>
  <si>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</si>
  <si>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</si>
  <si>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</si>
  <si>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</si>
  <si>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</si>
  <si>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</si>
  <si>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</si>
  <si>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</si>
  <si>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</si>
  <si>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</si>
  <si>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</si>
  <si>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</si>
  <si>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</si>
  <si>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</si>
  <si>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</si>
  <si>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</si>
  <si>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</si>
  <si>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</si>
  <si>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</si>
  <si>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</si>
  <si>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</si>
  <si>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</si>
  <si>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</si>
  <si>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</si>
  <si>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</si>
  <si>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</si>
  <si>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</si>
  <si>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</si>
  <si>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</si>
  <si>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</si>
  <si>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</si>
  <si>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</si>
  <si>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</si>
  <si>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</si>
  <si>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</si>
  <si>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</si>
  <si>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</si>
  <si>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</si>
  <si>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</si>
  <si>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</si>
  <si>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</si>
  <si>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</si>
  <si>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</si>
  <si>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</si>
  <si>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</si>
  <si>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</si>
  <si>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</si>
  <si>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</si>
  <si>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</si>
  <si>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</si>
  <si>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</si>
  <si>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</si>
  <si>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</si>
  <si>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</si>
  <si>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</si>
  <si>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</si>
  <si>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</si>
  <si>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</si>
  <si>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</si>
  <si>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</si>
  <si>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</si>
  <si>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</si>
  <si>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</si>
  <si>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</si>
  <si>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</si>
  <si>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</si>
  <si>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</si>
  <si>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</si>
  <si>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</si>
  <si>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</si>
  <si>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</si>
  <si>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</si>
  <si>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</si>
  <si>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</si>
  <si>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</si>
  <si>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</si>
  <si>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</si>
  <si>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</si>
  <si>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</si>
  <si>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</si>
  <si>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</si>
  <si>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</si>
  <si>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</si>
  <si>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</si>
  <si>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</si>
  <si>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</si>
  <si>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</si>
  <si>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</si>
  <si>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</si>
  <si>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</si>
  <si>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</si>
  <si>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</si>
  <si>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</si>
  <si>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</si>
  <si>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</si>
  <si>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</si>
  <si>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</si>
  <si>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</si>
  <si>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</si>
  <si>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</si>
  <si>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</si>
  <si>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</si>
  <si>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</si>
  <si>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</si>
  <si>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</si>
  <si>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</si>
  <si>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</si>
  <si>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</si>
  <si>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</si>
  <si>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</si>
  <si>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</si>
  <si>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</si>
  <si>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</si>
  <si>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</si>
  <si>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</si>
  <si>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</si>
  <si>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</si>
  <si>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</si>
  <si>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</si>
  <si>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</si>
  <si>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</si>
  <si>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</si>
  <si>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</si>
  <si>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</si>
  <si>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</si>
  <si>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</si>
  <si>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</si>
  <si>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</si>
  <si>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</si>
  <si>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</si>
  <si>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</si>
  <si>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</si>
  <si>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</si>
  <si>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</si>
  <si>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</si>
  <si>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</si>
  <si>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</si>
  <si>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</si>
  <si>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</si>
  <si>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</si>
  <si>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</si>
  <si>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</si>
  <si>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</si>
  <si>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</si>
  <si>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</si>
  <si>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</si>
  <si>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</si>
  <si>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</si>
  <si>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</si>
  <si>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</si>
  <si>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</si>
  <si>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</si>
  <si>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</si>
  <si>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</si>
  <si>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</si>
  <si>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</si>
  <si>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</si>
  <si>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</si>
  <si>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</si>
  <si>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</si>
  <si>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</si>
  <si>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</si>
  <si>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</si>
  <si>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</si>
  <si>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</si>
  <si>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</si>
  <si>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</si>
  <si>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</si>
  <si>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</si>
  <si>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</si>
  <si>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</si>
  <si>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</si>
  <si>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</si>
  <si>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</si>
  <si>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</si>
  <si>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</si>
  <si>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</si>
  <si>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</si>
  <si>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</si>
  <si>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</si>
  <si>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</si>
  <si>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</si>
  <si>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</si>
  <si>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</si>
  <si>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</si>
  <si>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</si>
  <si>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</si>
  <si>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</si>
  <si>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</si>
  <si>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</si>
  <si>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</si>
  <si>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</si>
  <si>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</si>
  <si>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</si>
  <si>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</si>
  <si>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</si>
  <si>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</si>
  <si>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</si>
  <si>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</si>
  <si>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</si>
  <si>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</si>
  <si>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</si>
  <si>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</si>
  <si>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</si>
  <si>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</si>
  <si>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</si>
  <si>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</si>
  <si>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</si>
  <si>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</si>
  <si>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</si>
  <si>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</si>
  <si>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</si>
  <si>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</si>
  <si>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</si>
  <si>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</si>
  <si>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</si>
  <si>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</si>
  <si>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</si>
  <si>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</si>
  <si>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</si>
  <si>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</si>
  <si>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</si>
  <si>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</si>
  <si>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</si>
  <si>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</si>
  <si>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</si>
  <si>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</si>
  <si>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</si>
  <si>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</si>
  <si>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</si>
  <si>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</si>
  <si>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</si>
  <si>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</si>
  <si>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</si>
  <si>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</si>
  <si>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</si>
  <si>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</si>
  <si>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</si>
  <si>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</si>
  <si>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</si>
  <si>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</si>
  <si>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</si>
  <si>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</si>
  <si>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</si>
  <si>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</si>
  <si>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</si>
  <si>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</si>
  <si>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</si>
  <si>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</si>
  <si>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</si>
  <si>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</si>
  <si>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</si>
  <si>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</si>
  <si>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</si>
  <si>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</si>
  <si>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</si>
  <si>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</si>
  <si>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</si>
  <si>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</si>
  <si>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</si>
  <si>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</si>
  <si>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</si>
  <si>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</si>
  <si>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</si>
  <si>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</si>
  <si>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</si>
  <si>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</si>
  <si>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</si>
  <si>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</si>
  <si>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</si>
  <si>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</si>
  <si>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</si>
  <si>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</si>
  <si>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</si>
  <si>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</si>
  <si>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</si>
  <si>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</si>
  <si>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</si>
  <si>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</si>
  <si>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</si>
  <si>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</si>
  <si>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</si>
  <si>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</si>
  <si>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</si>
  <si>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</si>
  <si>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</si>
  <si>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</si>
  <si>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</si>
  <si>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</si>
  <si>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</si>
  <si>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</si>
  <si>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</si>
  <si>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</si>
  <si>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</si>
  <si>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</si>
  <si>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</si>
  <si>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</si>
  <si>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</si>
  <si>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</si>
  <si>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</si>
  <si>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</si>
  <si>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</si>
  <si>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</si>
  <si>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</si>
  <si>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</si>
  <si>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</si>
  <si>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</si>
  <si>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</si>
  <si>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</si>
  <si>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</si>
  <si>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</si>
  <si>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</si>
  <si>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</si>
  <si>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</si>
  <si>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</si>
  <si>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</si>
  <si>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</si>
  <si>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</si>
  <si>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</si>
  <si>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</si>
  <si>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</si>
  <si>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</si>
  <si>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</si>
  <si>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</si>
  <si>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</si>
  <si>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</si>
  <si>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</si>
  <si>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</si>
  <si>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</si>
  <si>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</si>
  <si>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</si>
  <si>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</si>
  <si>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</si>
  <si>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</si>
  <si>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</si>
  <si>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</si>
  <si>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</si>
  <si>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</si>
  <si>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</si>
  <si>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</si>
  <si>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</si>
  <si>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</si>
  <si>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</si>
  <si>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</si>
  <si>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</si>
  <si>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</si>
  <si>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</si>
  <si>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</si>
  <si>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</si>
  <si>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</si>
  <si>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</si>
  <si>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</si>
  <si>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</si>
  <si>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</si>
  <si>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</si>
  <si>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</si>
  <si>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</si>
  <si>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</si>
  <si>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</si>
  <si>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</si>
  <si>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</si>
  <si>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</si>
  <si>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</si>
  <si>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</si>
  <si>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</si>
  <si>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</si>
  <si>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</si>
  <si>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</si>
  <si>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</si>
  <si>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</si>
  <si>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</si>
  <si>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</si>
  <si>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</si>
  <si>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</si>
  <si>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</si>
  <si>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</si>
  <si>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</si>
  <si>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</si>
  <si>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</si>
  <si>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</si>
  <si>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</si>
  <si>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</si>
  <si>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</si>
  <si>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</si>
  <si>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</si>
  <si>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</si>
  <si>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</si>
  <si>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</si>
  <si>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</si>
  <si>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</si>
  <si>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</si>
  <si>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</si>
  <si>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</si>
  <si>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</si>
  <si>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</si>
  <si>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</si>
  <si>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</si>
  <si>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</si>
  <si>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</si>
  <si>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</si>
  <si>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</si>
  <si>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</si>
  <si>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</si>
  <si>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</si>
  <si>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</si>
  <si>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</si>
  <si>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</si>
  <si>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</si>
  <si>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</si>
  <si>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</si>
  <si>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</si>
  <si>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</si>
  <si>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</si>
  <si>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</si>
  <si>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</si>
  <si>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</si>
  <si>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</si>
  <si>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</si>
  <si>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</si>
  <si>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</si>
  <si>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</si>
  <si>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</si>
  <si>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</si>
  <si>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</si>
  <si>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</si>
  <si>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</si>
  <si>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</si>
  <si>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</si>
  <si>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</si>
  <si>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</si>
  <si>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</si>
  <si>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</si>
  <si>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</si>
  <si>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</si>
  <si>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</si>
  <si>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</si>
  <si>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</si>
  <si>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</si>
  <si>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</si>
  <si>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</si>
  <si>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</si>
  <si>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</si>
  <si>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</si>
  <si>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</si>
  <si>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</si>
  <si>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</si>
  <si>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</si>
  <si>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</si>
  <si>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</si>
  <si>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</si>
  <si>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</si>
  <si>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</si>
  <si>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</si>
  <si>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</si>
  <si>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</si>
  <si>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</si>
  <si>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</si>
  <si>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</si>
  <si>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</si>
  <si>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</si>
  <si>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</si>
  <si>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</si>
  <si>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</si>
  <si>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</si>
  <si>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</si>
  <si>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</si>
  <si>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</si>
  <si>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</si>
  <si>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</si>
  <si>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</si>
  <si>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</si>
  <si>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</si>
  <si>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</si>
  <si>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</si>
  <si>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</si>
  <si>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</si>
  <si>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</si>
  <si>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</si>
  <si>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</si>
  <si>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</si>
  <si>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</si>
  <si>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</si>
  <si>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</si>
  <si>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</si>
  <si>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</si>
  <si>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</si>
  <si>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</si>
  <si>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</si>
  <si>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</si>
  <si>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</si>
  <si>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</si>
  <si>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</si>
  <si>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</si>
  <si>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</si>
  <si>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</si>
  <si>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</si>
  <si>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</si>
  <si>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</si>
  <si>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</si>
  <si>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</si>
  <si>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</si>
  <si>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</si>
  <si>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</si>
  <si>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</si>
  <si>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</si>
  <si>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</si>
  <si>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</si>
  <si>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</si>
  <si>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</si>
  <si>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</si>
  <si>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</si>
  <si>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</si>
  <si>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</si>
  <si>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</si>
  <si>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</si>
  <si>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</si>
  <si>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</si>
  <si>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</si>
  <si>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</si>
  <si>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</si>
  <si>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</si>
  <si>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</si>
  <si>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</si>
  <si>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</si>
  <si>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</si>
  <si>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</si>
  <si>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</si>
  <si>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</si>
  <si>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</si>
  <si>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</si>
  <si>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</si>
  <si>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</si>
  <si>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</si>
  <si>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</si>
  <si>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</si>
  <si>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</si>
  <si>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</si>
  <si>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</si>
  <si>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</si>
  <si>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</si>
  <si>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</si>
  <si>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</si>
  <si>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</si>
  <si>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</si>
  <si>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</si>
  <si>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</si>
  <si>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</si>
  <si>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</si>
  <si>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</si>
  <si>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</si>
  <si>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</si>
  <si>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</si>
  <si>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</si>
  <si>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</si>
  <si>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</si>
  <si>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</si>
  <si>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</si>
  <si>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</si>
  <si>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</si>
  <si>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</si>
  <si>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</si>
  <si>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</si>
  <si>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</si>
  <si>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</si>
  <si>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</si>
  <si>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</si>
  <si>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</si>
  <si>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</si>
  <si>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</si>
  <si>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</si>
  <si>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</si>
  <si>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</si>
  <si>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</si>
  <si>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</si>
  <si>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</si>
  <si>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</si>
  <si>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</si>
  <si>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</si>
  <si>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</si>
  <si>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</si>
  <si>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</si>
  <si>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</si>
  <si>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</si>
  <si>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</si>
  <si>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</si>
  <si>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</si>
  <si>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</si>
  <si>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</si>
  <si>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</si>
  <si>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</si>
  <si>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</si>
  <si>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</si>
  <si>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</si>
  <si>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</si>
  <si>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</si>
  <si>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</si>
  <si>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</si>
  <si>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</si>
  <si>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</si>
  <si>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</si>
  <si>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</si>
  <si>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</si>
  <si>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</si>
  <si>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</si>
  <si>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</si>
  <si>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</si>
  <si>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</si>
  <si>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</si>
  <si>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</si>
  <si>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</si>
  <si>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</si>
  <si>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</si>
  <si>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</si>
  <si>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</si>
  <si>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</si>
  <si>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</si>
  <si>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</si>
  <si>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</si>
  <si>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</si>
  <si>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</si>
  <si>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</si>
  <si>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</si>
  <si>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</si>
  <si>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</si>
  <si>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</si>
  <si>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</si>
  <si>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</si>
  <si>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</si>
  <si>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</si>
  <si>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</si>
  <si>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</si>
  <si>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</si>
  <si>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</si>
  <si>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</si>
  <si>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</si>
  <si>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</si>
  <si>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</si>
  <si>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</si>
  <si>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</si>
  <si>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</si>
  <si>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</si>
  <si>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</si>
  <si>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</si>
  <si>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</si>
  <si>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</si>
  <si>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</si>
  <si>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</si>
  <si>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</si>
  <si>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</si>
  <si>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</si>
  <si>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</si>
  <si>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</si>
  <si>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</si>
  <si>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</si>
  <si>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</si>
  <si>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</si>
  <si>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</si>
  <si>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</si>
  <si>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</si>
  <si>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</si>
  <si>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</si>
  <si>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</si>
  <si>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</si>
  <si>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</si>
  <si>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</si>
  <si>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</si>
  <si>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</si>
  <si>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</si>
  <si>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</si>
  <si>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</si>
  <si>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</si>
  <si>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</si>
  <si>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</si>
  <si>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</si>
  <si>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</si>
  <si>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</si>
  <si>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</si>
  <si>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</si>
  <si>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</si>
  <si>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</si>
  <si>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</si>
  <si>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</si>
  <si>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</si>
  <si>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</si>
  <si>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</si>
  <si>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</si>
  <si>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</si>
  <si>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</si>
  <si>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</si>
  <si>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</si>
  <si>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</si>
  <si>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</si>
  <si>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</si>
  <si>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</si>
  <si>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</si>
  <si>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</si>
  <si>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</si>
  <si>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</si>
  <si>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</si>
  <si>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</si>
  <si>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</si>
  <si>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</si>
  <si>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</si>
  <si>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</si>
  <si>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</si>
  <si>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</si>
  <si>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</si>
  <si>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</si>
  <si>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</si>
  <si>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</si>
  <si>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</si>
  <si>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</si>
  <si>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</si>
  <si>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</si>
  <si>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</si>
  <si>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</si>
  <si>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</si>
  <si>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</si>
  <si>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</si>
  <si>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</si>
  <si>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</si>
  <si>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</si>
  <si>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</si>
  <si>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</si>
  <si>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</si>
  <si>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</si>
  <si>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</si>
  <si>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</si>
  <si>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</si>
  <si>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</si>
  <si>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</si>
  <si>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</si>
  <si>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</si>
  <si>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</si>
  <si>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</si>
  <si>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</si>
  <si>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</si>
  <si>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</si>
  <si>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</si>
  <si>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</si>
  <si>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</si>
  <si>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</si>
  <si>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</si>
  <si>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</si>
  <si>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</si>
  <si>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</si>
  <si>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</si>
  <si>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</si>
  <si>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</si>
  <si>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</si>
  <si>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</si>
  <si>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</si>
  <si>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</si>
  <si>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</si>
  <si>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</si>
  <si>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</si>
  <si>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</si>
  <si>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</si>
  <si>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</si>
  <si>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</si>
  <si>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</si>
  <si>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</si>
  <si>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</si>
  <si>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</si>
  <si>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</si>
  <si>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</si>
  <si>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</si>
  <si>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</si>
  <si>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</si>
  <si>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</si>
  <si>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</si>
  <si>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</si>
  <si>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</si>
  <si>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</si>
  <si>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</si>
  <si>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</si>
  <si>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</si>
  <si>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</si>
  <si>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</si>
  <si>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</si>
  <si>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</si>
  <si>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</si>
  <si>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</si>
  <si>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</si>
  <si>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</si>
  <si>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</si>
  <si>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</si>
  <si>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</si>
  <si>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</si>
  <si>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</si>
  <si>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</si>
  <si>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</si>
  <si>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</si>
  <si>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</si>
  <si>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</si>
  <si>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</si>
  <si>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</si>
  <si>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</si>
  <si>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</si>
  <si>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</si>
  <si>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</si>
  <si>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</si>
  <si>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</si>
  <si>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</si>
  <si>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</si>
  <si>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</si>
  <si>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</si>
  <si>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</si>
  <si>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</si>
  <si>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</si>
  <si>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</si>
  <si>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</si>
  <si>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</si>
  <si>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</si>
  <si>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</si>
  <si>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</si>
  <si>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</si>
  <si>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</si>
  <si>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</si>
  <si>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</si>
  <si>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</si>
  <si>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</si>
  <si>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</si>
  <si>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</si>
  <si>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</si>
  <si>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</si>
  <si>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</si>
  <si>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</si>
  <si>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</si>
  <si>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</si>
  <si>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</si>
  <si>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</si>
  <si>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</si>
  <si>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</si>
  <si>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</si>
  <si>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</si>
  <si>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</si>
  <si>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</si>
  <si>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</si>
  <si>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</si>
  <si>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</si>
  <si>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</si>
  <si>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</si>
  <si>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</si>
  <si>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</si>
  <si>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</si>
  <si>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</si>
  <si>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</si>
  <si>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</si>
  <si>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</si>
  <si>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</si>
  <si>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</si>
  <si>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</si>
  <si>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</si>
  <si>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</si>
  <si>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</si>
  <si>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</si>
  <si>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</si>
  <si>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</si>
  <si>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</si>
  <si>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</si>
  <si>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</si>
  <si>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</si>
  <si>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</si>
  <si>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</si>
  <si>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</si>
  <si>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</si>
  <si>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</si>
  <si>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</si>
  <si>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</si>
  <si>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</si>
  <si>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</si>
  <si>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</si>
  <si>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</si>
  <si>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</si>
  <si>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</si>
  <si>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</si>
  <si>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</si>
  <si>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</si>
  <si>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</si>
  <si>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</si>
  <si>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</si>
  <si>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</si>
  <si>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</si>
  <si>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</si>
  <si>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</si>
  <si>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</si>
  <si>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</si>
  <si>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</si>
  <si>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</si>
  <si>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</si>
  <si>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</si>
  <si>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</si>
  <si>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</si>
  <si>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</si>
  <si>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</si>
  <si>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</si>
  <si>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</si>
  <si>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</si>
  <si>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</si>
  <si>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</si>
  <si>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</si>
  <si>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</si>
  <si>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</si>
  <si>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</si>
  <si>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</si>
  <si>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</si>
  <si>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</si>
  <si>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</si>
  <si>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</si>
  <si>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</si>
  <si>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</si>
  <si>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</si>
  <si>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</si>
  <si>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</si>
  <si>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</si>
  <si>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</si>
  <si>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</si>
  <si>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</si>
  <si>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</si>
  <si>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</si>
  <si>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</si>
  <si>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</si>
  <si>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</si>
  <si>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</si>
  <si>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</si>
  <si>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</si>
  <si>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</si>
  <si>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</si>
  <si>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</si>
  <si>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</si>
  <si>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</si>
  <si>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</si>
  <si>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</si>
  <si>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</si>
  <si>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</si>
  <si>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</si>
  <si>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</si>
  <si>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</si>
  <si>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</si>
  <si>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</si>
  <si>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</si>
  <si>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</si>
  <si>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</si>
  <si>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</si>
  <si>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</si>
  <si>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</si>
  <si>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</si>
  <si>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</si>
  <si>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</si>
  <si>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</si>
  <si>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</si>
  <si>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</si>
  <si>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</si>
  <si>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</si>
  <si>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</si>
  <si>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</si>
  <si>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</si>
  <si>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</si>
  <si>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</si>
  <si>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</si>
  <si>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</si>
  <si>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</si>
  <si>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</si>
  <si>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</si>
  <si>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</si>
  <si>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</si>
  <si>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</si>
  <si>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</si>
  <si>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</si>
  <si>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</si>
  <si>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</si>
  <si>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</si>
  <si>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</si>
  <si>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</si>
  <si>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</si>
  <si>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</si>
  <si>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</si>
  <si>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</si>
  <si>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</si>
  <si>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</si>
  <si>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</si>
  <si>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</si>
  <si>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</si>
  <si>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</si>
  <si>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</si>
  <si>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</si>
  <si>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</si>
  <si>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</si>
  <si>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</si>
  <si>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</si>
  <si>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</si>
  <si>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</si>
  <si>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</si>
  <si>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</si>
  <si>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</si>
  <si>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</si>
  <si>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</si>
  <si>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</si>
  <si>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</si>
  <si>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</si>
  <si>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</si>
  <si>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</si>
  <si>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</si>
  <si>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</si>
  <si>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</si>
  <si>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</si>
  <si>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</si>
  <si>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</si>
  <si>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</si>
  <si>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</si>
  <si>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</si>
  <si>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</si>
  <si>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</si>
  <si>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</si>
  <si>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</si>
  <si>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</si>
  <si>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</si>
  <si>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</si>
  <si>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</si>
  <si>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</si>
  <si>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</si>
  <si>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</si>
  <si>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</si>
  <si>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</si>
  <si>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</si>
  <si>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</si>
  <si>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</si>
  <si>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</si>
  <si>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</si>
  <si>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</si>
  <si>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</si>
  <si>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</si>
  <si>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</si>
  <si>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</si>
  <si>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</si>
  <si>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</si>
  <si>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</si>
  <si>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</si>
  <si>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</si>
  <si>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</si>
  <si>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</si>
  <si>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</si>
  <si>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</si>
  <si>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</si>
  <si>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</si>
  <si>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</si>
  <si>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</si>
  <si>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</si>
  <si>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</si>
  <si>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</si>
  <si>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</si>
  <si>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</si>
  <si>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</si>
  <si>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</si>
  <si>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</si>
  <si>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</si>
  <si>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</si>
  <si>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</si>
  <si>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</si>
  <si>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</si>
  <si>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</si>
  <si>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</si>
  <si>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</si>
  <si>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</si>
  <si>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</si>
  <si>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</si>
  <si>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</si>
  <si>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</si>
  <si>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</si>
  <si>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</si>
  <si>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</si>
  <si>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</si>
  <si>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</si>
  <si>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</si>
  <si>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</si>
  <si>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</si>
  <si>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</si>
  <si>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</si>
  <si>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</si>
  <si>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</si>
  <si>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</si>
  <si>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</si>
  <si>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</si>
  <si>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</si>
  <si>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</si>
  <si>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</si>
  <si>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</si>
  <si>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</si>
  <si>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</si>
  <si>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</si>
  <si>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是</t>
  </si>
  <si>
    <t>地上</t>
  </si>
  <si>
    <t>体育场馆</t>
  </si>
  <si>
    <t>地下</t>
  </si>
  <si>
    <t>体育文化配套</t>
  </si>
  <si>
    <t>体育场馆</t>
    <phoneticPr fontId="7" type="noConversion"/>
  </si>
  <si>
    <t>北京市</t>
  </si>
  <si>
    <t>企业</t>
  </si>
  <si>
    <t>《不动产权证书》</t>
  </si>
  <si>
    <t>复印件</t>
  </si>
  <si>
    <t>办公项目</t>
  </si>
  <si>
    <t>无</t>
  </si>
  <si>
    <t>现房</t>
  </si>
  <si>
    <t>通路</t>
  </si>
  <si>
    <t>通电</t>
  </si>
  <si>
    <t>通讯</t>
  </si>
  <si>
    <t>通上水</t>
  </si>
  <si>
    <t>通下水</t>
  </si>
  <si>
    <t>平整</t>
  </si>
  <si>
    <t>公共服务</t>
  </si>
  <si>
    <t>成新度</t>
  </si>
  <si>
    <t>建成</t>
    <phoneticPr fontId="3" type="noConversion"/>
  </si>
  <si>
    <t>直线</t>
    <phoneticPr fontId="3" type="noConversion"/>
  </si>
  <si>
    <t xml:space="preserve">编号 </t>
  </si>
  <si>
    <t>明细</t>
  </si>
  <si>
    <t>201801</t>
  </si>
  <si>
    <t>201802</t>
  </si>
  <si>
    <t>201803</t>
  </si>
  <si>
    <t>201804</t>
  </si>
  <si>
    <t>201805</t>
  </si>
  <si>
    <t>201806</t>
  </si>
  <si>
    <t>201807</t>
  </si>
  <si>
    <t>201808</t>
  </si>
  <si>
    <t>201809</t>
  </si>
  <si>
    <t>201810</t>
  </si>
  <si>
    <t>201811</t>
  </si>
  <si>
    <t>201812</t>
  </si>
  <si>
    <t>2018年合计</t>
  </si>
  <si>
    <t>201901</t>
  </si>
  <si>
    <t>201902</t>
  </si>
  <si>
    <t>201903</t>
  </si>
  <si>
    <t>201904</t>
  </si>
  <si>
    <t>201905</t>
  </si>
  <si>
    <t>201906</t>
  </si>
  <si>
    <t>201907</t>
  </si>
  <si>
    <t>201908</t>
  </si>
  <si>
    <t>201909</t>
  </si>
  <si>
    <t>201910</t>
  </si>
  <si>
    <t>201911</t>
  </si>
  <si>
    <t>201912</t>
  </si>
  <si>
    <t>2019年合计</t>
  </si>
  <si>
    <t>202001</t>
  </si>
  <si>
    <t>202002</t>
  </si>
  <si>
    <t>202003</t>
  </si>
  <si>
    <t>202004</t>
  </si>
  <si>
    <t>202005</t>
  </si>
  <si>
    <t>202006</t>
  </si>
  <si>
    <t>202007</t>
  </si>
  <si>
    <t>202008</t>
  </si>
  <si>
    <t>202009</t>
  </si>
  <si>
    <t>202010</t>
  </si>
  <si>
    <t>202011</t>
  </si>
  <si>
    <t>202012</t>
  </si>
  <si>
    <t>2020年合计</t>
  </si>
  <si>
    <t>202102</t>
  </si>
  <si>
    <t>202103</t>
  </si>
  <si>
    <t>202104</t>
  </si>
  <si>
    <t>202105</t>
  </si>
  <si>
    <t>202106</t>
  </si>
  <si>
    <t>202107</t>
  </si>
  <si>
    <t>202108</t>
  </si>
  <si>
    <t>202109</t>
  </si>
  <si>
    <t>202110</t>
  </si>
  <si>
    <t>202111</t>
  </si>
  <si>
    <t>202112</t>
  </si>
  <si>
    <t>2021年合计</t>
  </si>
  <si>
    <t>202201</t>
  </si>
  <si>
    <t>202202</t>
  </si>
  <si>
    <t>202203</t>
  </si>
  <si>
    <t>202204</t>
  </si>
  <si>
    <t>202205</t>
  </si>
  <si>
    <t>202206</t>
  </si>
  <si>
    <t>202207</t>
  </si>
  <si>
    <t>202208</t>
  </si>
  <si>
    <t>202209</t>
  </si>
  <si>
    <t>202210</t>
  </si>
  <si>
    <t>202211</t>
  </si>
  <si>
    <t>202212</t>
  </si>
  <si>
    <t>2022年合计</t>
  </si>
  <si>
    <t>202301</t>
  </si>
  <si>
    <t>202302</t>
  </si>
  <si>
    <t>202303</t>
  </si>
  <si>
    <t>202304</t>
  </si>
  <si>
    <t>202305</t>
  </si>
  <si>
    <t>202306</t>
  </si>
  <si>
    <t>202307</t>
  </si>
  <si>
    <t>202308</t>
  </si>
  <si>
    <t>202309</t>
  </si>
  <si>
    <t>202310</t>
  </si>
  <si>
    <t>202311</t>
  </si>
  <si>
    <t>202312
（预测）</t>
  </si>
  <si>
    <t>2023年合计</t>
  </si>
  <si>
    <t>平均单场价格</t>
  </si>
  <si>
    <t>场馆月出租率</t>
  </si>
  <si>
    <t>场馆平均月出租率</t>
  </si>
  <si>
    <t>收入-小计</t>
  </si>
  <si>
    <t>场馆出租租金收入（含税）</t>
  </si>
  <si>
    <t>活动举办收入（含税）</t>
  </si>
  <si>
    <t>冠名费及包厢收入（含税）=1+2</t>
  </si>
  <si>
    <t>冠名费收入（含税）=1</t>
  </si>
  <si>
    <t>包厢收入（含税）=2</t>
  </si>
  <si>
    <t>其他增值服务收入（含税）</t>
  </si>
  <si>
    <t>其他收入（含税）</t>
  </si>
  <si>
    <t>物业管理收入（含税）</t>
  </si>
  <si>
    <t>销售费用</t>
  </si>
  <si>
    <t>运营成本-小计</t>
  </si>
  <si>
    <t>人工成本</t>
  </si>
  <si>
    <t>日常运营费</t>
  </si>
  <si>
    <t>运营成本-佣金</t>
  </si>
  <si>
    <t>运营成本-税金及附加</t>
  </si>
  <si>
    <t>能源费用</t>
  </si>
  <si>
    <t>维护/维保费</t>
  </si>
  <si>
    <t>宣传推广、广告费</t>
  </si>
  <si>
    <t>日常场馆活动设备租赁费</t>
  </si>
  <si>
    <t>与活动相关的费用</t>
  </si>
  <si>
    <t>自主举办活动成本</t>
  </si>
  <si>
    <t>增值服务业务</t>
  </si>
  <si>
    <t>折旧、摊销</t>
  </si>
  <si>
    <t>核对</t>
  </si>
  <si>
    <t>注：</t>
  </si>
  <si>
    <t>活动场租根据活动类型不同定价不一致</t>
  </si>
  <si>
    <t>备注：</t>
  </si>
  <si>
    <t>1. 请从开业日期按月填写；</t>
  </si>
  <si>
    <t>2. 运营成本包括但不限于上述费用，如有其他长期稳定支出成本可在表中继续添加。</t>
  </si>
  <si>
    <t>3、根据情况可以增加、删减各项明细</t>
  </si>
  <si>
    <t>未包含在土地购买价格中</t>
  </si>
  <si>
    <t>已包含在土地取得成本中</t>
  </si>
  <si>
    <t>自定义容积率</t>
  </si>
  <si>
    <t>不临65条商业街</t>
  </si>
  <si>
    <t>与级别开发程度不一致</t>
  </si>
  <si>
    <t>一般</t>
  </si>
  <si>
    <t>较好</t>
  </si>
  <si>
    <t>好</t>
  </si>
  <si>
    <t>总价</t>
  </si>
  <si>
    <t>成本法</t>
  </si>
  <si>
    <t>收益法-酒店模型</t>
  </si>
  <si>
    <t>否</t>
  </si>
  <si>
    <r>
      <t>京2</t>
    </r>
    <r>
      <rPr>
        <sz val="11"/>
        <color theme="1"/>
        <rFont val="宋体"/>
        <family val="3"/>
        <charset val="134"/>
        <scheme val="minor"/>
      </rPr>
      <t>019海不动产权第0052542号</t>
    </r>
    <phoneticPr fontId="134" type="noConversion"/>
  </si>
  <si>
    <t>京2017海不动产权第0047462号</t>
    <phoneticPr fontId="134" type="noConversion"/>
  </si>
  <si>
    <t>权利人</t>
    <phoneticPr fontId="134" type="noConversion"/>
  </si>
  <si>
    <t>北京五棵松文化体育中心有限公司</t>
    <phoneticPr fontId="134" type="noConversion"/>
  </si>
  <si>
    <t>北京五棵松卓展时代百货有限公司</t>
    <phoneticPr fontId="134" type="noConversion"/>
  </si>
  <si>
    <t>坐落</t>
    <phoneticPr fontId="134" type="noConversion"/>
  </si>
  <si>
    <r>
      <t>海淀区复兴路6</t>
    </r>
    <r>
      <rPr>
        <sz val="11"/>
        <color theme="1"/>
        <rFont val="宋体"/>
        <family val="3"/>
        <charset val="134"/>
        <scheme val="minor"/>
      </rPr>
      <t>9号院12号楼-3至4层101等2套</t>
    </r>
    <phoneticPr fontId="134" type="noConversion"/>
  </si>
  <si>
    <t>海淀区复兴路69号3号楼</t>
    <phoneticPr fontId="134" type="noConversion"/>
  </si>
  <si>
    <t>用途</t>
    <phoneticPr fontId="134" type="noConversion"/>
  </si>
  <si>
    <r>
      <t>体育文化配套、地下体育文化配套/办公、门厅</t>
    </r>
    <r>
      <rPr>
        <sz val="11"/>
        <color theme="1"/>
        <rFont val="宋体"/>
        <family val="3"/>
        <charset val="134"/>
        <scheme val="minor"/>
      </rPr>
      <t>/展厅、附属配套、配套服务、设备用房及其他，门厅/展厅，美术馆、配套服务、设备用房及其他</t>
    </r>
    <phoneticPr fontId="134" type="noConversion"/>
  </si>
  <si>
    <t>汽车库、邮局等7种用途</t>
    <phoneticPr fontId="134" type="noConversion"/>
  </si>
  <si>
    <t>楼号</t>
    <phoneticPr fontId="134" type="noConversion"/>
  </si>
  <si>
    <t>总层数</t>
    <phoneticPr fontId="134" type="noConversion"/>
  </si>
  <si>
    <t>建筑面积</t>
    <phoneticPr fontId="134" type="noConversion"/>
  </si>
  <si>
    <t>共有宗地面积</t>
    <phoneticPr fontId="134" type="noConversion"/>
  </si>
  <si>
    <t>海淀区复兴路69号院</t>
    <phoneticPr fontId="134" type="noConversion"/>
  </si>
  <si>
    <t>1号楼</t>
  </si>
  <si>
    <t>凯迪拉克</t>
    <phoneticPr fontId="134" type="noConversion"/>
  </si>
  <si>
    <t>6（-1）</t>
    <phoneticPr fontId="134" type="noConversion"/>
  </si>
  <si>
    <t>房屋建筑面积</t>
    <phoneticPr fontId="134" type="noConversion"/>
  </si>
  <si>
    <t>海淀区复兴路69号</t>
    <phoneticPr fontId="134" type="noConversion"/>
  </si>
  <si>
    <t>2号楼-1至2层101</t>
    <phoneticPr fontId="134" type="noConversion"/>
  </si>
  <si>
    <t>篮球公园</t>
    <phoneticPr fontId="134" type="noConversion"/>
  </si>
  <si>
    <t>2（-1）</t>
    <phoneticPr fontId="134" type="noConversion"/>
  </si>
  <si>
    <t>国有建设用地使用权</t>
    <phoneticPr fontId="134" type="noConversion"/>
  </si>
  <si>
    <t>京2020海不动产权第0012521</t>
    <phoneticPr fontId="134" type="noConversion"/>
  </si>
  <si>
    <t>海淀区复兴路69号院</t>
    <phoneticPr fontId="134" type="noConversion"/>
  </si>
  <si>
    <t>10号楼-3至10层101</t>
    <phoneticPr fontId="134" type="noConversion"/>
  </si>
  <si>
    <t>写字楼</t>
    <phoneticPr fontId="134" type="noConversion"/>
  </si>
  <si>
    <t>10（-3）</t>
    <phoneticPr fontId="134" type="noConversion"/>
  </si>
  <si>
    <t>未经批准不得转让</t>
    <phoneticPr fontId="134" type="noConversion"/>
  </si>
  <si>
    <t>面积</t>
    <phoneticPr fontId="134" type="noConversion"/>
  </si>
  <si>
    <t>海淀区复兴路69号院</t>
    <phoneticPr fontId="134" type="noConversion"/>
  </si>
  <si>
    <t>写字楼</t>
    <phoneticPr fontId="134" type="noConversion"/>
  </si>
  <si>
    <t>10（-3）</t>
    <phoneticPr fontId="134" type="noConversion"/>
  </si>
  <si>
    <t>其中</t>
    <phoneticPr fontId="134" type="noConversion"/>
  </si>
  <si>
    <r>
      <t>1</t>
    </r>
    <r>
      <rPr>
        <sz val="11"/>
        <color theme="1"/>
        <rFont val="宋体"/>
        <family val="3"/>
        <charset val="134"/>
        <scheme val="minor"/>
      </rPr>
      <t>1号楼-3至10层101</t>
    </r>
    <phoneticPr fontId="134" type="noConversion"/>
  </si>
  <si>
    <t>海淀区复兴路69号</t>
    <phoneticPr fontId="134" type="noConversion"/>
  </si>
  <si>
    <t>4（-3）</t>
    <phoneticPr fontId="134" type="noConversion"/>
  </si>
  <si>
    <r>
      <t>1</t>
    </r>
    <r>
      <rPr>
        <sz val="11"/>
        <color theme="1"/>
        <rFont val="宋体"/>
        <family val="3"/>
        <charset val="134"/>
        <scheme val="minor"/>
      </rPr>
      <t>2号楼-3至4层101</t>
    </r>
    <phoneticPr fontId="134" type="noConversion"/>
  </si>
  <si>
    <t>海淀区复兴路69号</t>
    <phoneticPr fontId="134" type="noConversion"/>
  </si>
  <si>
    <t>13幢-2至-1层-101</t>
    <phoneticPr fontId="134" type="noConversion"/>
  </si>
  <si>
    <t>0（-2）</t>
    <phoneticPr fontId="134" type="noConversion"/>
  </si>
  <si>
    <t>京2020海不动产权第0004732号</t>
    <phoneticPr fontId="134" type="noConversion"/>
  </si>
  <si>
    <t>16幢-1层-101</t>
    <phoneticPr fontId="134" type="noConversion"/>
  </si>
  <si>
    <t>0（-1）</t>
    <phoneticPr fontId="134" type="noConversion"/>
  </si>
  <si>
    <t>北京五棵松文化体育中心有限公司</t>
    <phoneticPr fontId="134" type="noConversion"/>
  </si>
  <si>
    <t>2（-2)</t>
    <phoneticPr fontId="134" type="noConversion"/>
  </si>
  <si>
    <t>海淀区复兴路69号院10号楼-3至10层101</t>
    <phoneticPr fontId="134" type="noConversion"/>
  </si>
  <si>
    <t xml:space="preserve"> </t>
    <phoneticPr fontId="134" type="noConversion"/>
  </si>
  <si>
    <t>体育文化配套/办公、门厅/展厅、附属配套、配套服务、设备用房及其他</t>
    <phoneticPr fontId="134" type="noConversion"/>
  </si>
  <si>
    <t>建筑面积</t>
    <phoneticPr fontId="134" type="noConversion"/>
  </si>
  <si>
    <t>地上</t>
    <phoneticPr fontId="134" type="noConversion"/>
  </si>
  <si>
    <t>地下</t>
    <phoneticPr fontId="134" type="noConversion"/>
  </si>
  <si>
    <t>地下车库</t>
    <phoneticPr fontId="134" type="noConversion"/>
  </si>
  <si>
    <t>京2018海不动产权第0019729号</t>
    <phoneticPr fontId="134" type="noConversion"/>
  </si>
  <si>
    <t>体育场馆</t>
    <phoneticPr fontId="134" type="noConversion"/>
  </si>
  <si>
    <t>北京五棵松文化体育中心有限公司</t>
    <phoneticPr fontId="134" type="noConversion"/>
  </si>
  <si>
    <t>体育场馆</t>
    <phoneticPr fontId="134" type="noConversion"/>
  </si>
  <si>
    <t>海淀区复兴路69号16幢-1层-101</t>
    <phoneticPr fontId="134" type="noConversion"/>
  </si>
  <si>
    <t>二期</t>
    <phoneticPr fontId="134" type="noConversion"/>
  </si>
  <si>
    <t>体育文化配套</t>
    <phoneticPr fontId="134" type="noConversion"/>
  </si>
  <si>
    <t>篮球公园</t>
    <phoneticPr fontId="134" type="noConversion"/>
  </si>
  <si>
    <t>写字楼</t>
    <phoneticPr fontId="134" type="noConversion"/>
  </si>
  <si>
    <t>京2018海不动产权第0034677号</t>
    <phoneticPr fontId="134" type="noConversion"/>
  </si>
  <si>
    <r>
      <t>海淀区复兴路6</t>
    </r>
    <r>
      <rPr>
        <sz val="11"/>
        <color theme="1"/>
        <rFont val="宋体"/>
        <family val="3"/>
        <charset val="134"/>
        <scheme val="minor"/>
      </rPr>
      <t>9号2号楼-1至2层101</t>
    </r>
    <phoneticPr fontId="134" type="noConversion"/>
  </si>
  <si>
    <t>篮球公园、地下篮球公园</t>
    <phoneticPr fontId="134" type="noConversion"/>
  </si>
  <si>
    <t>冰球场地</t>
    <phoneticPr fontId="134" type="noConversion"/>
  </si>
  <si>
    <t>京2017海不动产权第0058541号</t>
    <phoneticPr fontId="134" type="noConversion"/>
  </si>
  <si>
    <r>
      <t>海淀区复兴路6</t>
    </r>
    <r>
      <rPr>
        <sz val="11"/>
        <color theme="1"/>
        <rFont val="宋体"/>
        <family val="3"/>
        <charset val="134"/>
        <scheme val="minor"/>
      </rPr>
      <t>9号13幢-2至-1层-101</t>
    </r>
    <phoneticPr fontId="134" type="noConversion"/>
  </si>
  <si>
    <t>五期</t>
    <phoneticPr fontId="134" type="noConversion"/>
  </si>
  <si>
    <t>地下车库及地下通道</t>
    <phoneticPr fontId="134" type="noConversion"/>
  </si>
  <si>
    <t xml:space="preserve"> </t>
    <phoneticPr fontId="134" type="noConversion"/>
  </si>
  <si>
    <t>京2016海淀区不动产权第0055188号</t>
    <phoneticPr fontId="134" type="noConversion"/>
  </si>
  <si>
    <r>
      <t>海淀区复兴路6</t>
    </r>
    <r>
      <rPr>
        <sz val="11"/>
        <color theme="1"/>
        <rFont val="宋体"/>
        <family val="3"/>
        <charset val="134"/>
        <scheme val="minor"/>
      </rPr>
      <t>9号院1号楼</t>
    </r>
    <phoneticPr fontId="134" type="noConversion"/>
  </si>
  <si>
    <t>体育场馆、地下体育场馆、地下车库/体育馆</t>
    <phoneticPr fontId="134" type="noConversion"/>
  </si>
  <si>
    <t>其中</t>
    <phoneticPr fontId="134" type="noConversion"/>
  </si>
  <si>
    <r>
      <t>1号楼</t>
    </r>
    <r>
      <rPr>
        <sz val="11"/>
        <color theme="1"/>
        <rFont val="宋体"/>
        <family val="3"/>
        <charset val="134"/>
        <scheme val="minor"/>
      </rPr>
      <t>-1层-01</t>
    </r>
    <phoneticPr fontId="134" type="noConversion"/>
  </si>
  <si>
    <r>
      <t>1号楼</t>
    </r>
    <r>
      <rPr>
        <sz val="11"/>
        <color theme="1"/>
        <rFont val="宋体"/>
        <family val="3"/>
        <charset val="134"/>
        <scheme val="minor"/>
      </rPr>
      <t>1层01</t>
    </r>
    <phoneticPr fontId="134" type="noConversion"/>
  </si>
  <si>
    <r>
      <t>1号楼</t>
    </r>
    <r>
      <rPr>
        <sz val="11"/>
        <color theme="1"/>
        <rFont val="宋体"/>
        <family val="3"/>
        <charset val="134"/>
        <scheme val="minor"/>
      </rPr>
      <t>2层02</t>
    </r>
    <phoneticPr fontId="134" type="noConversion"/>
  </si>
  <si>
    <t>1号楼3层03</t>
    <phoneticPr fontId="134" type="noConversion"/>
  </si>
  <si>
    <t>1号楼4层04</t>
    <phoneticPr fontId="134" type="noConversion"/>
  </si>
  <si>
    <t>1号楼5层05</t>
    <phoneticPr fontId="134" type="noConversion"/>
  </si>
  <si>
    <t>1号楼6层06</t>
    <phoneticPr fontId="134" type="noConversion"/>
  </si>
  <si>
    <t>合计</t>
    <phoneticPr fontId="134" type="noConversion"/>
  </si>
  <si>
    <t>京（2023）海不动产权第0026131号</t>
    <phoneticPr fontId="134" type="noConversion"/>
  </si>
  <si>
    <t>权利人</t>
    <phoneticPr fontId="134" type="noConversion"/>
  </si>
  <si>
    <t>北京五棵松文化体育中心有限公司</t>
    <phoneticPr fontId="134" type="noConversion"/>
  </si>
  <si>
    <t>坐落</t>
    <phoneticPr fontId="134" type="noConversion"/>
  </si>
  <si>
    <t>海淀区复兴路69号院13号楼-2至2层101</t>
    <phoneticPr fontId="134" type="noConversion"/>
  </si>
  <si>
    <t>用途</t>
    <phoneticPr fontId="134" type="noConversion"/>
  </si>
  <si>
    <t>冰上运动中心</t>
    <phoneticPr fontId="134" type="noConversion"/>
  </si>
  <si>
    <t>共有宗地面积</t>
    <phoneticPr fontId="134" type="noConversion"/>
  </si>
  <si>
    <t>房屋建筑面积</t>
    <phoneticPr fontId="134" type="noConversion"/>
  </si>
  <si>
    <t>13号楼-2至2层101</t>
    <phoneticPr fontId="134" type="noConversion"/>
  </si>
  <si>
    <t>冰上运动</t>
    <phoneticPr fontId="134" type="noConversion"/>
  </si>
  <si>
    <t>南区商业</t>
    <phoneticPr fontId="134" type="noConversion"/>
  </si>
  <si>
    <t>西车库</t>
    <phoneticPr fontId="134" type="noConversion"/>
  </si>
  <si>
    <t>未改造前</t>
    <phoneticPr fontId="134" type="noConversion"/>
  </si>
  <si>
    <t>改造批复</t>
    <phoneticPr fontId="134" type="noConversion"/>
  </si>
  <si>
    <t>商业及车库</t>
    <phoneticPr fontId="134" type="noConversion"/>
  </si>
  <si>
    <t>五棵松冰上运动中心</t>
    <phoneticPr fontId="134" type="noConversion"/>
  </si>
  <si>
    <t>用地面积</t>
    <phoneticPr fontId="134" type="noConversion"/>
  </si>
  <si>
    <t>平方米</t>
    <phoneticPr fontId="134" type="noConversion"/>
  </si>
  <si>
    <t>总建筑面积</t>
    <phoneticPr fontId="134" type="noConversion"/>
  </si>
  <si>
    <t>地上</t>
    <phoneticPr fontId="134" type="noConversion"/>
  </si>
  <si>
    <t>地下</t>
    <phoneticPr fontId="134" type="noConversion"/>
  </si>
  <si>
    <t>建设内容</t>
    <phoneticPr fontId="134" type="noConversion"/>
  </si>
  <si>
    <t>冰球场地、看台及观众休息区、训练场辅助用房、设备机房、公共厅及交通空间等</t>
    <phoneticPr fontId="134" type="noConversion"/>
  </si>
  <si>
    <t>总投资</t>
    <phoneticPr fontId="134" type="noConversion"/>
  </si>
  <si>
    <t>万元</t>
    <phoneticPr fontId="134" type="noConversion"/>
  </si>
  <si>
    <t>北京五棵松文化体育中心有限公司</t>
    <phoneticPr fontId="134" type="noConversion"/>
  </si>
  <si>
    <t>建设工程规划许可证</t>
    <phoneticPr fontId="134" type="noConversion"/>
  </si>
  <si>
    <t>建设规模</t>
    <phoneticPr fontId="134" type="noConversion"/>
  </si>
  <si>
    <t>2层</t>
    <phoneticPr fontId="134" type="noConversion"/>
  </si>
  <si>
    <t>人防</t>
    <phoneticPr fontId="134" type="noConversion"/>
  </si>
  <si>
    <t>建筑工程施工许可证</t>
    <phoneticPr fontId="134" type="noConversion"/>
  </si>
  <si>
    <t>合同价格</t>
    <phoneticPr fontId="134" type="noConversion"/>
  </si>
  <si>
    <t>小计</t>
    <phoneticPr fontId="134" type="noConversion"/>
  </si>
  <si>
    <t>较好</t>
    <phoneticPr fontId="40" type="noConversion"/>
  </si>
  <si>
    <t>较好</t>
    <phoneticPr fontId="24" type="noConversion"/>
  </si>
  <si>
    <t>较好</t>
    <phoneticPr fontId="40" type="noConversion"/>
  </si>
  <si>
    <t>七通</t>
    <phoneticPr fontId="24" type="noConversion"/>
  </si>
  <si>
    <t>成本比率</t>
  </si>
  <si>
    <t>燃气</t>
  </si>
  <si>
    <t>情况3</t>
  </si>
  <si>
    <t>正常</t>
  </si>
  <si>
    <t>自行开发建设</t>
  </si>
  <si>
    <t>非个人房产</t>
  </si>
  <si>
    <t>总建筑面积</t>
  </si>
  <si>
    <t>估价对象面积</t>
  </si>
  <si>
    <t>总地价款</t>
  </si>
  <si>
    <t>仅含出让金</t>
  </si>
  <si>
    <t>估价对象2-冰上</t>
    <phoneticPr fontId="134" type="noConversion"/>
  </si>
  <si>
    <t>估价对象3-篮球</t>
    <phoneticPr fontId="134" type="noConversion"/>
  </si>
  <si>
    <t>估价对象4-写字楼</t>
    <phoneticPr fontId="134" type="noConversion"/>
  </si>
  <si>
    <t>估价对象5-南区商业</t>
    <phoneticPr fontId="134" type="noConversion"/>
  </si>
  <si>
    <t>估价对象6-北区商业及车库</t>
    <phoneticPr fontId="134" type="noConversion"/>
  </si>
  <si>
    <t>需求净值到65.7亿</t>
    <phoneticPr fontId="134" type="noConversion"/>
  </si>
  <si>
    <t>含篮球</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</si>
</sst>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2]* #,##0.00_);_([$€-2]* \(#,##0.00\);_([$€-2]* &quot;-&quot;??_)"/>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0"/>
      <name val="宋体"/>
      <family val="3"/>
      <charset val="134"/>
      <scheme val="minor"/>
    </font>
    <font>
      <sz val="11"/>
      <color rgb="FFFF0000"/>
      <name val="宋体"/>
      <family val="3"/>
      <charset val="134"/>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7" tint="0.39991454817346722"/>
        <bgColor indexed="64"/>
      </patternFill>
    </fill>
    <fill>
      <patternFill patternType="solid">
        <fgColor theme="5" tint="0.39991454817346722"/>
        <bgColor indexed="64"/>
      </patternFill>
    </fill>
    <fill>
      <patternFill patternType="solid">
        <fgColor theme="7" tint="0.59999389629810485"/>
        <bgColor indexed="64"/>
      </patternFill>
    </fill>
    <fill>
      <patternFill patternType="solid">
        <fgColor theme="5" tint="-0.249977111117893"/>
        <bgColor indexed="64"/>
      </patternFill>
    </fill>
  </fills>
  <borders count="18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hair">
        <color auto="1"/>
      </right>
      <top style="medium">
        <color auto="1"/>
      </top>
      <bottom style="thin">
        <color auto="1"/>
      </bottom>
      <diagonal/>
    </border>
    <border>
      <left style="hair">
        <color auto="1"/>
      </left>
      <right style="hair">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top/>
      <bottom style="hair">
        <color auto="1"/>
      </bottom>
      <diagonal/>
    </border>
    <border>
      <left style="medium">
        <color auto="1"/>
      </left>
      <right style="hair">
        <color auto="1"/>
      </right>
      <top style="hair">
        <color auto="1"/>
      </top>
      <bottom style="hair">
        <color auto="1"/>
      </bottom>
      <diagonal/>
    </border>
    <border>
      <left style="medium">
        <color auto="1"/>
      </left>
      <right style="hair">
        <color auto="1"/>
      </right>
      <top/>
      <bottom/>
      <diagonal/>
    </border>
    <border>
      <left/>
      <right style="hair">
        <color auto="1"/>
      </right>
      <top style="hair">
        <color auto="1"/>
      </top>
      <bottom/>
      <diagonal/>
    </border>
    <border>
      <left style="medium">
        <color auto="1"/>
      </left>
      <right style="hair">
        <color auto="1"/>
      </right>
      <top/>
      <bottom style="medium">
        <color auto="1"/>
      </bottom>
      <diagonal/>
    </border>
    <border>
      <left/>
      <right style="hair">
        <color auto="1"/>
      </right>
      <top style="hair">
        <color auto="1"/>
      </top>
      <bottom style="medium">
        <color auto="1"/>
      </bottom>
      <diagonal/>
    </border>
  </borders>
  <cellStyleXfs count="23">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196" fontId="95" fillId="0" borderId="0" applyBorder="0"/>
    <xf numFmtId="0" fontId="95" fillId="0" borderId="0" applyBorder="0"/>
    <xf numFmtId="43" fontId="95" fillId="0" borderId="0" applyFont="0" applyFill="0" applyBorder="0" applyAlignment="0" applyProtection="0">
      <alignment vertical="center"/>
    </xf>
    <xf numFmtId="9" fontId="95" fillId="0" borderId="0" applyFont="0" applyFill="0" applyBorder="0" applyAlignment="0" applyProtection="0"/>
  </cellStyleXfs>
  <cellXfs count="38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196" fontId="112" fillId="22" borderId="13" xfId="19" applyFont="1" applyFill="1" applyBorder="1" applyAlignment="1">
      <alignment horizontal="center"/>
    </xf>
    <xf numFmtId="196" fontId="112" fillId="23" borderId="176" xfId="19" applyFont="1" applyFill="1" applyBorder="1" applyAlignment="1">
      <alignment horizontal="center"/>
    </xf>
    <xf numFmtId="14" fontId="112" fillId="23" borderId="177" xfId="19" quotePrefix="1" applyNumberFormat="1" applyFont="1" applyFill="1" applyBorder="1" applyAlignment="1">
      <alignment horizontal="center"/>
    </xf>
    <xf numFmtId="14" fontId="112" fillId="23" borderId="178" xfId="19" quotePrefix="1" applyNumberFormat="1" applyFont="1" applyFill="1" applyBorder="1" applyAlignment="1">
      <alignment horizontal="center"/>
    </xf>
    <xf numFmtId="49" fontId="112" fillId="23" borderId="178" xfId="19" applyNumberFormat="1" applyFont="1" applyFill="1" applyBorder="1" applyAlignment="1">
      <alignment horizontal="center"/>
    </xf>
    <xf numFmtId="14" fontId="112" fillId="23" borderId="178" xfId="19" quotePrefix="1" applyNumberFormat="1" applyFont="1" applyFill="1" applyBorder="1" applyAlignment="1">
      <alignment horizontal="center" vertical="center"/>
    </xf>
    <xf numFmtId="14" fontId="269" fillId="23" borderId="178" xfId="19" quotePrefix="1" applyNumberFormat="1" applyFont="1" applyFill="1" applyBorder="1" applyAlignment="1">
      <alignment horizontal="center" vertical="center"/>
    </xf>
    <xf numFmtId="14" fontId="112" fillId="5" borderId="178" xfId="19" quotePrefix="1" applyNumberFormat="1" applyFont="1" applyFill="1" applyBorder="1" applyAlignment="1">
      <alignment horizontal="center" vertical="center"/>
    </xf>
    <xf numFmtId="14" fontId="112" fillId="5" borderId="178" xfId="19" quotePrefix="1" applyNumberFormat="1" applyFont="1" applyFill="1" applyBorder="1" applyAlignment="1">
      <alignment horizontal="center" vertical="center" wrapText="1"/>
    </xf>
    <xf numFmtId="0" fontId="95" fillId="0" borderId="0" xfId="20"/>
    <xf numFmtId="0" fontId="95" fillId="0" borderId="179" xfId="20" applyBorder="1"/>
    <xf numFmtId="196" fontId="107" fillId="0" borderId="180" xfId="19" applyFont="1" applyBorder="1"/>
    <xf numFmtId="43" fontId="107" fillId="0" borderId="0" xfId="21" applyFont="1" applyAlignment="1"/>
    <xf numFmtId="43" fontId="0" fillId="0" borderId="0" xfId="21" applyFont="1" applyAlignment="1"/>
    <xf numFmtId="43" fontId="0" fillId="0" borderId="0" xfId="21" applyFont="1" applyFill="1" applyBorder="1" applyAlignment="1"/>
    <xf numFmtId="43" fontId="0" fillId="0" borderId="0" xfId="21" applyFont="1" applyBorder="1" applyAlignment="1"/>
    <xf numFmtId="181" fontId="107" fillId="0" borderId="180" xfId="22" applyNumberFormat="1" applyFont="1" applyBorder="1" applyAlignment="1"/>
    <xf numFmtId="43" fontId="107" fillId="0" borderId="0" xfId="21" applyFont="1" applyFill="1" applyBorder="1" applyAlignment="1"/>
    <xf numFmtId="43" fontId="107" fillId="0" borderId="0" xfId="21" applyFont="1" applyBorder="1" applyAlignment="1"/>
    <xf numFmtId="0" fontId="107" fillId="5" borderId="179" xfId="20" applyFont="1" applyFill="1" applyBorder="1"/>
    <xf numFmtId="196" fontId="112" fillId="5" borderId="180" xfId="19" applyFont="1" applyFill="1" applyBorder="1"/>
    <xf numFmtId="43" fontId="112" fillId="5" borderId="0" xfId="21" applyFont="1" applyFill="1" applyAlignment="1"/>
    <xf numFmtId="0" fontId="95" fillId="5" borderId="0" xfId="20" applyFill="1"/>
    <xf numFmtId="0" fontId="107" fillId="0" borderId="179" xfId="20" applyFont="1" applyBorder="1"/>
    <xf numFmtId="196" fontId="107" fillId="24" borderId="180" xfId="19" applyFont="1" applyFill="1" applyBorder="1"/>
    <xf numFmtId="196" fontId="107" fillId="10" borderId="180" xfId="19" applyFont="1" applyFill="1" applyBorder="1"/>
    <xf numFmtId="196" fontId="107" fillId="25" borderId="180" xfId="19" applyFont="1" applyFill="1" applyBorder="1"/>
    <xf numFmtId="43" fontId="107" fillId="0" borderId="181" xfId="21" applyFont="1" applyBorder="1" applyAlignment="1"/>
    <xf numFmtId="196" fontId="112" fillId="0" borderId="180" xfId="19" applyFont="1" applyBorder="1"/>
    <xf numFmtId="43" fontId="112" fillId="0" borderId="0" xfId="21" applyFont="1" applyAlignment="1"/>
    <xf numFmtId="0" fontId="107" fillId="5" borderId="182" xfId="20" applyFont="1" applyFill="1" applyBorder="1"/>
    <xf numFmtId="0" fontId="107" fillId="0" borderId="182" xfId="20" applyFont="1" applyBorder="1"/>
    <xf numFmtId="0" fontId="95" fillId="0" borderId="183" xfId="20" applyBorder="1"/>
    <xf numFmtId="196" fontId="107" fillId="0" borderId="184" xfId="19" applyFont="1" applyBorder="1"/>
    <xf numFmtId="0" fontId="95" fillId="0" borderId="185" xfId="20" applyBorder="1"/>
    <xf numFmtId="196" fontId="107" fillId="0" borderId="186" xfId="19" applyFont="1" applyBorder="1"/>
    <xf numFmtId="43" fontId="107" fillId="0" borderId="47" xfId="21" applyFont="1" applyBorder="1" applyAlignment="1"/>
    <xf numFmtId="43" fontId="95" fillId="0" borderId="0" xfId="20" applyNumberFormat="1"/>
    <xf numFmtId="43" fontId="107" fillId="0" borderId="0" xfId="20" applyNumberFormat="1" applyFont="1"/>
    <xf numFmtId="43" fontId="54" fillId="0" borderId="34" xfId="4" applyNumberFormat="1" applyFont="1" applyFill="1" applyBorder="1" applyAlignment="1" applyProtection="1">
      <alignment horizontal="left" vertical="center"/>
      <protection locked="0"/>
    </xf>
    <xf numFmtId="0" fontId="95" fillId="9" borderId="0" xfId="10" applyFont="1" applyFill="1">
      <alignment vertical="center"/>
    </xf>
    <xf numFmtId="0" fontId="95" fillId="9" borderId="0" xfId="10" applyFill="1">
      <alignment vertical="center"/>
    </xf>
    <xf numFmtId="0" fontId="95" fillId="5" borderId="0" xfId="10" applyFill="1">
      <alignment vertical="center"/>
    </xf>
    <xf numFmtId="0" fontId="95" fillId="0" borderId="0" xfId="10">
      <alignment vertical="center"/>
    </xf>
    <xf numFmtId="0" fontId="270" fillId="0" borderId="0" xfId="10" applyFont="1">
      <alignment vertical="center"/>
    </xf>
    <xf numFmtId="0" fontId="95" fillId="0" borderId="0" xfId="10" applyFont="1">
      <alignment vertical="center"/>
    </xf>
    <xf numFmtId="14" fontId="95" fillId="9" borderId="0" xfId="10" applyNumberFormat="1" applyFill="1">
      <alignment vertical="center"/>
    </xf>
    <xf numFmtId="0" fontId="95" fillId="8" borderId="0" xfId="10" applyFont="1" applyFill="1">
      <alignment vertical="center"/>
    </xf>
    <xf numFmtId="0" fontId="95" fillId="26" borderId="0" xfId="10" applyFill="1">
      <alignment vertical="center"/>
    </xf>
    <xf numFmtId="0" fontId="95" fillId="5" borderId="0" xfId="10" applyFont="1" applyFill="1">
      <alignment vertical="center"/>
    </xf>
    <xf numFmtId="0" fontId="95" fillId="27" borderId="0" xfId="10" applyFont="1" applyFill="1">
      <alignment vertical="center"/>
    </xf>
    <xf numFmtId="14" fontId="95" fillId="0" borderId="0" xfId="10" applyNumberFormat="1">
      <alignment vertical="center"/>
    </xf>
    <xf numFmtId="31" fontId="95" fillId="0" borderId="0" xfId="10" applyNumberFormat="1">
      <alignment vertical="center"/>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3">
    <cellStyle name="百分比" xfId="17" builtinId="5"/>
    <cellStyle name="百分比 2" xfId="14"/>
    <cellStyle name="百分比 3" xfId="22"/>
    <cellStyle name="常规" xfId="0" builtinId="0"/>
    <cellStyle name="常规 10" xfId="20"/>
    <cellStyle name="常规 11"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1"/>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561562</xdr:colOff>
      <xdr:row>15</xdr:row>
      <xdr:rowOff>75869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304762" cy="26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1-1-0137&#21326;&#29081;LIVE/P02DYGJ1/&#26368;&#32456;/&#65288;&#27979;&#31639;&#34920;&#65289;&#21326;&#29081;LIVE-&#20912;&#19978;&#36816;&#21160;&#20013;&#245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1-0137&#21326;&#29081;LIVE/P02DYGJ1/&#26368;&#32456;/&#65288;&#27979;&#31639;&#34920;&#65289;&#21326;&#29081;LIVE-&#21335;&#21306;&#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21271;&#21306;&#21830;&#19994;-&#29616;&#25151;&#349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esktop/&#19968;&#26399;&#65288;&#20975;&#36842;&#25289;&#20811;&#20013;&#24515;&#12289;M&#31354;&#38388;&#12289;&#31726;&#29699;&#20844;&#22253;+&#30005;&#31454;&#39302;&#65289;&#25104;&#26412;&#26126;&#32454;%20202312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7979;&#31639;&#34920;-&#20912;&#19978;&#36816;&#2116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7979;&#31639;&#34920;-&#31726;&#29699;&#20013;&#2451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7979;&#31639;&#34920;-&#20889;&#23383;&#2700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7979;&#31639;&#34920;-&#21335;&#21306;&#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汇总）"/>
      <sheetName val="成本法"/>
      <sheetName val="基准地价修正"/>
      <sheetName val="土地比较法-住宅、综合"/>
      <sheetName val="成本法 (元)"/>
      <sheetName val="假设开发法"/>
      <sheetName val="收益法（汇总）"/>
      <sheetName val="收益法-体育场馆"/>
      <sheetName val="收益法 (元)"/>
      <sheetName val="收益法-车位"/>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 val="不动产权证-面积指标"/>
      <sheetName val="合同"/>
      <sheetName val="土地案例"/>
      <sheetName val="冰上运动"/>
      <sheetName val="收支"/>
      <sheetName val="面积指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体育场馆</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篮球公园</v>
          </cell>
          <cell r="B3" t="str">
            <v>收益法-商业</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体育文化配套</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冰球场地</v>
          </cell>
          <cell r="B5" t="str">
            <v>收益法-体育场馆</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收益法-车位</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冰上运动</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2"/>
      <sheetData sheetId="23"/>
      <sheetData sheetId="24"/>
      <sheetData sheetId="25"/>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汇总）"/>
      <sheetName val="成本法"/>
      <sheetName val="基准地价修正"/>
      <sheetName val="土地比较法-住宅、综合"/>
      <sheetName val="成本法 (元)"/>
      <sheetName val="假设开发法"/>
      <sheetName val="收益法（汇总）"/>
      <sheetName val="收益法-商业"/>
      <sheetName val="收益法 (元)"/>
      <sheetName val="收益法-车位"/>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地价"/>
      <sheetName val="典型户型修正"/>
      <sheetName val="成本法（废）"/>
      <sheetName val="区片价"/>
      <sheetName val="因素修正幅度"/>
      <sheetName val="存贷款利率"/>
      <sheetName val="区片价（范围）"/>
      <sheetName val="不动产权证-面积指标"/>
      <sheetName val="合同"/>
      <sheetName val="土地案例"/>
      <sheetName val="冰上运动"/>
      <sheetName val="收支"/>
      <sheetName val="面积指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体育场馆</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篮球公园</v>
          </cell>
          <cell r="B3" t="str">
            <v>收益法-商业</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体育文化配套</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冰球场地</v>
          </cell>
          <cell r="B5" t="str">
            <v>收益法-写字楼</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收益法-车位</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3">
          <cell r="D3">
            <v>84518.42</v>
          </cell>
          <cell r="E3">
            <v>53404.31</v>
          </cell>
        </row>
        <row r="17">
          <cell r="C17" t="str">
            <v>项目类型</v>
          </cell>
        </row>
        <row r="19">
          <cell r="C19" t="str">
            <v>南区商业</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row r="19">
          <cell r="C19">
            <v>203022</v>
          </cell>
        </row>
      </sheetData>
      <sheetData sheetId="18"/>
      <sheetData sheetId="19"/>
      <sheetData sheetId="20"/>
      <sheetData sheetId="2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2"/>
      <sheetData sheetId="23"/>
      <sheetData sheetId="24"/>
      <sheetData sheetId="25"/>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不动产权证-面积指标"/>
      <sheetName val="冰上运动"/>
      <sheetName val="项目基本情况"/>
      <sheetName val="数据-基础表"/>
      <sheetName val="数据-汇总表"/>
      <sheetName val="数据-取费表"/>
      <sheetName val="估价对象房地状况"/>
      <sheetName val="系统读取表"/>
      <sheetName val="结果表"/>
      <sheetName val="成本法 (元)"/>
      <sheetName val="基准地价修正"/>
      <sheetName val="收益法 (元)"/>
      <sheetName val="假设开发法"/>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收益法-车库"/>
      <sheetName val="投资物业租约明细（整理）"/>
      <sheetName val="成本法"/>
      <sheetName val="收益法-酒店模型"/>
      <sheetName val="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43664</v>
          </cell>
          <cell r="C14">
            <v>0</v>
          </cell>
          <cell r="D14">
            <v>51302</v>
          </cell>
          <cell r="G14">
            <v>51302</v>
          </cell>
          <cell r="I14">
            <v>43081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场次"/>
      <sheetName val="Sheet1"/>
      <sheetName val="汇总（万元）"/>
      <sheetName val="凯迪拉克 (万元)"/>
      <sheetName val="M空间 (万元)"/>
      <sheetName val="篮球公园 (万元)"/>
      <sheetName val="汇总"/>
      <sheetName val="凯迪拉克（含分摊）"/>
      <sheetName val="M空间（含分摊）"/>
      <sheetName val="篮球公园（含分摊）"/>
      <sheetName val="凯迪拉克"/>
      <sheetName val="M空间"/>
      <sheetName val="篮球公园"/>
      <sheetName val="分摊（凯迪拉克）"/>
      <sheetName val="分摊（M空间）"/>
      <sheetName val="分摊（篮球公园）"/>
      <sheetName val="职能部门（分摊）"/>
      <sheetName val="税金及附加"/>
      <sheetName val="折旧与摊销"/>
      <sheetName val="比例"/>
    </sheetNames>
    <sheetDataSet>
      <sheetData sheetId="0"/>
      <sheetData sheetId="1"/>
      <sheetData sheetId="2"/>
      <sheetData sheetId="3"/>
      <sheetData sheetId="4"/>
      <sheetData sheetId="5"/>
      <sheetData sheetId="6"/>
      <sheetData sheetId="7">
        <row r="2">
          <cell r="C2">
            <v>0</v>
          </cell>
          <cell r="D2">
            <v>0</v>
          </cell>
          <cell r="E2">
            <v>0</v>
          </cell>
          <cell r="F2">
            <v>0</v>
          </cell>
          <cell r="G2">
            <v>0</v>
          </cell>
          <cell r="H2">
            <v>0</v>
          </cell>
          <cell r="I2">
            <v>0</v>
          </cell>
          <cell r="J2">
            <v>0</v>
          </cell>
          <cell r="K2">
            <v>0</v>
          </cell>
          <cell r="L2">
            <v>0</v>
          </cell>
          <cell r="M2">
            <v>0</v>
          </cell>
          <cell r="N2">
            <v>0</v>
          </cell>
          <cell r="P2">
            <v>0</v>
          </cell>
          <cell r="Q2">
            <v>0</v>
          </cell>
          <cell r="R2">
            <v>0</v>
          </cell>
          <cell r="S2">
            <v>0</v>
          </cell>
          <cell r="T2">
            <v>0</v>
          </cell>
          <cell r="U2">
            <v>0</v>
          </cell>
          <cell r="V2">
            <v>0</v>
          </cell>
          <cell r="W2">
            <v>0</v>
          </cell>
          <cell r="X2">
            <v>0</v>
          </cell>
          <cell r="Y2">
            <v>0</v>
          </cell>
          <cell r="Z2">
            <v>0</v>
          </cell>
          <cell r="AA2">
            <v>0</v>
          </cell>
          <cell r="AC2">
            <v>0</v>
          </cell>
          <cell r="AD2">
            <v>0</v>
          </cell>
          <cell r="AE2">
            <v>0</v>
          </cell>
          <cell r="AF2">
            <v>0</v>
          </cell>
          <cell r="AG2">
            <v>0</v>
          </cell>
          <cell r="AH2">
            <v>0</v>
          </cell>
          <cell r="AI2">
            <v>0</v>
          </cell>
          <cell r="AJ2">
            <v>0</v>
          </cell>
          <cell r="AK2">
            <v>0</v>
          </cell>
          <cell r="AL2">
            <v>0</v>
          </cell>
          <cell r="AM2">
            <v>0</v>
          </cell>
          <cell r="AN2">
            <v>0</v>
          </cell>
          <cell r="AP2">
            <v>0</v>
          </cell>
          <cell r="AQ2">
            <v>0</v>
          </cell>
          <cell r="AR2">
            <v>0</v>
          </cell>
          <cell r="AS2">
            <v>0</v>
          </cell>
          <cell r="AT2">
            <v>0</v>
          </cell>
          <cell r="AU2">
            <v>0</v>
          </cell>
          <cell r="AV2">
            <v>0</v>
          </cell>
          <cell r="AW2">
            <v>0</v>
          </cell>
          <cell r="AX2">
            <v>0</v>
          </cell>
          <cell r="AY2">
            <v>0</v>
          </cell>
          <cell r="AZ2">
            <v>0</v>
          </cell>
          <cell r="BA2">
            <v>0</v>
          </cell>
          <cell r="BC2">
            <v>0</v>
          </cell>
          <cell r="BD2">
            <v>0</v>
          </cell>
          <cell r="BE2">
            <v>0</v>
          </cell>
          <cell r="BF2">
            <v>0</v>
          </cell>
          <cell r="BG2">
            <v>0</v>
          </cell>
          <cell r="BH2">
            <v>0</v>
          </cell>
          <cell r="BI2">
            <v>0</v>
          </cell>
          <cell r="BJ2">
            <v>0</v>
          </cell>
          <cell r="BK2">
            <v>0</v>
          </cell>
          <cell r="BL2">
            <v>0</v>
          </cell>
          <cell r="BM2">
            <v>0</v>
          </cell>
          <cell r="BN2">
            <v>0</v>
          </cell>
        </row>
        <row r="3">
          <cell r="C3">
            <v>0</v>
          </cell>
          <cell r="D3">
            <v>0</v>
          </cell>
          <cell r="E3">
            <v>0</v>
          </cell>
          <cell r="F3">
            <v>0</v>
          </cell>
          <cell r="G3">
            <v>0</v>
          </cell>
          <cell r="H3">
            <v>0</v>
          </cell>
          <cell r="I3">
            <v>0</v>
          </cell>
          <cell r="J3">
            <v>0</v>
          </cell>
          <cell r="K3">
            <v>0</v>
          </cell>
          <cell r="L3">
            <v>0</v>
          </cell>
          <cell r="M3">
            <v>0</v>
          </cell>
          <cell r="N3">
            <v>0</v>
          </cell>
          <cell r="P3">
            <v>0</v>
          </cell>
          <cell r="Q3">
            <v>0</v>
          </cell>
          <cell r="R3">
            <v>0</v>
          </cell>
          <cell r="S3">
            <v>0</v>
          </cell>
          <cell r="T3">
            <v>0</v>
          </cell>
          <cell r="U3">
            <v>0</v>
          </cell>
          <cell r="V3">
            <v>0</v>
          </cell>
          <cell r="W3">
            <v>0</v>
          </cell>
          <cell r="X3">
            <v>0</v>
          </cell>
          <cell r="Y3">
            <v>0</v>
          </cell>
          <cell r="Z3">
            <v>0</v>
          </cell>
          <cell r="AA3">
            <v>0</v>
          </cell>
          <cell r="AC3">
            <v>0</v>
          </cell>
          <cell r="AD3">
            <v>0</v>
          </cell>
          <cell r="AE3">
            <v>0</v>
          </cell>
          <cell r="AF3">
            <v>0</v>
          </cell>
          <cell r="AG3">
            <v>0</v>
          </cell>
          <cell r="AH3">
            <v>0</v>
          </cell>
          <cell r="AI3">
            <v>0</v>
          </cell>
          <cell r="AJ3">
            <v>0</v>
          </cell>
          <cell r="AK3">
            <v>0</v>
          </cell>
          <cell r="AL3">
            <v>0</v>
          </cell>
          <cell r="AM3">
            <v>0</v>
          </cell>
          <cell r="AN3">
            <v>0</v>
          </cell>
          <cell r="AP3">
            <v>0</v>
          </cell>
          <cell r="AQ3">
            <v>0</v>
          </cell>
          <cell r="AR3">
            <v>0</v>
          </cell>
          <cell r="AS3">
            <v>0</v>
          </cell>
          <cell r="AT3">
            <v>0</v>
          </cell>
          <cell r="AU3">
            <v>0</v>
          </cell>
          <cell r="AV3">
            <v>0</v>
          </cell>
          <cell r="AW3">
            <v>0</v>
          </cell>
          <cell r="AX3">
            <v>0</v>
          </cell>
          <cell r="AY3">
            <v>0</v>
          </cell>
          <cell r="AZ3">
            <v>0</v>
          </cell>
          <cell r="BA3">
            <v>0</v>
          </cell>
          <cell r="BC3">
            <v>0</v>
          </cell>
          <cell r="BD3">
            <v>0</v>
          </cell>
          <cell r="BE3">
            <v>0</v>
          </cell>
          <cell r="BF3">
            <v>0</v>
          </cell>
          <cell r="BG3">
            <v>0</v>
          </cell>
          <cell r="BH3">
            <v>0</v>
          </cell>
          <cell r="BI3">
            <v>0</v>
          </cell>
          <cell r="BJ3">
            <v>0</v>
          </cell>
          <cell r="BK3">
            <v>0</v>
          </cell>
          <cell r="BL3">
            <v>0</v>
          </cell>
          <cell r="BM3">
            <v>0</v>
          </cell>
          <cell r="BN3">
            <v>0</v>
          </cell>
        </row>
        <row r="4">
          <cell r="C4">
            <v>0</v>
          </cell>
          <cell r="D4">
            <v>0</v>
          </cell>
          <cell r="E4">
            <v>0</v>
          </cell>
          <cell r="F4">
            <v>0</v>
          </cell>
          <cell r="G4">
            <v>0</v>
          </cell>
          <cell r="H4">
            <v>0</v>
          </cell>
          <cell r="I4">
            <v>0</v>
          </cell>
          <cell r="J4">
            <v>0</v>
          </cell>
          <cell r="K4">
            <v>0</v>
          </cell>
          <cell r="L4">
            <v>0</v>
          </cell>
          <cell r="M4">
            <v>0</v>
          </cell>
          <cell r="N4">
            <v>0</v>
          </cell>
          <cell r="P4">
            <v>0</v>
          </cell>
          <cell r="Q4">
            <v>0</v>
          </cell>
          <cell r="R4">
            <v>0</v>
          </cell>
          <cell r="S4">
            <v>0</v>
          </cell>
          <cell r="T4">
            <v>0</v>
          </cell>
          <cell r="U4">
            <v>0</v>
          </cell>
          <cell r="V4">
            <v>0</v>
          </cell>
          <cell r="W4">
            <v>0</v>
          </cell>
          <cell r="X4">
            <v>0</v>
          </cell>
          <cell r="Y4">
            <v>0</v>
          </cell>
          <cell r="Z4">
            <v>0</v>
          </cell>
          <cell r="AA4">
            <v>0</v>
          </cell>
          <cell r="AC4">
            <v>0</v>
          </cell>
          <cell r="AD4">
            <v>0</v>
          </cell>
          <cell r="AE4">
            <v>0</v>
          </cell>
          <cell r="AF4">
            <v>0</v>
          </cell>
          <cell r="AG4">
            <v>0</v>
          </cell>
          <cell r="AH4">
            <v>0</v>
          </cell>
          <cell r="AI4">
            <v>0</v>
          </cell>
          <cell r="AJ4">
            <v>0</v>
          </cell>
          <cell r="AK4">
            <v>0</v>
          </cell>
          <cell r="AL4">
            <v>0</v>
          </cell>
          <cell r="AM4">
            <v>0</v>
          </cell>
          <cell r="AN4">
            <v>0</v>
          </cell>
          <cell r="AP4">
            <v>0</v>
          </cell>
          <cell r="AQ4">
            <v>0</v>
          </cell>
          <cell r="AR4">
            <v>0</v>
          </cell>
          <cell r="AS4">
            <v>0</v>
          </cell>
          <cell r="AT4">
            <v>0</v>
          </cell>
          <cell r="AU4">
            <v>0</v>
          </cell>
          <cell r="AV4">
            <v>0</v>
          </cell>
          <cell r="AW4">
            <v>0</v>
          </cell>
          <cell r="AX4">
            <v>0</v>
          </cell>
          <cell r="AY4">
            <v>0</v>
          </cell>
          <cell r="AZ4">
            <v>0</v>
          </cell>
          <cell r="BA4">
            <v>0</v>
          </cell>
          <cell r="BC4">
            <v>0</v>
          </cell>
          <cell r="BD4">
            <v>0</v>
          </cell>
          <cell r="BE4">
            <v>0</v>
          </cell>
          <cell r="BF4">
            <v>0</v>
          </cell>
          <cell r="BG4">
            <v>0</v>
          </cell>
          <cell r="BH4">
            <v>0</v>
          </cell>
          <cell r="BI4">
            <v>0</v>
          </cell>
          <cell r="BJ4">
            <v>0</v>
          </cell>
          <cell r="BK4">
            <v>0</v>
          </cell>
          <cell r="BL4">
            <v>0</v>
          </cell>
          <cell r="BM4">
            <v>0</v>
          </cell>
          <cell r="BN4">
            <v>0</v>
          </cell>
        </row>
        <row r="5">
          <cell r="C5">
            <v>0</v>
          </cell>
          <cell r="D5">
            <v>0</v>
          </cell>
          <cell r="E5">
            <v>13249472.300000001</v>
          </cell>
          <cell r="F5">
            <v>6145596.8899999997</v>
          </cell>
          <cell r="G5">
            <v>5362917.9749999996</v>
          </cell>
          <cell r="H5">
            <v>2130086.92</v>
          </cell>
          <cell r="I5">
            <v>3900672.8475000001</v>
          </cell>
          <cell r="J5">
            <v>31563943.48</v>
          </cell>
          <cell r="K5">
            <v>5688687.3399999999</v>
          </cell>
          <cell r="L5">
            <v>16064501.17</v>
          </cell>
          <cell r="M5">
            <v>11371796.380000001</v>
          </cell>
          <cell r="N5">
            <v>15005086.76</v>
          </cell>
          <cell r="O5">
            <v>110482762.0625</v>
          </cell>
          <cell r="P5">
            <v>3548200.6244999999</v>
          </cell>
          <cell r="Q5">
            <v>1967345.9894999999</v>
          </cell>
          <cell r="R5">
            <v>12013467.562200001</v>
          </cell>
          <cell r="S5">
            <v>2425930.7519999999</v>
          </cell>
          <cell r="T5">
            <v>17692444.614700001</v>
          </cell>
          <cell r="U5">
            <v>3668714.0019999999</v>
          </cell>
          <cell r="V5">
            <v>17435624.879700001</v>
          </cell>
          <cell r="W5">
            <v>7575690.2374999998</v>
          </cell>
          <cell r="X5">
            <v>3484384.9550000001</v>
          </cell>
          <cell r="Y5">
            <v>26548226.501499999</v>
          </cell>
          <cell r="Z5">
            <v>41252891.954000004</v>
          </cell>
          <cell r="AA5">
            <v>-5923609.8600000003</v>
          </cell>
          <cell r="AB5">
            <v>131689312.21259999</v>
          </cell>
          <cell r="AC5">
            <v>3723814.3004999999</v>
          </cell>
          <cell r="AD5">
            <v>0</v>
          </cell>
          <cell r="AE5">
            <v>1581509.43</v>
          </cell>
          <cell r="AF5">
            <v>13220199.947000001</v>
          </cell>
          <cell r="AG5">
            <v>0</v>
          </cell>
          <cell r="AH5">
            <v>1600</v>
          </cell>
          <cell r="AI5">
            <v>590580</v>
          </cell>
          <cell r="AJ5">
            <v>7734274.8181999996</v>
          </cell>
          <cell r="AK5">
            <v>0</v>
          </cell>
          <cell r="AL5">
            <v>928985.85499999998</v>
          </cell>
          <cell r="AM5">
            <v>14548877.3664</v>
          </cell>
          <cell r="AN5">
            <v>14317827.593499999</v>
          </cell>
          <cell r="AO5">
            <v>56647669.310599998</v>
          </cell>
          <cell r="AP5">
            <v>2228188.4975000001</v>
          </cell>
          <cell r="AQ5">
            <v>268000</v>
          </cell>
          <cell r="AR5">
            <v>374800</v>
          </cell>
          <cell r="AS5">
            <v>1350</v>
          </cell>
          <cell r="AT5">
            <v>0</v>
          </cell>
          <cell r="AU5">
            <v>303400</v>
          </cell>
          <cell r="AV5">
            <v>2160399.41</v>
          </cell>
          <cell r="AW5">
            <v>0</v>
          </cell>
          <cell r="AX5">
            <v>568073</v>
          </cell>
          <cell r="AY5">
            <v>364285.71</v>
          </cell>
          <cell r="AZ5">
            <v>37251630</v>
          </cell>
          <cell r="BA5">
            <v>0</v>
          </cell>
          <cell r="BB5">
            <v>43520126.6175</v>
          </cell>
          <cell r="BC5">
            <v>11791006.449999999</v>
          </cell>
          <cell r="BD5">
            <v>5426600</v>
          </cell>
          <cell r="BE5">
            <v>76476.19</v>
          </cell>
          <cell r="BF5">
            <v>0</v>
          </cell>
          <cell r="BG5">
            <v>4579200</v>
          </cell>
          <cell r="BH5">
            <v>0</v>
          </cell>
          <cell r="BI5">
            <v>10000</v>
          </cell>
          <cell r="BJ5">
            <v>4589199.9787999997</v>
          </cell>
          <cell r="BK5">
            <v>160000</v>
          </cell>
          <cell r="BL5">
            <v>670000</v>
          </cell>
          <cell r="BM5">
            <v>4960000</v>
          </cell>
          <cell r="BN5">
            <v>2299600</v>
          </cell>
          <cell r="BO5">
            <v>34562082.618799999</v>
          </cell>
          <cell r="BP5">
            <v>10000</v>
          </cell>
          <cell r="BQ5">
            <v>10000</v>
          </cell>
          <cell r="BR5">
            <v>4400213</v>
          </cell>
          <cell r="BS5">
            <v>5017464.05</v>
          </cell>
          <cell r="BT5">
            <v>9917101.4199999999</v>
          </cell>
          <cell r="BU5">
            <v>6547882.5199999996</v>
          </cell>
          <cell r="BV5">
            <v>8013668.0499999998</v>
          </cell>
          <cell r="BW5">
            <v>7037854.6200000001</v>
          </cell>
          <cell r="BX5">
            <v>7960405.4199999999</v>
          </cell>
          <cell r="BY5">
            <v>6991687.3099999996</v>
          </cell>
          <cell r="BZ5">
            <v>4500035.68</v>
          </cell>
          <cell r="CA5">
            <v>39235302.549999997</v>
          </cell>
          <cell r="CB5">
            <v>99641614.620000005</v>
          </cell>
        </row>
        <row r="6">
          <cell r="C6">
            <v>0</v>
          </cell>
          <cell r="D6">
            <v>0</v>
          </cell>
          <cell r="E6">
            <v>2183600.54</v>
          </cell>
          <cell r="F6">
            <v>4093154.04</v>
          </cell>
          <cell r="G6">
            <v>3548570.3650000002</v>
          </cell>
          <cell r="H6">
            <v>1579890.26</v>
          </cell>
          <cell r="I6">
            <v>3350476.1675</v>
          </cell>
          <cell r="J6">
            <v>5966981.3200000003</v>
          </cell>
          <cell r="K6">
            <v>2026835.48</v>
          </cell>
          <cell r="L6">
            <v>1794183.66</v>
          </cell>
          <cell r="M6">
            <v>3499194.93</v>
          </cell>
          <cell r="N6">
            <v>1872253.3</v>
          </cell>
          <cell r="P6">
            <v>3086034</v>
          </cell>
          <cell r="Q6">
            <v>1255179.3</v>
          </cell>
          <cell r="R6">
            <v>1320967.5</v>
          </cell>
          <cell r="S6">
            <v>573153</v>
          </cell>
          <cell r="T6">
            <v>3387444.57</v>
          </cell>
          <cell r="U6">
            <v>3418714</v>
          </cell>
          <cell r="V6">
            <v>3197971.5</v>
          </cell>
          <cell r="W6">
            <v>3481947.38</v>
          </cell>
          <cell r="X6">
            <v>434384.96</v>
          </cell>
          <cell r="Y6">
            <v>18324416.260000002</v>
          </cell>
          <cell r="Z6">
            <v>17094177.780000001</v>
          </cell>
          <cell r="AA6">
            <v>5761541.2400000002</v>
          </cell>
          <cell r="AC6">
            <v>2361230.9700000002</v>
          </cell>
          <cell r="AD6">
            <v>0</v>
          </cell>
          <cell r="AE6">
            <v>690000</v>
          </cell>
          <cell r="AF6">
            <v>102700</v>
          </cell>
          <cell r="AG6">
            <v>0</v>
          </cell>
          <cell r="AH6">
            <v>1600</v>
          </cell>
          <cell r="AI6">
            <v>590580</v>
          </cell>
          <cell r="AJ6">
            <v>1309935.17</v>
          </cell>
          <cell r="AK6">
            <v>0</v>
          </cell>
          <cell r="AL6">
            <v>1085000</v>
          </cell>
          <cell r="AM6">
            <v>2658929.21</v>
          </cell>
          <cell r="AN6">
            <v>944006.89</v>
          </cell>
          <cell r="AP6">
            <v>2082080</v>
          </cell>
          <cell r="AQ6">
            <v>268000</v>
          </cell>
          <cell r="AR6">
            <v>374800</v>
          </cell>
          <cell r="AS6">
            <v>0</v>
          </cell>
          <cell r="AT6">
            <v>0</v>
          </cell>
          <cell r="AU6">
            <v>300000</v>
          </cell>
          <cell r="AV6">
            <v>1721891.99</v>
          </cell>
          <cell r="AW6">
            <v>0</v>
          </cell>
          <cell r="AX6">
            <v>568073</v>
          </cell>
          <cell r="AY6">
            <v>164285.71</v>
          </cell>
          <cell r="AZ6">
            <v>19422430</v>
          </cell>
          <cell r="BA6">
            <v>0</v>
          </cell>
          <cell r="BC6">
            <v>3300000</v>
          </cell>
          <cell r="BD6">
            <v>0</v>
          </cell>
          <cell r="BE6">
            <v>76476.19</v>
          </cell>
          <cell r="BF6">
            <v>0</v>
          </cell>
          <cell r="BG6">
            <v>0</v>
          </cell>
          <cell r="BH6">
            <v>0</v>
          </cell>
          <cell r="BI6">
            <v>10000</v>
          </cell>
          <cell r="BJ6">
            <v>10000</v>
          </cell>
          <cell r="BK6">
            <v>160000</v>
          </cell>
          <cell r="BL6">
            <v>10000</v>
          </cell>
          <cell r="BM6">
            <v>10000</v>
          </cell>
          <cell r="BN6">
            <v>10000</v>
          </cell>
          <cell r="BP6">
            <v>10000</v>
          </cell>
          <cell r="BQ6">
            <v>10000</v>
          </cell>
          <cell r="BR6">
            <v>10000</v>
          </cell>
          <cell r="BS6">
            <v>836770.71</v>
          </cell>
          <cell r="BT6">
            <v>5394906.9000000004</v>
          </cell>
          <cell r="BU6">
            <v>4439329.22</v>
          </cell>
          <cell r="BV6">
            <v>6353388.5499999998</v>
          </cell>
          <cell r="BW6">
            <v>4747077.42</v>
          </cell>
          <cell r="BX6">
            <v>4283005.92</v>
          </cell>
          <cell r="BY6">
            <v>3602028.55</v>
          </cell>
          <cell r="BZ6">
            <v>1558471.41</v>
          </cell>
          <cell r="CA6">
            <v>2630000</v>
          </cell>
        </row>
        <row r="7">
          <cell r="C7">
            <v>0</v>
          </cell>
          <cell r="D7">
            <v>0</v>
          </cell>
          <cell r="E7">
            <v>9070996.0700000003</v>
          </cell>
          <cell r="F7">
            <v>0</v>
          </cell>
          <cell r="G7">
            <v>-2.2373569663614001E-10</v>
          </cell>
          <cell r="H7">
            <v>0</v>
          </cell>
          <cell r="I7">
            <v>0</v>
          </cell>
          <cell r="J7">
            <v>0</v>
          </cell>
          <cell r="K7">
            <v>0</v>
          </cell>
          <cell r="L7">
            <v>0</v>
          </cell>
          <cell r="M7">
            <v>6972679.2699999996</v>
          </cell>
          <cell r="N7">
            <v>4323627.01</v>
          </cell>
          <cell r="P7">
            <v>0</v>
          </cell>
          <cell r="Q7">
            <v>0</v>
          </cell>
          <cell r="R7">
            <v>0</v>
          </cell>
          <cell r="S7">
            <v>0</v>
          </cell>
          <cell r="T7">
            <v>-0.02</v>
          </cell>
          <cell r="U7">
            <v>0</v>
          </cell>
          <cell r="V7">
            <v>247653.33</v>
          </cell>
          <cell r="W7">
            <v>57142.86</v>
          </cell>
          <cell r="X7">
            <v>0</v>
          </cell>
          <cell r="Y7">
            <v>0</v>
          </cell>
          <cell r="Z7">
            <v>0</v>
          </cell>
          <cell r="AA7">
            <v>904761.9</v>
          </cell>
          <cell r="AC7">
            <v>0</v>
          </cell>
          <cell r="AD7">
            <v>0</v>
          </cell>
          <cell r="AE7">
            <v>0</v>
          </cell>
          <cell r="AF7">
            <v>0</v>
          </cell>
          <cell r="AG7">
            <v>0</v>
          </cell>
          <cell r="AH7">
            <v>0</v>
          </cell>
          <cell r="AI7">
            <v>0</v>
          </cell>
          <cell r="AJ7">
            <v>0</v>
          </cell>
          <cell r="AK7">
            <v>0</v>
          </cell>
          <cell r="AL7">
            <v>0</v>
          </cell>
          <cell r="AM7">
            <v>0</v>
          </cell>
          <cell r="AN7">
            <v>0</v>
          </cell>
          <cell r="AP7">
            <v>0</v>
          </cell>
          <cell r="AQ7">
            <v>0</v>
          </cell>
          <cell r="AR7">
            <v>0</v>
          </cell>
          <cell r="AS7">
            <v>0</v>
          </cell>
          <cell r="AT7">
            <v>0</v>
          </cell>
          <cell r="AU7">
            <v>0</v>
          </cell>
          <cell r="AV7">
            <v>0</v>
          </cell>
          <cell r="AW7">
            <v>0</v>
          </cell>
          <cell r="AX7">
            <v>0</v>
          </cell>
          <cell r="AY7">
            <v>0</v>
          </cell>
          <cell r="AZ7">
            <v>0</v>
          </cell>
          <cell r="BA7">
            <v>0</v>
          </cell>
          <cell r="BC7">
            <v>3064306.45</v>
          </cell>
          <cell r="BD7">
            <v>0</v>
          </cell>
          <cell r="BE7">
            <v>0</v>
          </cell>
          <cell r="BF7">
            <v>0</v>
          </cell>
          <cell r="BG7">
            <v>0</v>
          </cell>
          <cell r="BH7">
            <v>0</v>
          </cell>
          <cell r="BI7">
            <v>0</v>
          </cell>
          <cell r="BJ7">
            <v>0</v>
          </cell>
          <cell r="BK7">
            <v>0</v>
          </cell>
          <cell r="BL7">
            <v>660000</v>
          </cell>
          <cell r="BM7">
            <v>4950000</v>
          </cell>
          <cell r="BN7">
            <v>0</v>
          </cell>
          <cell r="BP7">
            <v>0</v>
          </cell>
          <cell r="BQ7">
            <v>0</v>
          </cell>
          <cell r="BR7">
            <v>1000000</v>
          </cell>
          <cell r="BS7">
            <v>2701898.74</v>
          </cell>
          <cell r="BT7">
            <v>1868414.72</v>
          </cell>
          <cell r="BU7">
            <v>0</v>
          </cell>
          <cell r="BV7">
            <v>0</v>
          </cell>
          <cell r="BW7">
            <v>0</v>
          </cell>
          <cell r="BX7">
            <v>0</v>
          </cell>
          <cell r="BY7">
            <v>2100000</v>
          </cell>
          <cell r="BZ7">
            <v>1446155.41</v>
          </cell>
          <cell r="CA7">
            <v>600000</v>
          </cell>
        </row>
        <row r="8">
          <cell r="C8">
            <v>0</v>
          </cell>
          <cell r="D8">
            <v>0</v>
          </cell>
          <cell r="E8">
            <v>1611587.29</v>
          </cell>
          <cell r="F8">
            <v>660529.1</v>
          </cell>
          <cell r="G8">
            <v>422433.86</v>
          </cell>
          <cell r="H8">
            <v>422433.86</v>
          </cell>
          <cell r="I8">
            <v>422433.86</v>
          </cell>
          <cell r="J8">
            <v>25172433.859999999</v>
          </cell>
          <cell r="K8">
            <v>3661851.86</v>
          </cell>
          <cell r="L8">
            <v>14270317.51</v>
          </cell>
          <cell r="M8">
            <v>758412.75</v>
          </cell>
          <cell r="N8">
            <v>8809206.4499999993</v>
          </cell>
          <cell r="P8">
            <v>462166.62449999998</v>
          </cell>
          <cell r="Q8">
            <v>712166.68949999998</v>
          </cell>
          <cell r="R8">
            <v>10692500.062200001</v>
          </cell>
          <cell r="S8">
            <v>1852777.7520000001</v>
          </cell>
          <cell r="T8">
            <v>14305000.0647</v>
          </cell>
          <cell r="U8">
            <v>250000.00200000001</v>
          </cell>
          <cell r="V8">
            <v>13990000.049699999</v>
          </cell>
          <cell r="W8">
            <v>4036599.9975000001</v>
          </cell>
          <cell r="X8">
            <v>3049999.9950000001</v>
          </cell>
          <cell r="Y8">
            <v>8223810.2414999995</v>
          </cell>
          <cell r="Z8">
            <v>24158714.173999999</v>
          </cell>
          <cell r="AA8">
            <v>-12589913</v>
          </cell>
          <cell r="AC8">
            <v>1362583.3304999999</v>
          </cell>
          <cell r="AD8">
            <v>0</v>
          </cell>
          <cell r="AE8">
            <v>891509.43</v>
          </cell>
          <cell r="AF8">
            <v>13117499.947000001</v>
          </cell>
          <cell r="AG8">
            <v>0</v>
          </cell>
          <cell r="AH8">
            <v>0</v>
          </cell>
          <cell r="AI8">
            <v>0</v>
          </cell>
          <cell r="AJ8">
            <v>6424339.6481999997</v>
          </cell>
          <cell r="AK8">
            <v>0</v>
          </cell>
          <cell r="AL8">
            <v>-156014.14499999999</v>
          </cell>
          <cell r="AM8">
            <v>11889948.156400001</v>
          </cell>
          <cell r="AN8">
            <v>13373820.703500001</v>
          </cell>
          <cell r="AP8">
            <v>146108.4975</v>
          </cell>
          <cell r="AQ8">
            <v>0</v>
          </cell>
          <cell r="AR8">
            <v>0</v>
          </cell>
          <cell r="AS8">
            <v>0</v>
          </cell>
          <cell r="AT8">
            <v>0</v>
          </cell>
          <cell r="AU8">
            <v>0</v>
          </cell>
          <cell r="AV8">
            <v>438507.42</v>
          </cell>
          <cell r="AW8">
            <v>0</v>
          </cell>
          <cell r="AX8">
            <v>0</v>
          </cell>
          <cell r="AY8">
            <v>0</v>
          </cell>
          <cell r="AZ8">
            <v>17829200</v>
          </cell>
          <cell r="BA8">
            <v>0</v>
          </cell>
          <cell r="BC8">
            <v>5426700</v>
          </cell>
          <cell r="BD8">
            <v>5426600</v>
          </cell>
          <cell r="BE8">
            <v>0</v>
          </cell>
          <cell r="BF8">
            <v>0</v>
          </cell>
          <cell r="BG8">
            <v>4579200</v>
          </cell>
          <cell r="BH8">
            <v>0</v>
          </cell>
          <cell r="BI8">
            <v>0</v>
          </cell>
          <cell r="BJ8">
            <v>4579199.9787999997</v>
          </cell>
          <cell r="BK8">
            <v>0</v>
          </cell>
          <cell r="BL8">
            <v>0</v>
          </cell>
          <cell r="BM8">
            <v>0</v>
          </cell>
          <cell r="BN8">
            <v>2289600</v>
          </cell>
          <cell r="BP8">
            <v>0</v>
          </cell>
          <cell r="BQ8">
            <v>0</v>
          </cell>
          <cell r="BR8">
            <v>3390213</v>
          </cell>
          <cell r="BS8">
            <v>1478794.6</v>
          </cell>
          <cell r="BT8">
            <v>2653779.7999999998</v>
          </cell>
          <cell r="BU8">
            <v>2108553.2999999998</v>
          </cell>
          <cell r="BV8">
            <v>1660279.5</v>
          </cell>
          <cell r="BW8">
            <v>2290777.2000000002</v>
          </cell>
          <cell r="BX8">
            <v>3677399.5</v>
          </cell>
          <cell r="BY8">
            <v>1289658.76</v>
          </cell>
          <cell r="BZ8">
            <v>1495408.86</v>
          </cell>
          <cell r="CA8">
            <v>36005302.549999997</v>
          </cell>
        </row>
        <row r="9">
          <cell r="C9">
            <v>0</v>
          </cell>
          <cell r="D9">
            <v>0</v>
          </cell>
          <cell r="E9">
            <v>0</v>
          </cell>
          <cell r="F9">
            <v>0</v>
          </cell>
          <cell r="G9">
            <v>0</v>
          </cell>
          <cell r="H9">
            <v>0</v>
          </cell>
          <cell r="I9">
            <v>0</v>
          </cell>
          <cell r="J9">
            <v>24750000</v>
          </cell>
          <cell r="K9">
            <v>2750000.01</v>
          </cell>
          <cell r="L9">
            <v>13750000.050000001</v>
          </cell>
          <cell r="M9">
            <v>0</v>
          </cell>
          <cell r="N9">
            <v>8250000.0300000003</v>
          </cell>
          <cell r="P9">
            <v>0</v>
          </cell>
          <cell r="Q9">
            <v>0</v>
          </cell>
          <cell r="R9">
            <v>5830000.0212000003</v>
          </cell>
          <cell r="S9">
            <v>0</v>
          </cell>
          <cell r="T9">
            <v>13575000.0492</v>
          </cell>
          <cell r="U9">
            <v>0</v>
          </cell>
          <cell r="V9">
            <v>12660000.0462</v>
          </cell>
          <cell r="W9">
            <v>0</v>
          </cell>
          <cell r="X9">
            <v>0</v>
          </cell>
          <cell r="Y9">
            <v>0</v>
          </cell>
          <cell r="Z9">
            <v>13117500.052999999</v>
          </cell>
          <cell r="AA9">
            <v>-13117500.052999999</v>
          </cell>
          <cell r="AC9">
            <v>0</v>
          </cell>
          <cell r="AD9">
            <v>0</v>
          </cell>
          <cell r="AE9">
            <v>0</v>
          </cell>
          <cell r="AF9">
            <v>0</v>
          </cell>
          <cell r="AG9">
            <v>0</v>
          </cell>
          <cell r="AH9">
            <v>0</v>
          </cell>
          <cell r="AI9">
            <v>0</v>
          </cell>
          <cell r="AJ9">
            <v>0</v>
          </cell>
          <cell r="AK9">
            <v>0</v>
          </cell>
          <cell r="AL9">
            <v>0</v>
          </cell>
          <cell r="AM9">
            <v>0</v>
          </cell>
          <cell r="AN9">
            <v>0</v>
          </cell>
          <cell r="AP9">
            <v>0</v>
          </cell>
          <cell r="AQ9">
            <v>0</v>
          </cell>
          <cell r="AR9">
            <v>0</v>
          </cell>
          <cell r="AS9">
            <v>0</v>
          </cell>
          <cell r="AT9">
            <v>0</v>
          </cell>
          <cell r="AU9">
            <v>0</v>
          </cell>
          <cell r="AV9">
            <v>0</v>
          </cell>
          <cell r="AW9">
            <v>0</v>
          </cell>
          <cell r="AX9">
            <v>0</v>
          </cell>
          <cell r="AY9">
            <v>0</v>
          </cell>
          <cell r="AZ9">
            <v>17829200</v>
          </cell>
          <cell r="BA9">
            <v>0</v>
          </cell>
          <cell r="BC9">
            <v>0</v>
          </cell>
          <cell r="BD9">
            <v>0</v>
          </cell>
          <cell r="BE9">
            <v>0</v>
          </cell>
          <cell r="BF9">
            <v>0</v>
          </cell>
          <cell r="BG9">
            <v>4579200</v>
          </cell>
          <cell r="BH9">
            <v>0</v>
          </cell>
          <cell r="BI9">
            <v>0</v>
          </cell>
          <cell r="BJ9">
            <v>4579199.9787999997</v>
          </cell>
          <cell r="BK9">
            <v>0</v>
          </cell>
          <cell r="BL9">
            <v>0</v>
          </cell>
          <cell r="BM9">
            <v>0</v>
          </cell>
          <cell r="BN9">
            <v>2289600</v>
          </cell>
          <cell r="BP9">
            <v>0</v>
          </cell>
          <cell r="BQ9">
            <v>0</v>
          </cell>
          <cell r="BR9">
            <v>2289600</v>
          </cell>
          <cell r="BS9">
            <v>0</v>
          </cell>
          <cell r="BT9">
            <v>0</v>
          </cell>
          <cell r="BU9">
            <v>0</v>
          </cell>
          <cell r="BV9">
            <v>0</v>
          </cell>
          <cell r="BW9">
            <v>0</v>
          </cell>
          <cell r="BX9">
            <v>0</v>
          </cell>
          <cell r="BY9">
            <v>0</v>
          </cell>
          <cell r="BZ9">
            <v>0</v>
          </cell>
          <cell r="CA9">
            <v>34008332.859999999</v>
          </cell>
        </row>
        <row r="10">
          <cell r="C10">
            <v>0</v>
          </cell>
          <cell r="D10">
            <v>0</v>
          </cell>
          <cell r="E10">
            <v>1611587.29</v>
          </cell>
          <cell r="F10">
            <v>660529.1</v>
          </cell>
          <cell r="G10">
            <v>422433.86</v>
          </cell>
          <cell r="H10">
            <v>422433.86</v>
          </cell>
          <cell r="I10">
            <v>422433.86</v>
          </cell>
          <cell r="J10">
            <v>422433.86</v>
          </cell>
          <cell r="K10">
            <v>911851.85</v>
          </cell>
          <cell r="L10">
            <v>520317.46</v>
          </cell>
          <cell r="M10">
            <v>758412.75</v>
          </cell>
          <cell r="N10">
            <v>559206.42000000004</v>
          </cell>
          <cell r="P10">
            <v>462166.62449999998</v>
          </cell>
          <cell r="Q10">
            <v>712166.68949999998</v>
          </cell>
          <cell r="R10">
            <v>4862500.0410000002</v>
          </cell>
          <cell r="S10">
            <v>1852777.7520000001</v>
          </cell>
          <cell r="T10">
            <v>730000.01549999998</v>
          </cell>
          <cell r="U10">
            <v>250000.00200000001</v>
          </cell>
          <cell r="V10">
            <v>1330000.0035000001</v>
          </cell>
          <cell r="W10">
            <v>4036599.9975000001</v>
          </cell>
          <cell r="X10">
            <v>3049999.9950000001</v>
          </cell>
          <cell r="Y10">
            <v>8223810.2414999995</v>
          </cell>
          <cell r="Z10">
            <v>11041214.120999999</v>
          </cell>
          <cell r="AA10">
            <v>527587.05299999996</v>
          </cell>
          <cell r="AC10">
            <v>1362583.3304999999</v>
          </cell>
          <cell r="AD10">
            <v>0</v>
          </cell>
          <cell r="AE10">
            <v>891509.43</v>
          </cell>
          <cell r="AF10">
            <v>13117499.947000001</v>
          </cell>
          <cell r="AG10">
            <v>0</v>
          </cell>
          <cell r="AH10">
            <v>0</v>
          </cell>
          <cell r="AI10">
            <v>0</v>
          </cell>
          <cell r="AJ10">
            <v>6424339.6481999997</v>
          </cell>
          <cell r="AK10">
            <v>0</v>
          </cell>
          <cell r="AL10">
            <v>-156014.14499999999</v>
          </cell>
          <cell r="AM10">
            <v>11889948.156400001</v>
          </cell>
          <cell r="AN10">
            <v>13373820.703500001</v>
          </cell>
          <cell r="AP10">
            <v>146108.4975</v>
          </cell>
          <cell r="AQ10">
            <v>0</v>
          </cell>
          <cell r="AR10">
            <v>0</v>
          </cell>
          <cell r="AS10">
            <v>0</v>
          </cell>
          <cell r="AT10">
            <v>0</v>
          </cell>
          <cell r="AU10">
            <v>0</v>
          </cell>
          <cell r="AV10">
            <v>438507.42</v>
          </cell>
          <cell r="AW10">
            <v>0</v>
          </cell>
          <cell r="AX10">
            <v>0</v>
          </cell>
          <cell r="AY10">
            <v>0</v>
          </cell>
          <cell r="AZ10">
            <v>0</v>
          </cell>
          <cell r="BA10">
            <v>0</v>
          </cell>
          <cell r="BC10">
            <v>5426700</v>
          </cell>
          <cell r="BD10">
            <v>5426600</v>
          </cell>
          <cell r="BE10">
            <v>0</v>
          </cell>
          <cell r="BF10">
            <v>0</v>
          </cell>
          <cell r="BG10">
            <v>0</v>
          </cell>
          <cell r="BH10">
            <v>0</v>
          </cell>
          <cell r="BI10">
            <v>0</v>
          </cell>
          <cell r="BJ10">
            <v>0</v>
          </cell>
          <cell r="BK10">
            <v>0</v>
          </cell>
          <cell r="BL10">
            <v>0</v>
          </cell>
          <cell r="BM10">
            <v>0</v>
          </cell>
          <cell r="BN10">
            <v>0</v>
          </cell>
          <cell r="BP10">
            <v>0</v>
          </cell>
          <cell r="BQ10">
            <v>0</v>
          </cell>
          <cell r="BR10">
            <v>1100613</v>
          </cell>
          <cell r="BS10">
            <v>1478794.6</v>
          </cell>
          <cell r="BT10">
            <v>2653779.7999999998</v>
          </cell>
          <cell r="BU10">
            <v>2108553.2999999998</v>
          </cell>
          <cell r="BV10">
            <v>1660279.5</v>
          </cell>
          <cell r="BW10">
            <v>2290777.2000000002</v>
          </cell>
          <cell r="BX10">
            <v>3677399.5</v>
          </cell>
          <cell r="BY10">
            <v>1289658.76</v>
          </cell>
          <cell r="BZ10">
            <v>1495408.86</v>
          </cell>
          <cell r="CA10">
            <v>1996969.69</v>
          </cell>
        </row>
        <row r="11">
          <cell r="C11">
            <v>0</v>
          </cell>
          <cell r="D11">
            <v>0</v>
          </cell>
          <cell r="E11">
            <v>383288.4</v>
          </cell>
          <cell r="F11">
            <v>1391913.75</v>
          </cell>
          <cell r="G11">
            <v>1391913.75</v>
          </cell>
          <cell r="H11">
            <v>127762.8</v>
          </cell>
          <cell r="I11">
            <v>127762.82</v>
          </cell>
          <cell r="J11">
            <v>424528.3</v>
          </cell>
          <cell r="K11">
            <v>0</v>
          </cell>
          <cell r="L11">
            <v>0</v>
          </cell>
          <cell r="M11">
            <v>141509.43</v>
          </cell>
          <cell r="N11">
            <v>0</v>
          </cell>
          <cell r="P11">
            <v>0</v>
          </cell>
          <cell r="Q11">
            <v>0</v>
          </cell>
          <cell r="R11">
            <v>0</v>
          </cell>
          <cell r="S11">
            <v>0</v>
          </cell>
          <cell r="T11">
            <v>0</v>
          </cell>
          <cell r="U11">
            <v>0</v>
          </cell>
          <cell r="V11">
            <v>0</v>
          </cell>
          <cell r="W11">
            <v>0</v>
          </cell>
          <cell r="X11">
            <v>0</v>
          </cell>
          <cell r="Y11">
            <v>0</v>
          </cell>
          <cell r="Z11">
            <v>0</v>
          </cell>
          <cell r="AA11">
            <v>0</v>
          </cell>
          <cell r="AC11">
            <v>0</v>
          </cell>
          <cell r="AD11">
            <v>0</v>
          </cell>
          <cell r="AE11">
            <v>0</v>
          </cell>
          <cell r="AF11">
            <v>0</v>
          </cell>
          <cell r="AG11">
            <v>0</v>
          </cell>
          <cell r="AH11">
            <v>0</v>
          </cell>
          <cell r="AI11">
            <v>0</v>
          </cell>
          <cell r="AJ11">
            <v>0</v>
          </cell>
          <cell r="AK11">
            <v>0</v>
          </cell>
          <cell r="AL11">
            <v>0</v>
          </cell>
          <cell r="AM11">
            <v>0</v>
          </cell>
          <cell r="AN11">
            <v>0</v>
          </cell>
          <cell r="AP11">
            <v>0</v>
          </cell>
          <cell r="AQ11">
            <v>0</v>
          </cell>
          <cell r="AR11">
            <v>0</v>
          </cell>
          <cell r="AS11">
            <v>0</v>
          </cell>
          <cell r="AT11">
            <v>0</v>
          </cell>
          <cell r="AU11">
            <v>0</v>
          </cell>
          <cell r="AV11">
            <v>0</v>
          </cell>
          <cell r="AW11">
            <v>0</v>
          </cell>
          <cell r="AX11">
            <v>0</v>
          </cell>
          <cell r="AY11">
            <v>0</v>
          </cell>
          <cell r="AZ11">
            <v>0</v>
          </cell>
          <cell r="BA11">
            <v>0</v>
          </cell>
          <cell r="BC11">
            <v>0</v>
          </cell>
          <cell r="BD11">
            <v>0</v>
          </cell>
          <cell r="BE11">
            <v>0</v>
          </cell>
          <cell r="BF11">
            <v>0</v>
          </cell>
          <cell r="BG11">
            <v>0</v>
          </cell>
          <cell r="BH11">
            <v>0</v>
          </cell>
          <cell r="BI11">
            <v>0</v>
          </cell>
          <cell r="BJ11">
            <v>0</v>
          </cell>
          <cell r="BK11">
            <v>0</v>
          </cell>
          <cell r="BL11">
            <v>0</v>
          </cell>
          <cell r="BM11">
            <v>0</v>
          </cell>
          <cell r="BN11">
            <v>0</v>
          </cell>
          <cell r="BP11">
            <v>0</v>
          </cell>
          <cell r="BQ11">
            <v>0</v>
          </cell>
          <cell r="BR11">
            <v>0</v>
          </cell>
          <cell r="BS11">
            <v>0</v>
          </cell>
          <cell r="BT11">
            <v>0</v>
          </cell>
          <cell r="BU11">
            <v>0</v>
          </cell>
          <cell r="BV11">
            <v>0</v>
          </cell>
          <cell r="BW11">
            <v>0</v>
          </cell>
          <cell r="BX11">
            <v>0</v>
          </cell>
          <cell r="BY11">
            <v>0</v>
          </cell>
          <cell r="BZ11">
            <v>0</v>
          </cell>
          <cell r="CA11">
            <v>0</v>
          </cell>
        </row>
        <row r="12">
          <cell r="C12">
            <v>0</v>
          </cell>
          <cell r="D12">
            <v>0</v>
          </cell>
          <cell r="E12">
            <v>0</v>
          </cell>
          <cell r="F12">
            <v>0</v>
          </cell>
          <cell r="G12">
            <v>0</v>
          </cell>
          <cell r="H12">
            <v>0</v>
          </cell>
          <cell r="I12">
            <v>0</v>
          </cell>
          <cell r="J12">
            <v>0</v>
          </cell>
          <cell r="K12">
            <v>0</v>
          </cell>
          <cell r="L12">
            <v>0</v>
          </cell>
          <cell r="M12">
            <v>0</v>
          </cell>
          <cell r="N12">
            <v>0</v>
          </cell>
          <cell r="P12">
            <v>0</v>
          </cell>
          <cell r="Q12">
            <v>0</v>
          </cell>
          <cell r="R12">
            <v>0</v>
          </cell>
          <cell r="S12">
            <v>0</v>
          </cell>
          <cell r="T12">
            <v>0</v>
          </cell>
          <cell r="U12">
            <v>0</v>
          </cell>
          <cell r="V12">
            <v>0</v>
          </cell>
          <cell r="W12">
            <v>0</v>
          </cell>
          <cell r="X12">
            <v>0</v>
          </cell>
          <cell r="Y12">
            <v>0</v>
          </cell>
          <cell r="Z12">
            <v>0</v>
          </cell>
          <cell r="AA12">
            <v>0</v>
          </cell>
          <cell r="AC12">
            <v>0</v>
          </cell>
          <cell r="AD12">
            <v>0</v>
          </cell>
          <cell r="AE12">
            <v>0</v>
          </cell>
          <cell r="AF12">
            <v>0</v>
          </cell>
          <cell r="AG12">
            <v>0</v>
          </cell>
          <cell r="AH12">
            <v>0</v>
          </cell>
          <cell r="AI12">
            <v>0</v>
          </cell>
          <cell r="AJ12">
            <v>0</v>
          </cell>
          <cell r="AK12">
            <v>0</v>
          </cell>
          <cell r="AL12">
            <v>0</v>
          </cell>
          <cell r="AM12">
            <v>0</v>
          </cell>
          <cell r="AN12">
            <v>0</v>
          </cell>
          <cell r="AP12">
            <v>0</v>
          </cell>
          <cell r="AQ12">
            <v>0</v>
          </cell>
          <cell r="AR12">
            <v>0</v>
          </cell>
          <cell r="AS12">
            <v>1350</v>
          </cell>
          <cell r="AT12">
            <v>0</v>
          </cell>
          <cell r="AU12">
            <v>3400</v>
          </cell>
          <cell r="AV12">
            <v>0</v>
          </cell>
          <cell r="AW12">
            <v>0</v>
          </cell>
          <cell r="AX12">
            <v>0</v>
          </cell>
          <cell r="AY12">
            <v>200000</v>
          </cell>
          <cell r="AZ12">
            <v>0</v>
          </cell>
          <cell r="BA12">
            <v>0</v>
          </cell>
          <cell r="BC12">
            <v>0</v>
          </cell>
          <cell r="BD12">
            <v>0</v>
          </cell>
          <cell r="BE12">
            <v>0</v>
          </cell>
          <cell r="BF12">
            <v>0</v>
          </cell>
          <cell r="BG12">
            <v>0</v>
          </cell>
          <cell r="BH12">
            <v>0</v>
          </cell>
          <cell r="BI12">
            <v>0</v>
          </cell>
          <cell r="BJ12">
            <v>0</v>
          </cell>
          <cell r="BK12">
            <v>0</v>
          </cell>
          <cell r="BL12">
            <v>0</v>
          </cell>
          <cell r="BM12">
            <v>0</v>
          </cell>
          <cell r="BN12">
            <v>0</v>
          </cell>
          <cell r="BP12">
            <v>0</v>
          </cell>
          <cell r="BQ12">
            <v>0</v>
          </cell>
          <cell r="BR12">
            <v>0</v>
          </cell>
          <cell r="BS12">
            <v>0</v>
          </cell>
          <cell r="BT12">
            <v>0</v>
          </cell>
          <cell r="BU12">
            <v>0</v>
          </cell>
          <cell r="BV12">
            <v>0</v>
          </cell>
          <cell r="BW12">
            <v>0</v>
          </cell>
          <cell r="BX12">
            <v>0</v>
          </cell>
          <cell r="BY12">
            <v>0</v>
          </cell>
          <cell r="BZ12">
            <v>0</v>
          </cell>
          <cell r="CA12">
            <v>0</v>
          </cell>
        </row>
        <row r="13">
          <cell r="C13">
            <v>0</v>
          </cell>
          <cell r="D13">
            <v>0</v>
          </cell>
          <cell r="E13">
            <v>0</v>
          </cell>
          <cell r="F13">
            <v>0</v>
          </cell>
          <cell r="G13">
            <v>0</v>
          </cell>
          <cell r="H13">
            <v>0</v>
          </cell>
          <cell r="I13">
            <v>0</v>
          </cell>
          <cell r="J13">
            <v>0</v>
          </cell>
          <cell r="K13">
            <v>0</v>
          </cell>
          <cell r="L13">
            <v>0</v>
          </cell>
          <cell r="M13">
            <v>0</v>
          </cell>
          <cell r="N13">
            <v>0</v>
          </cell>
          <cell r="P13">
            <v>0</v>
          </cell>
          <cell r="Q13">
            <v>0</v>
          </cell>
          <cell r="R13">
            <v>0</v>
          </cell>
          <cell r="S13">
            <v>0</v>
          </cell>
          <cell r="T13">
            <v>0</v>
          </cell>
          <cell r="U13">
            <v>0</v>
          </cell>
          <cell r="V13">
            <v>0</v>
          </cell>
          <cell r="W13">
            <v>0</v>
          </cell>
          <cell r="X13">
            <v>0</v>
          </cell>
          <cell r="Y13">
            <v>0</v>
          </cell>
          <cell r="Z13">
            <v>0</v>
          </cell>
          <cell r="AA13">
            <v>0</v>
          </cell>
          <cell r="AC13">
            <v>0</v>
          </cell>
          <cell r="AD13">
            <v>0</v>
          </cell>
          <cell r="AE13">
            <v>0</v>
          </cell>
          <cell r="AF13">
            <v>0</v>
          </cell>
          <cell r="AG13">
            <v>0</v>
          </cell>
          <cell r="AH13">
            <v>0</v>
          </cell>
          <cell r="AI13">
            <v>0</v>
          </cell>
          <cell r="AJ13">
            <v>0</v>
          </cell>
          <cell r="AK13">
            <v>0</v>
          </cell>
          <cell r="AL13">
            <v>0</v>
          </cell>
          <cell r="AM13">
            <v>0</v>
          </cell>
          <cell r="AN13">
            <v>0</v>
          </cell>
          <cell r="AP13">
            <v>0</v>
          </cell>
          <cell r="AQ13">
            <v>0</v>
          </cell>
          <cell r="AR13">
            <v>0</v>
          </cell>
          <cell r="AS13">
            <v>0</v>
          </cell>
          <cell r="AT13">
            <v>0</v>
          </cell>
          <cell r="AU13">
            <v>0</v>
          </cell>
          <cell r="AV13">
            <v>0</v>
          </cell>
          <cell r="AW13">
            <v>0</v>
          </cell>
          <cell r="AX13">
            <v>0</v>
          </cell>
          <cell r="AY13">
            <v>0</v>
          </cell>
          <cell r="AZ13">
            <v>0</v>
          </cell>
          <cell r="BA13">
            <v>0</v>
          </cell>
          <cell r="BC13">
            <v>0</v>
          </cell>
          <cell r="BD13">
            <v>0</v>
          </cell>
          <cell r="BE13">
            <v>0</v>
          </cell>
          <cell r="BF13">
            <v>0</v>
          </cell>
          <cell r="BG13">
            <v>0</v>
          </cell>
          <cell r="BH13">
            <v>0</v>
          </cell>
          <cell r="BI13">
            <v>0</v>
          </cell>
          <cell r="BJ13">
            <v>0</v>
          </cell>
          <cell r="BK13">
            <v>0</v>
          </cell>
          <cell r="BL13">
            <v>0</v>
          </cell>
          <cell r="BM13">
            <v>0</v>
          </cell>
          <cell r="BN13">
            <v>0</v>
          </cell>
          <cell r="BP13">
            <v>0</v>
          </cell>
          <cell r="BQ13">
            <v>0</v>
          </cell>
          <cell r="BR13">
            <v>0</v>
          </cell>
          <cell r="BS13">
            <v>0</v>
          </cell>
          <cell r="BT13">
            <v>0</v>
          </cell>
          <cell r="BU13">
            <v>0</v>
          </cell>
          <cell r="BV13">
            <v>0</v>
          </cell>
          <cell r="BW13">
            <v>0</v>
          </cell>
          <cell r="BX13">
            <v>0</v>
          </cell>
          <cell r="BY13">
            <v>0</v>
          </cell>
          <cell r="BZ13">
            <v>0</v>
          </cell>
          <cell r="CA13">
            <v>0</v>
          </cell>
        </row>
        <row r="14">
          <cell r="C14">
            <v>0</v>
          </cell>
          <cell r="D14">
            <v>0</v>
          </cell>
          <cell r="E14">
            <v>0</v>
          </cell>
          <cell r="F14">
            <v>0</v>
          </cell>
          <cell r="G14">
            <v>0</v>
          </cell>
          <cell r="H14">
            <v>0</v>
          </cell>
          <cell r="I14">
            <v>0</v>
          </cell>
          <cell r="J14">
            <v>0</v>
          </cell>
          <cell r="K14">
            <v>0</v>
          </cell>
          <cell r="L14">
            <v>0</v>
          </cell>
          <cell r="M14">
            <v>0</v>
          </cell>
          <cell r="N14">
            <v>0</v>
          </cell>
          <cell r="P14">
            <v>26084.21</v>
          </cell>
          <cell r="Q14">
            <v>13633.35</v>
          </cell>
          <cell r="R14">
            <v>5327</v>
          </cell>
          <cell r="S14">
            <v>6953</v>
          </cell>
          <cell r="T14">
            <v>4978.3900000000003</v>
          </cell>
          <cell r="U14">
            <v>192884.68</v>
          </cell>
          <cell r="V14">
            <v>0</v>
          </cell>
          <cell r="W14">
            <v>0</v>
          </cell>
          <cell r="X14">
            <v>0</v>
          </cell>
          <cell r="Y14">
            <v>0</v>
          </cell>
          <cell r="Z14">
            <v>-46.6</v>
          </cell>
          <cell r="AA14">
            <v>7418.51</v>
          </cell>
          <cell r="AC14">
            <v>7271.95</v>
          </cell>
          <cell r="AD14">
            <v>910.87</v>
          </cell>
          <cell r="AE14">
            <v>5606.89</v>
          </cell>
          <cell r="AF14">
            <v>17118.91</v>
          </cell>
          <cell r="AG14">
            <v>8127.22</v>
          </cell>
          <cell r="AH14">
            <v>21121.62</v>
          </cell>
          <cell r="AI14">
            <v>0</v>
          </cell>
          <cell r="AJ14">
            <v>-5700.2</v>
          </cell>
          <cell r="AK14">
            <v>901</v>
          </cell>
          <cell r="AL14">
            <v>0</v>
          </cell>
          <cell r="AM14">
            <v>0</v>
          </cell>
          <cell r="AN14">
            <v>0</v>
          </cell>
          <cell r="AP14">
            <v>0</v>
          </cell>
          <cell r="AQ14">
            <v>0</v>
          </cell>
          <cell r="AR14">
            <v>0</v>
          </cell>
          <cell r="AS14">
            <v>0</v>
          </cell>
          <cell r="AT14">
            <v>253459.7</v>
          </cell>
          <cell r="AU14">
            <v>350112.33</v>
          </cell>
          <cell r="AV14">
            <v>0</v>
          </cell>
          <cell r="AW14">
            <v>0</v>
          </cell>
          <cell r="AX14">
            <v>0</v>
          </cell>
          <cell r="AY14">
            <v>0</v>
          </cell>
          <cell r="AZ14">
            <v>0</v>
          </cell>
          <cell r="BA14">
            <v>0</v>
          </cell>
          <cell r="BC14">
            <v>0</v>
          </cell>
          <cell r="BD14">
            <v>0</v>
          </cell>
          <cell r="BE14">
            <v>0</v>
          </cell>
          <cell r="BF14">
            <v>0</v>
          </cell>
          <cell r="BG14">
            <v>0</v>
          </cell>
          <cell r="BH14">
            <v>0</v>
          </cell>
          <cell r="BI14">
            <v>0</v>
          </cell>
          <cell r="BJ14">
            <v>0</v>
          </cell>
          <cell r="BK14">
            <v>0</v>
          </cell>
          <cell r="BL14">
            <v>0</v>
          </cell>
          <cell r="BM14">
            <v>0</v>
          </cell>
          <cell r="BN14">
            <v>0</v>
          </cell>
          <cell r="BP14">
            <v>0</v>
          </cell>
          <cell r="BQ14">
            <v>0</v>
          </cell>
          <cell r="BR14">
            <v>0</v>
          </cell>
          <cell r="BS14">
            <v>0</v>
          </cell>
          <cell r="BT14">
            <v>0</v>
          </cell>
          <cell r="BU14">
            <v>0</v>
          </cell>
          <cell r="BV14">
            <v>0</v>
          </cell>
          <cell r="BW14">
            <v>0</v>
          </cell>
          <cell r="BX14">
            <v>0</v>
          </cell>
          <cell r="BY14">
            <v>0</v>
          </cell>
          <cell r="BZ14">
            <v>0</v>
          </cell>
          <cell r="CA14">
            <v>0</v>
          </cell>
        </row>
        <row r="15">
          <cell r="C15">
            <v>471191.5</v>
          </cell>
          <cell r="D15">
            <v>456911.76</v>
          </cell>
          <cell r="E15">
            <v>8868425.6524999999</v>
          </cell>
          <cell r="F15">
            <v>2389516.145</v>
          </cell>
          <cell r="G15">
            <v>1127841.0525</v>
          </cell>
          <cell r="H15">
            <v>3220799.26</v>
          </cell>
          <cell r="I15">
            <v>1684612.4375</v>
          </cell>
          <cell r="J15">
            <v>5445839.2599999998</v>
          </cell>
          <cell r="K15">
            <v>7003207.0225</v>
          </cell>
          <cell r="L15">
            <v>-1772195.345</v>
          </cell>
          <cell r="M15">
            <v>7680641.8574999999</v>
          </cell>
          <cell r="N15">
            <v>7805599.0599999996</v>
          </cell>
          <cell r="O15">
            <v>44382389.662500001</v>
          </cell>
          <cell r="P15">
            <v>7476583.3899999997</v>
          </cell>
          <cell r="Q15">
            <v>4719726.4400000004</v>
          </cell>
          <cell r="R15">
            <v>7067441.8600000003</v>
          </cell>
          <cell r="S15">
            <v>5435131.2199999997</v>
          </cell>
          <cell r="T15">
            <v>6737578.71</v>
          </cell>
          <cell r="U15">
            <v>4861778.41</v>
          </cell>
          <cell r="V15">
            <v>5444077.5499999998</v>
          </cell>
          <cell r="W15">
            <v>5737333.4800000004</v>
          </cell>
          <cell r="X15">
            <v>-578265.75</v>
          </cell>
          <cell r="Y15">
            <v>4943730.99</v>
          </cell>
          <cell r="Z15">
            <v>9555742.5800000001</v>
          </cell>
          <cell r="AA15">
            <v>14020342.220000001</v>
          </cell>
          <cell r="AB15">
            <v>75421201.099999994</v>
          </cell>
          <cell r="AC15">
            <v>4244958.7756249998</v>
          </cell>
          <cell r="AD15">
            <v>3839635.6193749998</v>
          </cell>
          <cell r="AE15">
            <v>3837572.5093749999</v>
          </cell>
          <cell r="AF15">
            <v>4035690.8493750002</v>
          </cell>
          <cell r="AG15">
            <v>3818670.379375</v>
          </cell>
          <cell r="AH15">
            <v>3953382.819375</v>
          </cell>
          <cell r="AI15">
            <v>5069854.8393750004</v>
          </cell>
          <cell r="AJ15">
            <v>3356147.0293749999</v>
          </cell>
          <cell r="AK15">
            <v>3255892.0793750002</v>
          </cell>
          <cell r="AL15">
            <v>3925478.1593749998</v>
          </cell>
          <cell r="AM15">
            <v>3464146.6993749999</v>
          </cell>
          <cell r="AN15">
            <v>-2077704.7306250001</v>
          </cell>
          <cell r="AO15">
            <v>40723725.028750002</v>
          </cell>
          <cell r="AP15">
            <v>3353067.165</v>
          </cell>
          <cell r="AQ15">
            <v>3395409.2050000001</v>
          </cell>
          <cell r="AR15">
            <v>3225114.6749999998</v>
          </cell>
          <cell r="AS15">
            <v>3269316.37</v>
          </cell>
          <cell r="AT15">
            <v>3548139.83</v>
          </cell>
          <cell r="AU15">
            <v>3621868.14</v>
          </cell>
          <cell r="AV15">
            <v>3335914.57</v>
          </cell>
          <cell r="AW15">
            <v>1279731.1399999999</v>
          </cell>
          <cell r="AX15">
            <v>-5875771.4199999999</v>
          </cell>
          <cell r="AY15">
            <v>2412735.7200000002</v>
          </cell>
          <cell r="AZ15">
            <v>2479165.4500000002</v>
          </cell>
          <cell r="BA15">
            <v>4268632.18</v>
          </cell>
          <cell r="BB15">
            <v>28313323.024999999</v>
          </cell>
          <cell r="BC15">
            <v>2721480.92</v>
          </cell>
          <cell r="BD15">
            <v>2061785.55</v>
          </cell>
          <cell r="BE15">
            <v>11910120.310000001</v>
          </cell>
          <cell r="BF15">
            <v>12586050.859999999</v>
          </cell>
          <cell r="BG15">
            <v>3424186.07</v>
          </cell>
          <cell r="BH15">
            <v>3199085.19</v>
          </cell>
          <cell r="BI15">
            <v>3128374.8</v>
          </cell>
          <cell r="BJ15">
            <v>3360192.22</v>
          </cell>
          <cell r="BK15">
            <v>3067483.38</v>
          </cell>
          <cell r="BL15">
            <v>3095035.48</v>
          </cell>
          <cell r="BM15">
            <v>3724239.54</v>
          </cell>
          <cell r="BN15">
            <v>3264228.97</v>
          </cell>
          <cell r="BO15">
            <v>55542263.289999999</v>
          </cell>
          <cell r="BP15">
            <v>3019968.86</v>
          </cell>
          <cell r="BQ15">
            <v>2831755.37</v>
          </cell>
          <cell r="BR15">
            <v>3706909.82</v>
          </cell>
          <cell r="BS15">
            <v>3711179.04</v>
          </cell>
          <cell r="BT15">
            <v>3125015.32</v>
          </cell>
          <cell r="BU15">
            <v>3042393.45</v>
          </cell>
          <cell r="BV15">
            <v>3182145.1</v>
          </cell>
          <cell r="BW15">
            <v>3251110.26</v>
          </cell>
          <cell r="BX15">
            <v>3051136.41</v>
          </cell>
          <cell r="BY15">
            <v>2975129.08</v>
          </cell>
          <cell r="BZ15">
            <v>4026846.74</v>
          </cell>
          <cell r="CA15">
            <v>6939306.9677544599</v>
          </cell>
          <cell r="CB15">
            <v>42862896.417754501</v>
          </cell>
        </row>
        <row r="16">
          <cell r="C16">
            <v>0</v>
          </cell>
          <cell r="D16">
            <v>0</v>
          </cell>
          <cell r="E16">
            <v>2879957.1375000002</v>
          </cell>
          <cell r="F16">
            <v>967185.54</v>
          </cell>
          <cell r="G16">
            <v>1013629.4625</v>
          </cell>
          <cell r="H16">
            <v>973491.83250000002</v>
          </cell>
          <cell r="I16">
            <v>1054353.1375</v>
          </cell>
          <cell r="J16">
            <v>1087692.7324999999</v>
          </cell>
          <cell r="K16">
            <v>978393.10499999998</v>
          </cell>
          <cell r="L16">
            <v>957103.6925</v>
          </cell>
          <cell r="M16">
            <v>1053798.2575000001</v>
          </cell>
          <cell r="N16">
            <v>1010552.22</v>
          </cell>
          <cell r="P16">
            <v>696152.57</v>
          </cell>
          <cell r="Q16">
            <v>691202.88</v>
          </cell>
          <cell r="R16">
            <v>691202.88</v>
          </cell>
          <cell r="S16">
            <v>645385.54</v>
          </cell>
          <cell r="T16">
            <v>608870</v>
          </cell>
          <cell r="U16">
            <v>649167.48</v>
          </cell>
          <cell r="V16">
            <v>571762.46</v>
          </cell>
          <cell r="W16">
            <v>599171.65</v>
          </cell>
          <cell r="X16">
            <v>618318.30000000005</v>
          </cell>
          <cell r="Y16">
            <v>626251.4</v>
          </cell>
          <cell r="Z16">
            <v>615985.94999999995</v>
          </cell>
          <cell r="AA16">
            <v>843163.51</v>
          </cell>
          <cell r="AC16">
            <v>766456.45562499994</v>
          </cell>
          <cell r="AD16">
            <v>595529.53562500002</v>
          </cell>
          <cell r="AE16">
            <v>564166.515625</v>
          </cell>
          <cell r="AF16">
            <v>575936.71562499995</v>
          </cell>
          <cell r="AG16">
            <v>581323.395625</v>
          </cell>
          <cell r="AH16">
            <v>674120.35562499997</v>
          </cell>
          <cell r="AI16">
            <v>681433.69562500005</v>
          </cell>
          <cell r="AJ16">
            <v>693728.18562500004</v>
          </cell>
          <cell r="AK16">
            <v>679410.03562500002</v>
          </cell>
          <cell r="AL16">
            <v>721968.03562500002</v>
          </cell>
          <cell r="AM16">
            <v>773792.16562500002</v>
          </cell>
          <cell r="AN16">
            <v>693810.46562499995</v>
          </cell>
          <cell r="AP16">
            <v>453924.22562500002</v>
          </cell>
          <cell r="AQ16">
            <v>455549.325625</v>
          </cell>
          <cell r="AR16">
            <v>382734.85562500003</v>
          </cell>
          <cell r="AS16">
            <v>382277.94</v>
          </cell>
          <cell r="AT16">
            <v>353435.1</v>
          </cell>
          <cell r="AU16">
            <v>307998.62</v>
          </cell>
          <cell r="AV16">
            <v>311805.90000000002</v>
          </cell>
          <cell r="AW16">
            <v>375408.45</v>
          </cell>
          <cell r="AX16">
            <v>310708.5</v>
          </cell>
          <cell r="AY16">
            <v>312526.03000000003</v>
          </cell>
          <cell r="AZ16">
            <v>353526.24</v>
          </cell>
          <cell r="BA16">
            <v>335265.31</v>
          </cell>
          <cell r="BC16">
            <v>696210.66</v>
          </cell>
          <cell r="BD16">
            <v>30916.13</v>
          </cell>
          <cell r="BE16">
            <v>436889.8</v>
          </cell>
          <cell r="BF16">
            <v>233292.89</v>
          </cell>
          <cell r="BG16">
            <v>492750.02</v>
          </cell>
          <cell r="BH16">
            <v>272391.67</v>
          </cell>
          <cell r="BI16">
            <v>124852.99</v>
          </cell>
          <cell r="BJ16">
            <v>431042.97</v>
          </cell>
          <cell r="BK16">
            <v>136167.82</v>
          </cell>
          <cell r="BL16">
            <v>128332.54</v>
          </cell>
          <cell r="BM16">
            <v>122509.6</v>
          </cell>
          <cell r="BN16">
            <v>113012.08</v>
          </cell>
          <cell r="BP16">
            <v>405565.11</v>
          </cell>
          <cell r="BQ16">
            <v>274819.56</v>
          </cell>
          <cell r="BR16">
            <v>178398.41</v>
          </cell>
          <cell r="BS16">
            <v>194801.29</v>
          </cell>
          <cell r="BT16">
            <v>190293.14</v>
          </cell>
          <cell r="BU16">
            <v>175119.38</v>
          </cell>
          <cell r="BV16">
            <v>168937.36</v>
          </cell>
          <cell r="BW16">
            <v>330645.27</v>
          </cell>
          <cell r="BX16">
            <v>267645.27</v>
          </cell>
          <cell r="BY16">
            <v>172468.86</v>
          </cell>
          <cell r="BZ16">
            <v>163893.51</v>
          </cell>
          <cell r="CA16">
            <v>168864.30666666699</v>
          </cell>
        </row>
        <row r="17">
          <cell r="C17">
            <v>0</v>
          </cell>
          <cell r="D17">
            <v>0</v>
          </cell>
          <cell r="E17">
            <v>444111.97</v>
          </cell>
          <cell r="F17">
            <v>236027.495</v>
          </cell>
          <cell r="G17">
            <v>46453.907500000001</v>
          </cell>
          <cell r="H17">
            <v>297392.42749999999</v>
          </cell>
          <cell r="I17">
            <v>130983.4725</v>
          </cell>
          <cell r="J17">
            <v>301152.46500000003</v>
          </cell>
          <cell r="K17">
            <v>225422.9075</v>
          </cell>
          <cell r="L17">
            <v>916002.12749999994</v>
          </cell>
          <cell r="M17">
            <v>1546739.6625000001</v>
          </cell>
          <cell r="N17">
            <v>877325.87</v>
          </cell>
          <cell r="P17">
            <v>204595.27</v>
          </cell>
          <cell r="Q17">
            <v>219947.27</v>
          </cell>
          <cell r="R17">
            <v>200527.27</v>
          </cell>
          <cell r="S17">
            <v>176839.87</v>
          </cell>
          <cell r="T17">
            <v>212752.51</v>
          </cell>
          <cell r="U17">
            <v>209559.67</v>
          </cell>
          <cell r="V17">
            <v>1091252.51</v>
          </cell>
          <cell r="W17">
            <v>336562.35</v>
          </cell>
          <cell r="X17">
            <v>199592.84</v>
          </cell>
          <cell r="Y17">
            <v>206685.37</v>
          </cell>
          <cell r="Z17">
            <v>216744.37</v>
          </cell>
          <cell r="AA17">
            <v>328172.13</v>
          </cell>
          <cell r="AC17">
            <v>70911.919374999998</v>
          </cell>
          <cell r="AD17">
            <v>69722.919374999998</v>
          </cell>
          <cell r="AE17">
            <v>69722.919374999998</v>
          </cell>
          <cell r="AF17">
            <v>69722.919374999998</v>
          </cell>
          <cell r="AG17">
            <v>63098.439375000002</v>
          </cell>
          <cell r="AH17">
            <v>74652.619374999995</v>
          </cell>
          <cell r="AI17">
            <v>70971.919374999998</v>
          </cell>
          <cell r="AJ17">
            <v>72136.919374999998</v>
          </cell>
          <cell r="AK17">
            <v>70869.479374999995</v>
          </cell>
          <cell r="AL17">
            <v>72462.919374999998</v>
          </cell>
          <cell r="AM17">
            <v>71944.019375000003</v>
          </cell>
          <cell r="AN17">
            <v>74759.419374999998</v>
          </cell>
          <cell r="AP17">
            <v>14344.919374999999</v>
          </cell>
          <cell r="AQ17">
            <v>14581.529375</v>
          </cell>
          <cell r="AR17">
            <v>14646.019375</v>
          </cell>
          <cell r="AS17">
            <v>0</v>
          </cell>
          <cell r="AT17">
            <v>50506.6</v>
          </cell>
          <cell r="AU17">
            <v>69118.759999999995</v>
          </cell>
          <cell r="AV17">
            <v>12780.67</v>
          </cell>
          <cell r="AW17">
            <v>71695.23</v>
          </cell>
          <cell r="AX17">
            <v>92460.65</v>
          </cell>
          <cell r="AY17">
            <v>3492.79</v>
          </cell>
          <cell r="AZ17">
            <v>67860.42</v>
          </cell>
          <cell r="BA17">
            <v>58075.94</v>
          </cell>
          <cell r="BC17">
            <v>589.14</v>
          </cell>
          <cell r="BD17">
            <v>2662.06</v>
          </cell>
          <cell r="BE17">
            <v>2815.44</v>
          </cell>
          <cell r="BF17">
            <v>17096.34</v>
          </cell>
          <cell r="BG17">
            <v>8536.4500000000007</v>
          </cell>
          <cell r="BH17">
            <v>2154.73</v>
          </cell>
          <cell r="BI17">
            <v>6478.6200000000099</v>
          </cell>
          <cell r="BJ17">
            <v>3243.6800000000098</v>
          </cell>
          <cell r="BK17">
            <v>2355.1100000000301</v>
          </cell>
          <cell r="BL17">
            <v>6725.06</v>
          </cell>
          <cell r="BM17">
            <v>2094.79000000004</v>
          </cell>
          <cell r="BN17">
            <v>3840.14</v>
          </cell>
          <cell r="BP17">
            <v>3981.96</v>
          </cell>
          <cell r="BQ17">
            <v>80</v>
          </cell>
          <cell r="BR17">
            <v>2913.98</v>
          </cell>
          <cell r="BS17">
            <v>3844.96</v>
          </cell>
          <cell r="BT17">
            <v>3091.33</v>
          </cell>
          <cell r="BU17">
            <v>2095.79</v>
          </cell>
          <cell r="BV17">
            <v>596</v>
          </cell>
          <cell r="BW17">
            <v>2347.96</v>
          </cell>
          <cell r="BX17">
            <v>8069.45</v>
          </cell>
          <cell r="BY17">
            <v>1567.4</v>
          </cell>
          <cell r="BZ17">
            <v>1762.43</v>
          </cell>
          <cell r="CA17">
            <v>2997</v>
          </cell>
        </row>
        <row r="18">
          <cell r="C18">
            <v>0</v>
          </cell>
          <cell r="D18">
            <v>0</v>
          </cell>
          <cell r="E18">
            <v>9130.9500000000007</v>
          </cell>
          <cell r="F18">
            <v>-19888.09</v>
          </cell>
          <cell r="G18">
            <v>0</v>
          </cell>
          <cell r="H18">
            <v>577015.16</v>
          </cell>
          <cell r="I18">
            <v>-163592.23000000001</v>
          </cell>
          <cell r="J18">
            <v>2361150</v>
          </cell>
          <cell r="K18">
            <v>4538108.8600000003</v>
          </cell>
          <cell r="L18">
            <v>-4995758.9000000004</v>
          </cell>
          <cell r="M18">
            <v>2413355.33</v>
          </cell>
          <cell r="N18">
            <v>941087.62</v>
          </cell>
          <cell r="P18">
            <v>-284819.78000000003</v>
          </cell>
          <cell r="Q18">
            <v>55300</v>
          </cell>
          <cell r="R18">
            <v>0</v>
          </cell>
          <cell r="S18">
            <v>-15342.98</v>
          </cell>
          <cell r="T18">
            <v>1620736.66</v>
          </cell>
          <cell r="U18">
            <v>43271.55</v>
          </cell>
          <cell r="V18">
            <v>0</v>
          </cell>
          <cell r="W18">
            <v>1116899.97</v>
          </cell>
          <cell r="X18">
            <v>426728.57</v>
          </cell>
          <cell r="Y18">
            <v>47437.47</v>
          </cell>
          <cell r="Z18">
            <v>1113151.3899999999</v>
          </cell>
          <cell r="AA18">
            <v>3705695.69</v>
          </cell>
          <cell r="AC18">
            <v>0</v>
          </cell>
          <cell r="AD18">
            <v>0</v>
          </cell>
          <cell r="AE18">
            <v>0</v>
          </cell>
          <cell r="AF18">
            <v>0</v>
          </cell>
          <cell r="AG18">
            <v>0</v>
          </cell>
          <cell r="AH18">
            <v>0</v>
          </cell>
          <cell r="AI18">
            <v>251379.05</v>
          </cell>
          <cell r="AJ18">
            <v>89280.09</v>
          </cell>
          <cell r="AK18">
            <v>0</v>
          </cell>
          <cell r="AL18">
            <v>524700</v>
          </cell>
          <cell r="AM18">
            <v>-13207.55</v>
          </cell>
          <cell r="AN18">
            <v>441520.4</v>
          </cell>
          <cell r="AP18">
            <v>-29700.02</v>
          </cell>
          <cell r="AQ18">
            <v>0</v>
          </cell>
          <cell r="AR18">
            <v>-60142.53</v>
          </cell>
          <cell r="AS18">
            <v>0</v>
          </cell>
          <cell r="AT18">
            <v>253459.7</v>
          </cell>
          <cell r="AU18">
            <v>350112.33</v>
          </cell>
          <cell r="AV18">
            <v>0</v>
          </cell>
          <cell r="AW18">
            <v>0</v>
          </cell>
          <cell r="AX18">
            <v>0</v>
          </cell>
          <cell r="AY18">
            <v>0</v>
          </cell>
          <cell r="AZ18">
            <v>0</v>
          </cell>
          <cell r="BA18">
            <v>0</v>
          </cell>
          <cell r="BC18">
            <v>0</v>
          </cell>
          <cell r="BD18">
            <v>0</v>
          </cell>
          <cell r="BE18">
            <v>0</v>
          </cell>
          <cell r="BF18">
            <v>0</v>
          </cell>
          <cell r="BG18">
            <v>0</v>
          </cell>
          <cell r="BH18">
            <v>0</v>
          </cell>
          <cell r="BI18">
            <v>0</v>
          </cell>
          <cell r="BJ18">
            <v>0</v>
          </cell>
          <cell r="BK18">
            <v>0</v>
          </cell>
          <cell r="BL18">
            <v>0</v>
          </cell>
          <cell r="BM18">
            <v>0</v>
          </cell>
          <cell r="BN18">
            <v>0</v>
          </cell>
          <cell r="BP18">
            <v>0</v>
          </cell>
          <cell r="BQ18">
            <v>0</v>
          </cell>
          <cell r="BR18">
            <v>0</v>
          </cell>
          <cell r="BS18">
            <v>26539.200000000001</v>
          </cell>
          <cell r="BT18">
            <v>39719</v>
          </cell>
          <cell r="BU18">
            <v>0</v>
          </cell>
          <cell r="BV18">
            <v>0</v>
          </cell>
          <cell r="BW18">
            <v>41254.28</v>
          </cell>
          <cell r="BX18">
            <v>0</v>
          </cell>
          <cell r="BY18">
            <v>0</v>
          </cell>
          <cell r="BZ18">
            <v>185714.28</v>
          </cell>
          <cell r="CA18">
            <v>1461903.64</v>
          </cell>
        </row>
        <row r="19">
          <cell r="C19">
            <v>471191.5</v>
          </cell>
          <cell r="D19">
            <v>456911.76</v>
          </cell>
          <cell r="E19">
            <v>472043.49</v>
          </cell>
          <cell r="F19">
            <v>503534.87</v>
          </cell>
          <cell r="G19">
            <v>475999.16</v>
          </cell>
          <cell r="H19">
            <v>480986.92</v>
          </cell>
          <cell r="I19">
            <v>479336.38</v>
          </cell>
          <cell r="J19">
            <v>1301713.31</v>
          </cell>
          <cell r="K19">
            <v>856061.99</v>
          </cell>
          <cell r="L19">
            <v>795604.94</v>
          </cell>
          <cell r="M19">
            <v>630070.62</v>
          </cell>
          <cell r="N19">
            <v>814369.81</v>
          </cell>
          <cell r="P19">
            <v>505436.44</v>
          </cell>
          <cell r="Q19">
            <v>469826.98</v>
          </cell>
          <cell r="R19">
            <v>655890.30000000005</v>
          </cell>
          <cell r="S19">
            <v>462821.79</v>
          </cell>
          <cell r="T19">
            <v>891023.32</v>
          </cell>
          <cell r="U19">
            <v>494784.86</v>
          </cell>
          <cell r="V19">
            <v>870776.59</v>
          </cell>
          <cell r="W19">
            <v>517369.33</v>
          </cell>
          <cell r="X19">
            <v>-5115503.34</v>
          </cell>
          <cell r="Y19">
            <v>523363.09</v>
          </cell>
          <cell r="Z19">
            <v>1075191.27</v>
          </cell>
          <cell r="AA19">
            <v>668193.82999999996</v>
          </cell>
          <cell r="AC19">
            <v>461675.66</v>
          </cell>
          <cell r="AD19">
            <v>431249.82</v>
          </cell>
          <cell r="AE19">
            <v>441730.58</v>
          </cell>
          <cell r="AF19">
            <v>628490.38</v>
          </cell>
          <cell r="AG19">
            <v>431438.09</v>
          </cell>
          <cell r="AH19">
            <v>435232.54</v>
          </cell>
          <cell r="AI19">
            <v>431249.82</v>
          </cell>
          <cell r="AJ19">
            <v>366674.17</v>
          </cell>
          <cell r="AK19">
            <v>437419.57</v>
          </cell>
          <cell r="AL19">
            <v>439990.21</v>
          </cell>
          <cell r="AM19">
            <v>484562.06</v>
          </cell>
          <cell r="AN19">
            <v>-5718195.0300000003</v>
          </cell>
          <cell r="AP19">
            <v>891576.55</v>
          </cell>
          <cell r="AQ19">
            <v>862499.64</v>
          </cell>
          <cell r="AR19">
            <v>862499.64</v>
          </cell>
          <cell r="AS19">
            <v>862499.64</v>
          </cell>
          <cell r="AT19">
            <v>862499.64</v>
          </cell>
          <cell r="AU19">
            <v>862499.64</v>
          </cell>
          <cell r="AV19">
            <v>862499.64</v>
          </cell>
          <cell r="AW19">
            <v>-1247569.07</v>
          </cell>
          <cell r="AX19">
            <v>-8435187.7200000007</v>
          </cell>
          <cell r="AY19">
            <v>0</v>
          </cell>
          <cell r="AZ19">
            <v>0</v>
          </cell>
          <cell r="BA19">
            <v>1535190.6</v>
          </cell>
          <cell r="BC19">
            <v>1782.87</v>
          </cell>
          <cell r="BD19">
            <v>3668.57</v>
          </cell>
          <cell r="BE19">
            <v>9445876.2799999993</v>
          </cell>
          <cell r="BF19">
            <v>10311122.84</v>
          </cell>
          <cell r="BG19">
            <v>898360.81</v>
          </cell>
          <cell r="BH19">
            <v>900000</v>
          </cell>
          <cell r="BI19">
            <v>972504.4</v>
          </cell>
          <cell r="BJ19">
            <v>901366.78</v>
          </cell>
          <cell r="BK19">
            <v>904421.66</v>
          </cell>
          <cell r="BL19">
            <v>935439.09</v>
          </cell>
          <cell r="BM19">
            <v>896799.64</v>
          </cell>
          <cell r="BN19">
            <v>884323.44</v>
          </cell>
          <cell r="BP19">
            <v>566006.79</v>
          </cell>
          <cell r="BQ19">
            <v>374349.07</v>
          </cell>
          <cell r="BR19">
            <v>476514.91</v>
          </cell>
          <cell r="BS19">
            <v>501189.38</v>
          </cell>
          <cell r="BT19">
            <v>516455.55</v>
          </cell>
          <cell r="BU19">
            <v>546355.54</v>
          </cell>
          <cell r="BV19">
            <v>544010.18999999994</v>
          </cell>
          <cell r="BW19">
            <v>492164.81</v>
          </cell>
          <cell r="BX19">
            <v>573914.18999999994</v>
          </cell>
          <cell r="BY19">
            <v>606473.42000000004</v>
          </cell>
          <cell r="BZ19">
            <v>607466.74</v>
          </cell>
          <cell r="CA19">
            <v>1694579.58108779</v>
          </cell>
        </row>
        <row r="20">
          <cell r="C20">
            <v>0</v>
          </cell>
          <cell r="D20">
            <v>0</v>
          </cell>
          <cell r="E20">
            <v>0</v>
          </cell>
          <cell r="F20">
            <v>0</v>
          </cell>
          <cell r="G20">
            <v>0</v>
          </cell>
          <cell r="H20">
            <v>0</v>
          </cell>
          <cell r="I20">
            <v>0</v>
          </cell>
          <cell r="J20">
            <v>0</v>
          </cell>
          <cell r="K20">
            <v>0</v>
          </cell>
          <cell r="L20">
            <v>0</v>
          </cell>
          <cell r="M20">
            <v>0</v>
          </cell>
          <cell r="N20">
            <v>0</v>
          </cell>
          <cell r="P20">
            <v>0</v>
          </cell>
          <cell r="Q20">
            <v>0</v>
          </cell>
          <cell r="R20">
            <v>0</v>
          </cell>
          <cell r="S20">
            <v>0</v>
          </cell>
          <cell r="T20">
            <v>0</v>
          </cell>
          <cell r="U20">
            <v>0</v>
          </cell>
          <cell r="V20">
            <v>0</v>
          </cell>
          <cell r="W20">
            <v>0</v>
          </cell>
          <cell r="X20">
            <v>0</v>
          </cell>
          <cell r="Y20">
            <v>0</v>
          </cell>
          <cell r="Z20">
            <v>0</v>
          </cell>
          <cell r="AA20">
            <v>0</v>
          </cell>
          <cell r="AC20">
            <v>0</v>
          </cell>
          <cell r="AD20">
            <v>0</v>
          </cell>
          <cell r="AE20">
            <v>0</v>
          </cell>
          <cell r="AF20">
            <v>0</v>
          </cell>
          <cell r="AG20">
            <v>0</v>
          </cell>
          <cell r="AH20">
            <v>0</v>
          </cell>
          <cell r="AI20">
            <v>0</v>
          </cell>
          <cell r="AJ20">
            <v>0</v>
          </cell>
          <cell r="AK20">
            <v>0</v>
          </cell>
          <cell r="AL20">
            <v>0</v>
          </cell>
          <cell r="AM20">
            <v>0</v>
          </cell>
          <cell r="AN20">
            <v>0</v>
          </cell>
          <cell r="AP20">
            <v>0</v>
          </cell>
          <cell r="AQ20">
            <v>0</v>
          </cell>
          <cell r="AR20">
            <v>0</v>
          </cell>
          <cell r="AS20">
            <v>0</v>
          </cell>
          <cell r="AT20">
            <v>0</v>
          </cell>
          <cell r="AU20">
            <v>0</v>
          </cell>
          <cell r="AV20">
            <v>0</v>
          </cell>
          <cell r="AW20">
            <v>0</v>
          </cell>
          <cell r="AX20">
            <v>0</v>
          </cell>
          <cell r="AY20">
            <v>0</v>
          </cell>
          <cell r="AZ20">
            <v>0</v>
          </cell>
          <cell r="BA20">
            <v>0</v>
          </cell>
          <cell r="BC20">
            <v>0</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BV20">
            <v>0</v>
          </cell>
          <cell r="BW20">
            <v>0</v>
          </cell>
          <cell r="BX20">
            <v>0</v>
          </cell>
          <cell r="BY20">
            <v>0</v>
          </cell>
          <cell r="BZ20">
            <v>0</v>
          </cell>
          <cell r="CA20">
            <v>0</v>
          </cell>
        </row>
        <row r="21">
          <cell r="C21">
            <v>0</v>
          </cell>
          <cell r="D21">
            <v>0</v>
          </cell>
          <cell r="E21">
            <v>3675.28</v>
          </cell>
          <cell r="F21">
            <v>134190</v>
          </cell>
          <cell r="G21">
            <v>188000</v>
          </cell>
          <cell r="H21">
            <v>6500</v>
          </cell>
          <cell r="I21">
            <v>-16157.59</v>
          </cell>
          <cell r="J21">
            <v>94889.32</v>
          </cell>
          <cell r="K21">
            <v>0</v>
          </cell>
          <cell r="L21">
            <v>0</v>
          </cell>
          <cell r="M21">
            <v>346832.38</v>
          </cell>
          <cell r="N21">
            <v>71664.289999999994</v>
          </cell>
          <cell r="P21">
            <v>-110.38</v>
          </cell>
          <cell r="Q21">
            <v>0</v>
          </cell>
          <cell r="R21">
            <v>-22233.3</v>
          </cell>
          <cell r="S21">
            <v>43915</v>
          </cell>
          <cell r="T21">
            <v>22169.82</v>
          </cell>
          <cell r="U21">
            <v>-18534.12</v>
          </cell>
          <cell r="V21">
            <v>-87.380000000000095</v>
          </cell>
          <cell r="W21">
            <v>-26238</v>
          </cell>
          <cell r="X21">
            <v>0</v>
          </cell>
          <cell r="Y21">
            <v>0</v>
          </cell>
          <cell r="Z21">
            <v>152161.79999999999</v>
          </cell>
          <cell r="AA21">
            <v>236352.05</v>
          </cell>
          <cell r="AC21">
            <v>0</v>
          </cell>
          <cell r="AD21">
            <v>0</v>
          </cell>
          <cell r="AE21">
            <v>0</v>
          </cell>
          <cell r="AF21">
            <v>0</v>
          </cell>
          <cell r="AG21">
            <v>-12401.16</v>
          </cell>
          <cell r="AH21">
            <v>884.96</v>
          </cell>
          <cell r="AI21">
            <v>0</v>
          </cell>
          <cell r="AJ21">
            <v>0</v>
          </cell>
          <cell r="AK21">
            <v>0</v>
          </cell>
          <cell r="AL21">
            <v>0</v>
          </cell>
          <cell r="AM21">
            <v>0</v>
          </cell>
          <cell r="AN21">
            <v>171402.37</v>
          </cell>
          <cell r="AP21">
            <v>-2455.1999999999998</v>
          </cell>
          <cell r="AQ21">
            <v>0</v>
          </cell>
          <cell r="AR21">
            <v>0</v>
          </cell>
          <cell r="AS21">
            <v>0</v>
          </cell>
          <cell r="AT21">
            <v>3700</v>
          </cell>
          <cell r="AU21">
            <v>7600</v>
          </cell>
          <cell r="AV21">
            <v>0</v>
          </cell>
          <cell r="AW21">
            <v>0</v>
          </cell>
          <cell r="AX21">
            <v>129418.36</v>
          </cell>
          <cell r="AY21">
            <v>70941.56</v>
          </cell>
          <cell r="AZ21">
            <v>0</v>
          </cell>
          <cell r="BA21">
            <v>0</v>
          </cell>
          <cell r="BC21">
            <v>0</v>
          </cell>
          <cell r="BD21">
            <v>0</v>
          </cell>
          <cell r="BE21">
            <v>0</v>
          </cell>
          <cell r="BF21">
            <v>0</v>
          </cell>
          <cell r="BG21">
            <v>0</v>
          </cell>
          <cell r="BH21">
            <v>0</v>
          </cell>
          <cell r="BI21">
            <v>0</v>
          </cell>
          <cell r="BJ21">
            <v>0</v>
          </cell>
          <cell r="BK21">
            <v>0</v>
          </cell>
          <cell r="BL21">
            <v>0</v>
          </cell>
          <cell r="BM21">
            <v>0</v>
          </cell>
          <cell r="BN21">
            <v>0</v>
          </cell>
          <cell r="BP21">
            <v>0</v>
          </cell>
          <cell r="BQ21">
            <v>0</v>
          </cell>
          <cell r="BR21">
            <v>0</v>
          </cell>
          <cell r="BS21">
            <v>0</v>
          </cell>
          <cell r="BT21">
            <v>0</v>
          </cell>
          <cell r="BU21">
            <v>0</v>
          </cell>
          <cell r="BV21">
            <v>0</v>
          </cell>
          <cell r="BW21">
            <v>0</v>
          </cell>
          <cell r="BX21">
            <v>0</v>
          </cell>
          <cell r="BY21">
            <v>0</v>
          </cell>
          <cell r="BZ21">
            <v>0</v>
          </cell>
          <cell r="CA21">
            <v>0</v>
          </cell>
        </row>
        <row r="22">
          <cell r="C22">
            <v>0</v>
          </cell>
          <cell r="D22">
            <v>0</v>
          </cell>
          <cell r="E22">
            <v>0</v>
          </cell>
          <cell r="F22">
            <v>0</v>
          </cell>
          <cell r="G22">
            <v>0</v>
          </cell>
          <cell r="H22">
            <v>0</v>
          </cell>
          <cell r="I22">
            <v>0</v>
          </cell>
          <cell r="J22">
            <v>0</v>
          </cell>
          <cell r="K22">
            <v>0</v>
          </cell>
          <cell r="L22">
            <v>0</v>
          </cell>
          <cell r="M22">
            <v>0</v>
          </cell>
          <cell r="N22">
            <v>0</v>
          </cell>
          <cell r="P22">
            <v>0</v>
          </cell>
          <cell r="Q22">
            <v>0</v>
          </cell>
          <cell r="R22">
            <v>0</v>
          </cell>
          <cell r="S22">
            <v>0</v>
          </cell>
          <cell r="T22">
            <v>0</v>
          </cell>
          <cell r="U22">
            <v>0</v>
          </cell>
          <cell r="V22">
            <v>0</v>
          </cell>
          <cell r="W22">
            <v>0</v>
          </cell>
          <cell r="X22">
            <v>0</v>
          </cell>
          <cell r="Y22">
            <v>0</v>
          </cell>
          <cell r="Z22">
            <v>0</v>
          </cell>
          <cell r="AA22">
            <v>0</v>
          </cell>
          <cell r="AC22">
            <v>0</v>
          </cell>
          <cell r="AD22">
            <v>0</v>
          </cell>
          <cell r="AE22">
            <v>0</v>
          </cell>
          <cell r="AF22">
            <v>0</v>
          </cell>
          <cell r="AG22">
            <v>0</v>
          </cell>
          <cell r="AH22">
            <v>0</v>
          </cell>
          <cell r="AI22">
            <v>0</v>
          </cell>
          <cell r="AJ22">
            <v>0</v>
          </cell>
          <cell r="AK22">
            <v>0</v>
          </cell>
          <cell r="AL22">
            <v>0</v>
          </cell>
          <cell r="AM22">
            <v>0</v>
          </cell>
          <cell r="AN22">
            <v>0</v>
          </cell>
          <cell r="AP22">
            <v>0</v>
          </cell>
          <cell r="AQ22">
            <v>0</v>
          </cell>
          <cell r="AR22">
            <v>0</v>
          </cell>
          <cell r="AS22">
            <v>0</v>
          </cell>
          <cell r="AT22">
            <v>0</v>
          </cell>
          <cell r="AU22">
            <v>0</v>
          </cell>
          <cell r="AV22">
            <v>0</v>
          </cell>
          <cell r="AW22">
            <v>0</v>
          </cell>
          <cell r="AX22">
            <v>0</v>
          </cell>
          <cell r="AY22">
            <v>0</v>
          </cell>
          <cell r="AZ22">
            <v>0</v>
          </cell>
          <cell r="BA22">
            <v>0</v>
          </cell>
          <cell r="BC22">
            <v>0</v>
          </cell>
          <cell r="BD22">
            <v>0</v>
          </cell>
          <cell r="BE22">
            <v>0</v>
          </cell>
          <cell r="BF22">
            <v>0</v>
          </cell>
          <cell r="BG22">
            <v>0</v>
          </cell>
          <cell r="BH22">
            <v>0</v>
          </cell>
          <cell r="BI22">
            <v>0</v>
          </cell>
          <cell r="BJ22">
            <v>0</v>
          </cell>
          <cell r="BK22">
            <v>0</v>
          </cell>
          <cell r="BL22">
            <v>0</v>
          </cell>
          <cell r="BM22">
            <v>0</v>
          </cell>
          <cell r="BN22">
            <v>0</v>
          </cell>
          <cell r="BP22">
            <v>0</v>
          </cell>
          <cell r="BQ22">
            <v>0</v>
          </cell>
          <cell r="BR22">
            <v>0</v>
          </cell>
          <cell r="BS22">
            <v>0</v>
          </cell>
          <cell r="BT22">
            <v>0</v>
          </cell>
          <cell r="BU22">
            <v>0</v>
          </cell>
          <cell r="BV22">
            <v>0</v>
          </cell>
          <cell r="BW22">
            <v>0</v>
          </cell>
          <cell r="BX22">
            <v>0</v>
          </cell>
          <cell r="BY22">
            <v>0</v>
          </cell>
          <cell r="BZ22">
            <v>0</v>
          </cell>
          <cell r="CA22">
            <v>0</v>
          </cell>
        </row>
        <row r="23">
          <cell r="C23">
            <v>0</v>
          </cell>
          <cell r="D23">
            <v>0</v>
          </cell>
          <cell r="E23">
            <v>10400</v>
          </cell>
          <cell r="F23">
            <v>10400</v>
          </cell>
          <cell r="G23">
            <v>18200</v>
          </cell>
          <cell r="H23">
            <v>10400</v>
          </cell>
          <cell r="I23">
            <v>11933.86</v>
          </cell>
          <cell r="J23">
            <v>63910.5</v>
          </cell>
          <cell r="K23">
            <v>13826</v>
          </cell>
          <cell r="L23">
            <v>22558</v>
          </cell>
          <cell r="M23">
            <v>17703.86</v>
          </cell>
          <cell r="N23">
            <v>135903.14000000001</v>
          </cell>
          <cell r="P23">
            <v>2600</v>
          </cell>
          <cell r="Q23">
            <v>2600</v>
          </cell>
          <cell r="R23">
            <v>0</v>
          </cell>
          <cell r="S23">
            <v>30901.89</v>
          </cell>
          <cell r="T23">
            <v>10400</v>
          </cell>
          <cell r="U23">
            <v>10400</v>
          </cell>
          <cell r="V23">
            <v>20800</v>
          </cell>
          <cell r="W23">
            <v>15600</v>
          </cell>
          <cell r="X23">
            <v>0</v>
          </cell>
          <cell r="Y23">
            <v>5200</v>
          </cell>
          <cell r="Z23">
            <v>7800</v>
          </cell>
          <cell r="AA23">
            <v>7800</v>
          </cell>
          <cell r="AC23">
            <v>0</v>
          </cell>
          <cell r="AD23">
            <v>0</v>
          </cell>
          <cell r="AE23">
            <v>0</v>
          </cell>
          <cell r="AF23">
            <v>0</v>
          </cell>
          <cell r="AG23">
            <v>0</v>
          </cell>
          <cell r="AH23">
            <v>0</v>
          </cell>
          <cell r="AI23">
            <v>0</v>
          </cell>
          <cell r="AJ23">
            <v>0</v>
          </cell>
          <cell r="AK23">
            <v>0</v>
          </cell>
          <cell r="AL23">
            <v>0</v>
          </cell>
          <cell r="AM23">
            <v>0</v>
          </cell>
          <cell r="AN23">
            <v>0</v>
          </cell>
          <cell r="AP23">
            <v>0</v>
          </cell>
          <cell r="AQ23">
            <v>0</v>
          </cell>
          <cell r="AR23">
            <v>0</v>
          </cell>
          <cell r="AS23">
            <v>0</v>
          </cell>
          <cell r="AT23">
            <v>0</v>
          </cell>
          <cell r="AU23">
            <v>0</v>
          </cell>
          <cell r="AV23">
            <v>0</v>
          </cell>
          <cell r="AW23">
            <v>0</v>
          </cell>
          <cell r="AX23">
            <v>0</v>
          </cell>
          <cell r="AY23">
            <v>0</v>
          </cell>
          <cell r="AZ23">
            <v>0</v>
          </cell>
          <cell r="BA23">
            <v>0</v>
          </cell>
          <cell r="BC23">
            <v>0</v>
          </cell>
          <cell r="BD23">
            <v>0</v>
          </cell>
          <cell r="BE23">
            <v>0</v>
          </cell>
          <cell r="BF23">
            <v>0</v>
          </cell>
          <cell r="BG23">
            <v>0</v>
          </cell>
          <cell r="BH23">
            <v>0</v>
          </cell>
          <cell r="BI23">
            <v>0</v>
          </cell>
          <cell r="BJ23">
            <v>0</v>
          </cell>
          <cell r="BK23">
            <v>0</v>
          </cell>
          <cell r="BL23">
            <v>0</v>
          </cell>
          <cell r="BM23">
            <v>0</v>
          </cell>
          <cell r="BN23">
            <v>0</v>
          </cell>
          <cell r="BP23">
            <v>0</v>
          </cell>
          <cell r="BQ23">
            <v>0</v>
          </cell>
          <cell r="BR23">
            <v>0</v>
          </cell>
          <cell r="BS23">
            <v>0</v>
          </cell>
          <cell r="BT23">
            <v>0</v>
          </cell>
          <cell r="BU23">
            <v>0</v>
          </cell>
          <cell r="BV23">
            <v>0</v>
          </cell>
          <cell r="BW23">
            <v>0</v>
          </cell>
          <cell r="BX23">
            <v>0</v>
          </cell>
          <cell r="BY23">
            <v>0</v>
          </cell>
          <cell r="BZ23">
            <v>0</v>
          </cell>
          <cell r="CA23">
            <v>0</v>
          </cell>
        </row>
        <row r="24">
          <cell r="C24">
            <v>0</v>
          </cell>
          <cell r="D24">
            <v>0</v>
          </cell>
          <cell r="E24">
            <v>479544.15</v>
          </cell>
          <cell r="F24">
            <v>22532</v>
          </cell>
          <cell r="G24">
            <v>134498</v>
          </cell>
          <cell r="H24">
            <v>164626.76999999999</v>
          </cell>
          <cell r="I24">
            <v>144577.59</v>
          </cell>
          <cell r="J24">
            <v>86593.32</v>
          </cell>
          <cell r="K24">
            <v>262153.62</v>
          </cell>
          <cell r="L24">
            <v>-289922</v>
          </cell>
          <cell r="M24">
            <v>-28990.92</v>
          </cell>
          <cell r="N24">
            <v>1723366.57</v>
          </cell>
          <cell r="P24">
            <v>390684.55</v>
          </cell>
          <cell r="Q24">
            <v>108473.82</v>
          </cell>
          <cell r="R24">
            <v>267561.34000000003</v>
          </cell>
          <cell r="S24">
            <v>161427.12</v>
          </cell>
          <cell r="T24">
            <v>212939.34</v>
          </cell>
          <cell r="U24">
            <v>273991.82</v>
          </cell>
          <cell r="V24">
            <v>303063.34000000003</v>
          </cell>
          <cell r="W24">
            <v>292322.71000000002</v>
          </cell>
          <cell r="X24">
            <v>98632.91</v>
          </cell>
          <cell r="Y24">
            <v>170957.06</v>
          </cell>
          <cell r="Z24">
            <v>474102.84</v>
          </cell>
          <cell r="AA24">
            <v>583903.46</v>
          </cell>
          <cell r="AC24">
            <v>205101.61624999999</v>
          </cell>
          <cell r="AD24">
            <v>2320.21</v>
          </cell>
          <cell r="AE24">
            <v>2320.2199999999998</v>
          </cell>
          <cell r="AF24">
            <v>1908.55</v>
          </cell>
          <cell r="AG24">
            <v>-4420.66</v>
          </cell>
          <cell r="AH24">
            <v>8860.06</v>
          </cell>
          <cell r="AI24">
            <v>1202.07</v>
          </cell>
          <cell r="AJ24">
            <v>66972.570000000007</v>
          </cell>
          <cell r="AK24">
            <v>837.9</v>
          </cell>
          <cell r="AL24">
            <v>99001.9</v>
          </cell>
          <cell r="AM24">
            <v>79700.91</v>
          </cell>
          <cell r="AN24">
            <v>191642.55</v>
          </cell>
          <cell r="AP24">
            <v>837.9</v>
          </cell>
          <cell r="AQ24">
            <v>38239.919999999998</v>
          </cell>
          <cell r="AR24">
            <v>837.9</v>
          </cell>
          <cell r="AS24">
            <v>0</v>
          </cell>
          <cell r="AT24">
            <v>0</v>
          </cell>
          <cell r="AU24">
            <v>0</v>
          </cell>
          <cell r="AV24">
            <v>124289.57</v>
          </cell>
          <cell r="AW24">
            <v>55657.74</v>
          </cell>
          <cell r="AX24">
            <v>2290</v>
          </cell>
          <cell r="AY24">
            <v>1236.55</v>
          </cell>
          <cell r="AZ24">
            <v>0</v>
          </cell>
          <cell r="BA24">
            <v>184775.85</v>
          </cell>
          <cell r="BC24">
            <v>-1640.54</v>
          </cell>
          <cell r="BD24">
            <v>0</v>
          </cell>
          <cell r="BE24">
            <v>0</v>
          </cell>
          <cell r="BF24">
            <v>0</v>
          </cell>
          <cell r="BG24">
            <v>0</v>
          </cell>
          <cell r="BH24">
            <v>0</v>
          </cell>
          <cell r="BI24">
            <v>0</v>
          </cell>
          <cell r="BJ24">
            <v>0</v>
          </cell>
          <cell r="BK24">
            <v>0</v>
          </cell>
          <cell r="BL24">
            <v>0</v>
          </cell>
          <cell r="BM24">
            <v>0</v>
          </cell>
          <cell r="BN24">
            <v>0</v>
          </cell>
          <cell r="BP24">
            <v>0</v>
          </cell>
          <cell r="BQ24">
            <v>0</v>
          </cell>
          <cell r="BR24">
            <v>0</v>
          </cell>
          <cell r="BS24">
            <v>151217.21</v>
          </cell>
          <cell r="BT24">
            <v>338224.3</v>
          </cell>
          <cell r="BU24">
            <v>278332.95</v>
          </cell>
          <cell r="BV24">
            <v>359492.6</v>
          </cell>
          <cell r="BW24">
            <v>233026.3</v>
          </cell>
          <cell r="BX24">
            <v>157092.5</v>
          </cell>
          <cell r="BY24">
            <v>30609.24</v>
          </cell>
          <cell r="BZ24">
            <v>86331.83</v>
          </cell>
          <cell r="CA24">
            <v>153574.39999999999</v>
          </cell>
        </row>
        <row r="25">
          <cell r="C25">
            <v>0</v>
          </cell>
          <cell r="D25">
            <v>0</v>
          </cell>
          <cell r="E25">
            <v>4383890.83</v>
          </cell>
          <cell r="F25">
            <v>473575.47</v>
          </cell>
          <cell r="G25">
            <v>-775771.76</v>
          </cell>
          <cell r="H25">
            <v>665315.64</v>
          </cell>
          <cell r="I25">
            <v>16553.87</v>
          </cell>
          <cell r="J25">
            <v>122410.56</v>
          </cell>
          <cell r="K25">
            <v>102001.565</v>
          </cell>
          <cell r="L25">
            <v>794091.91</v>
          </cell>
          <cell r="M25">
            <v>1672089.9</v>
          </cell>
          <cell r="N25">
            <v>2195167.17</v>
          </cell>
          <cell r="P25">
            <v>3119680.15</v>
          </cell>
          <cell r="Q25">
            <v>330010.77</v>
          </cell>
          <cell r="R25">
            <v>2432128.7999999998</v>
          </cell>
          <cell r="S25">
            <v>1101885.28</v>
          </cell>
          <cell r="T25">
            <v>331389.49</v>
          </cell>
          <cell r="U25">
            <v>381250</v>
          </cell>
          <cell r="V25">
            <v>-207084.96</v>
          </cell>
          <cell r="W25">
            <v>110606.29</v>
          </cell>
          <cell r="X25">
            <v>432210</v>
          </cell>
          <cell r="Y25">
            <v>635482</v>
          </cell>
          <cell r="Z25">
            <v>3172250.4</v>
          </cell>
          <cell r="AA25">
            <v>4922021.3600000003</v>
          </cell>
          <cell r="AC25">
            <v>42816.304375</v>
          </cell>
          <cell r="AD25">
            <v>42816.304375</v>
          </cell>
          <cell r="AE25">
            <v>42816.304375</v>
          </cell>
          <cell r="AF25">
            <v>42816.304375</v>
          </cell>
          <cell r="AG25">
            <v>42816.304375</v>
          </cell>
          <cell r="AH25">
            <v>42816.304375</v>
          </cell>
          <cell r="AI25">
            <v>42816.304375</v>
          </cell>
          <cell r="AJ25">
            <v>42816.304375</v>
          </cell>
          <cell r="AK25">
            <v>42816.304375</v>
          </cell>
          <cell r="AL25">
            <v>42816.304375</v>
          </cell>
          <cell r="AM25">
            <v>42816.304375</v>
          </cell>
          <cell r="AN25">
            <v>42816.304375</v>
          </cell>
          <cell r="AP25">
            <v>0</v>
          </cell>
          <cell r="AQ25">
            <v>0</v>
          </cell>
          <cell r="AR25">
            <v>0</v>
          </cell>
          <cell r="AS25">
            <v>0</v>
          </cell>
          <cell r="AT25">
            <v>0</v>
          </cell>
          <cell r="AU25">
            <v>0</v>
          </cell>
          <cell r="AV25">
            <v>0</v>
          </cell>
          <cell r="AW25">
            <v>0</v>
          </cell>
          <cell r="AX25">
            <v>0</v>
          </cell>
          <cell r="AY25">
            <v>0</v>
          </cell>
          <cell r="AZ25">
            <v>33240</v>
          </cell>
          <cell r="BA25">
            <v>130785.69</v>
          </cell>
          <cell r="BC25">
            <v>0</v>
          </cell>
          <cell r="BD25">
            <v>0</v>
          </cell>
          <cell r="BE25">
            <v>0</v>
          </cell>
          <cell r="BF25">
            <v>0</v>
          </cell>
          <cell r="BG25">
            <v>0</v>
          </cell>
          <cell r="BH25">
            <v>0</v>
          </cell>
          <cell r="BI25">
            <v>0</v>
          </cell>
          <cell r="BJ25">
            <v>0</v>
          </cell>
          <cell r="BK25">
            <v>0</v>
          </cell>
          <cell r="BL25">
            <v>0</v>
          </cell>
          <cell r="BM25">
            <v>566037.72</v>
          </cell>
          <cell r="BN25">
            <v>0</v>
          </cell>
          <cell r="BP25">
            <v>0</v>
          </cell>
          <cell r="BQ25">
            <v>138091.74</v>
          </cell>
          <cell r="BR25">
            <v>1004667.52</v>
          </cell>
          <cell r="BS25">
            <v>789172</v>
          </cell>
          <cell r="BT25">
            <v>-7183</v>
          </cell>
          <cell r="BU25">
            <v>-3925.21</v>
          </cell>
          <cell r="BV25">
            <v>64693.95</v>
          </cell>
          <cell r="BW25">
            <v>107256.64</v>
          </cell>
          <cell r="BX25">
            <v>0</v>
          </cell>
          <cell r="BY25">
            <v>119595.16</v>
          </cell>
          <cell r="BZ25">
            <v>937262.95</v>
          </cell>
          <cell r="CA25">
            <v>1412973.04</v>
          </cell>
        </row>
        <row r="26">
          <cell r="C26">
            <v>0</v>
          </cell>
          <cell r="D26">
            <v>0</v>
          </cell>
          <cell r="E26">
            <v>0</v>
          </cell>
          <cell r="F26">
            <v>0</v>
          </cell>
          <cell r="G26">
            <v>0</v>
          </cell>
          <cell r="H26">
            <v>0</v>
          </cell>
          <cell r="I26">
            <v>0</v>
          </cell>
          <cell r="J26">
            <v>0</v>
          </cell>
          <cell r="K26">
            <v>0</v>
          </cell>
          <cell r="L26">
            <v>0</v>
          </cell>
          <cell r="M26">
            <v>0</v>
          </cell>
          <cell r="N26">
            <v>0</v>
          </cell>
          <cell r="P26">
            <v>0</v>
          </cell>
          <cell r="Q26">
            <v>0</v>
          </cell>
          <cell r="R26">
            <v>0</v>
          </cell>
          <cell r="S26">
            <v>0</v>
          </cell>
          <cell r="T26">
            <v>0</v>
          </cell>
          <cell r="U26">
            <v>0</v>
          </cell>
          <cell r="V26">
            <v>0</v>
          </cell>
          <cell r="W26">
            <v>0</v>
          </cell>
          <cell r="X26">
            <v>0</v>
          </cell>
          <cell r="Y26">
            <v>0</v>
          </cell>
          <cell r="Z26">
            <v>0</v>
          </cell>
          <cell r="AA26">
            <v>0</v>
          </cell>
          <cell r="AC26">
            <v>0</v>
          </cell>
          <cell r="AD26">
            <v>0</v>
          </cell>
          <cell r="AE26">
            <v>0</v>
          </cell>
          <cell r="AF26">
            <v>0</v>
          </cell>
          <cell r="AG26">
            <v>0</v>
          </cell>
          <cell r="AH26">
            <v>0</v>
          </cell>
          <cell r="AI26">
            <v>0</v>
          </cell>
          <cell r="AJ26">
            <v>0</v>
          </cell>
          <cell r="AK26">
            <v>0</v>
          </cell>
          <cell r="AL26">
            <v>0</v>
          </cell>
          <cell r="AM26">
            <v>0</v>
          </cell>
          <cell r="AN26">
            <v>0</v>
          </cell>
          <cell r="AP26">
            <v>0</v>
          </cell>
          <cell r="AQ26">
            <v>0</v>
          </cell>
          <cell r="AR26">
            <v>0</v>
          </cell>
          <cell r="AS26">
            <v>0</v>
          </cell>
          <cell r="AT26">
            <v>0</v>
          </cell>
          <cell r="AU26">
            <v>0</v>
          </cell>
          <cell r="AV26">
            <v>0</v>
          </cell>
          <cell r="AW26">
            <v>0</v>
          </cell>
          <cell r="AX26">
            <v>0</v>
          </cell>
          <cell r="AY26">
            <v>0</v>
          </cell>
          <cell r="AZ26">
            <v>0</v>
          </cell>
          <cell r="BA26">
            <v>0</v>
          </cell>
          <cell r="BC26">
            <v>0</v>
          </cell>
          <cell r="BD26">
            <v>0</v>
          </cell>
          <cell r="BE26">
            <v>0</v>
          </cell>
          <cell r="BF26">
            <v>0</v>
          </cell>
          <cell r="BG26">
            <v>0</v>
          </cell>
          <cell r="BH26">
            <v>0</v>
          </cell>
          <cell r="BI26">
            <v>0</v>
          </cell>
          <cell r="BJ26">
            <v>0</v>
          </cell>
          <cell r="BK26">
            <v>0</v>
          </cell>
          <cell r="BL26">
            <v>0</v>
          </cell>
          <cell r="BM26">
            <v>0</v>
          </cell>
          <cell r="BN26">
            <v>0</v>
          </cell>
          <cell r="BP26">
            <v>0</v>
          </cell>
          <cell r="BQ26">
            <v>0</v>
          </cell>
          <cell r="BR26">
            <v>0</v>
          </cell>
          <cell r="BS26">
            <v>0</v>
          </cell>
          <cell r="BT26">
            <v>0</v>
          </cell>
          <cell r="BU26">
            <v>0</v>
          </cell>
          <cell r="BV26">
            <v>0</v>
          </cell>
          <cell r="BW26">
            <v>0</v>
          </cell>
          <cell r="BX26">
            <v>0</v>
          </cell>
          <cell r="BY26">
            <v>0</v>
          </cell>
          <cell r="BZ26">
            <v>0</v>
          </cell>
          <cell r="CA26">
            <v>0</v>
          </cell>
        </row>
        <row r="27">
          <cell r="C27">
            <v>0</v>
          </cell>
          <cell r="D27">
            <v>0</v>
          </cell>
          <cell r="E27">
            <v>185671.845</v>
          </cell>
          <cell r="F27">
            <v>61958.86</v>
          </cell>
          <cell r="G27">
            <v>26832.282500000001</v>
          </cell>
          <cell r="H27">
            <v>45070.51</v>
          </cell>
          <cell r="I27">
            <v>26623.947499999998</v>
          </cell>
          <cell r="J27">
            <v>26327.052500000002</v>
          </cell>
          <cell r="K27">
            <v>27238.974999999999</v>
          </cell>
          <cell r="L27">
            <v>28124.884999999998</v>
          </cell>
          <cell r="M27">
            <v>29042.767500000002</v>
          </cell>
          <cell r="N27">
            <v>36162.370000000003</v>
          </cell>
          <cell r="P27">
            <v>2842364.57</v>
          </cell>
          <cell r="Q27">
            <v>2842364.72</v>
          </cell>
          <cell r="R27">
            <v>2842364.57</v>
          </cell>
          <cell r="S27">
            <v>2827297.71</v>
          </cell>
          <cell r="T27">
            <v>2827297.57</v>
          </cell>
          <cell r="U27">
            <v>2817887.15</v>
          </cell>
          <cell r="V27">
            <v>2793594.99</v>
          </cell>
          <cell r="W27">
            <v>2775039.18</v>
          </cell>
          <cell r="X27">
            <v>2761754.97</v>
          </cell>
          <cell r="Y27">
            <v>2728354.6</v>
          </cell>
          <cell r="Z27">
            <v>2728354.56</v>
          </cell>
          <cell r="AA27">
            <v>2725040.19</v>
          </cell>
          <cell r="AC27">
            <v>2697996.82</v>
          </cell>
          <cell r="AD27">
            <v>2697996.83</v>
          </cell>
          <cell r="AE27">
            <v>2716815.97</v>
          </cell>
          <cell r="AF27">
            <v>2716815.98</v>
          </cell>
          <cell r="AG27">
            <v>2716815.97</v>
          </cell>
          <cell r="AH27">
            <v>2716815.98</v>
          </cell>
          <cell r="AI27">
            <v>3590801.98</v>
          </cell>
          <cell r="AJ27">
            <v>2024538.79</v>
          </cell>
          <cell r="AK27">
            <v>2024538.79</v>
          </cell>
          <cell r="AL27">
            <v>2024538.79</v>
          </cell>
          <cell r="AM27">
            <v>2024538.79</v>
          </cell>
          <cell r="AN27">
            <v>2024538.79</v>
          </cell>
          <cell r="AP27">
            <v>2024538.79</v>
          </cell>
          <cell r="AQ27">
            <v>2024538.79</v>
          </cell>
          <cell r="AR27">
            <v>2024538.79</v>
          </cell>
          <cell r="AS27">
            <v>2024538.79</v>
          </cell>
          <cell r="AT27">
            <v>2024538.79</v>
          </cell>
          <cell r="AU27">
            <v>2024538.79</v>
          </cell>
          <cell r="AV27">
            <v>2024538.79</v>
          </cell>
          <cell r="AW27">
            <v>2024538.79</v>
          </cell>
          <cell r="AX27">
            <v>2024538.79</v>
          </cell>
          <cell r="AY27">
            <v>2024538.79</v>
          </cell>
          <cell r="AZ27">
            <v>2024538.79</v>
          </cell>
          <cell r="BA27">
            <v>2024538.79</v>
          </cell>
          <cell r="BC27">
            <v>2024538.79</v>
          </cell>
          <cell r="BD27">
            <v>2024538.79</v>
          </cell>
          <cell r="BE27">
            <v>2024538.79</v>
          </cell>
          <cell r="BF27">
            <v>2024538.79</v>
          </cell>
          <cell r="BG27">
            <v>2024538.79</v>
          </cell>
          <cell r="BH27">
            <v>2024538.79</v>
          </cell>
          <cell r="BI27">
            <v>2024538.79</v>
          </cell>
          <cell r="BJ27">
            <v>2024538.79</v>
          </cell>
          <cell r="BK27">
            <v>2024538.79</v>
          </cell>
          <cell r="BL27">
            <v>2024538.79</v>
          </cell>
          <cell r="BM27">
            <v>2136797.79</v>
          </cell>
          <cell r="BN27">
            <v>2263053.31</v>
          </cell>
          <cell r="BP27">
            <v>2044415</v>
          </cell>
          <cell r="BQ27">
            <v>2044415</v>
          </cell>
          <cell r="BR27">
            <v>2044415</v>
          </cell>
          <cell r="BS27">
            <v>2044415</v>
          </cell>
          <cell r="BT27">
            <v>2044415</v>
          </cell>
          <cell r="BU27">
            <v>2044415</v>
          </cell>
          <cell r="BV27">
            <v>2044415</v>
          </cell>
          <cell r="BW27">
            <v>2044415</v>
          </cell>
          <cell r="BX27">
            <v>2044415</v>
          </cell>
          <cell r="BY27">
            <v>2044415</v>
          </cell>
          <cell r="BZ27">
            <v>2044415</v>
          </cell>
          <cell r="CA27">
            <v>2044415</v>
          </cell>
        </row>
      </sheetData>
      <sheetData sheetId="8"/>
      <sheetData sheetId="9">
        <row r="2">
          <cell r="C2">
            <v>0</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不动产权证-面积指标"/>
      <sheetName val="冰上运动"/>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投资物业租约明细（整理）"/>
      <sheetName val="收益法-酒店模型"/>
      <sheetName val="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39266.81</v>
          </cell>
          <cell r="C14">
            <v>0</v>
          </cell>
          <cell r="D14">
            <v>104395</v>
          </cell>
          <cell r="G14">
            <v>104395</v>
          </cell>
          <cell r="I14">
            <v>99325</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不动产权证-面积指标"/>
      <sheetName val="冰上运动"/>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篮球公园 (万元)"/>
      <sheetName val="收益法-酒店模型"/>
      <sheetName val="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13059.5</v>
          </cell>
          <cell r="C14">
            <v>0</v>
          </cell>
          <cell r="D14">
            <v>37425</v>
          </cell>
          <cell r="G14">
            <v>37425</v>
          </cell>
          <cell r="I14">
            <v>34682</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不动产权证-面积指标"/>
      <sheetName val="冰上运动"/>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投资物业租约明细"/>
      <sheetName val="收益法-酒店模型"/>
      <sheetName val="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53108.289999999994</v>
          </cell>
          <cell r="C14">
            <v>0</v>
          </cell>
          <cell r="D14">
            <v>218030</v>
          </cell>
          <cell r="G14">
            <v>218030</v>
          </cell>
          <cell r="I14">
            <v>191716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不动产权证-面积指标"/>
      <sheetName val="冰上运动"/>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投资物业租约明细（整理）"/>
      <sheetName val="收益法-酒店模型"/>
      <sheetName val="信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53404.31</v>
          </cell>
          <cell r="C14">
            <v>0</v>
          </cell>
          <cell r="D14">
            <v>251420</v>
          </cell>
          <cell r="G14">
            <v>251420</v>
          </cell>
          <cell r="I14">
            <v>215749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估价对象为北京市房地产，为所有。根据《国有土地使用证》[]，估价对象（分摊）出让国有建设用地使用权面积为0平方米，建筑面积为63063.88平方米。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估价对象为北京市房地产,属开发建设的办公项目，该项目尚在开发建设中。根据《国有土地使用证》[]，估价对象（分摊）出让国有建设用地使用权面积为0平方米，规划建筑面积为63063.88平方米。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2024年3月1日（评估专业人员实地查勘之日）</v>
      </c>
    </row>
    <row r="13" spans="1:2" s="1203" customFormat="1">
      <c r="A13" s="1201" t="s">
        <v>529</v>
      </c>
      <c r="B13" s="1202" t="str">
        <f>'预评函-1'!A18</f>
        <v>本次估价的“房地产价值”是指在正常市场情况下，在价值时点2024年3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117030</v>
      </c>
    </row>
    <row r="21" spans="1:2" s="1203" customFormat="1">
      <c r="A21" s="1201" t="s">
        <v>537</v>
      </c>
      <c r="B21" s="1202">
        <f ca="1">'预评函-2'!D7</f>
        <v>18557</v>
      </c>
    </row>
    <row r="22" spans="1:2" s="1203" customFormat="1">
      <c r="A22" s="1201" t="s">
        <v>538</v>
      </c>
      <c r="B22" s="1202" t="str">
        <f ca="1">'预评函-2'!D6</f>
        <v>壹拾壹亿柒仟零叁拾万元整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117030</v>
      </c>
    </row>
    <row r="31" spans="1:2" s="1203" customFormat="1">
      <c r="A31" s="1201" t="s">
        <v>576</v>
      </c>
      <c r="B31" s="1202">
        <f ca="1">'预评函-2'!D15</f>
        <v>18557</v>
      </c>
    </row>
    <row r="32" spans="1:2" s="1203" customFormat="1">
      <c r="A32" s="1201" t="s">
        <v>543</v>
      </c>
      <c r="B32" s="1202" t="str">
        <f ca="1">'预评函-2'!D14</f>
        <v>壹拾壹亿柒仟零叁拾万元整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113502</v>
      </c>
    </row>
    <row r="39" spans="1:2" s="1203" customFormat="1">
      <c r="A39" s="1201" t="s">
        <v>545</v>
      </c>
      <c r="B39" s="1202">
        <f ca="1">'预评函-2'!D21</f>
        <v>17998</v>
      </c>
    </row>
    <row r="40" spans="1:2" s="1203" customFormat="1">
      <c r="A40" s="1201" t="s">
        <v>546</v>
      </c>
      <c r="B40" s="1202" t="str">
        <f ca="1">'预评函-2'!D20</f>
        <v>壹拾壹亿叁仟伍佰零贰万元整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63063.880000000005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66590</v>
      </c>
    </row>
    <row r="48" spans="1:2" s="1203" customFormat="1">
      <c r="A48" s="1201" t="s">
        <v>549</v>
      </c>
      <c r="B48" s="1202">
        <f ca="1">'预评函-3'!E4</f>
        <v>10559</v>
      </c>
    </row>
    <row r="49" spans="1:2" s="1203" customFormat="1">
      <c r="A49" s="1201" t="s">
        <v>550</v>
      </c>
      <c r="B49" s="1202" t="str">
        <f ca="1">'预评函-3'!D5</f>
        <v>陆亿陆仟伍佰玖拾万元整</v>
      </c>
    </row>
    <row r="50" spans="1:2" s="1203" customFormat="1">
      <c r="A50" s="1201" t="s">
        <v>574</v>
      </c>
      <c r="B50" s="1202" t="str">
        <f>'预评函-3'!F2</f>
        <v>在建建筑物价值</v>
      </c>
    </row>
    <row r="51" spans="1:2" s="1203" customFormat="1">
      <c r="A51" s="1201" t="s">
        <v>551</v>
      </c>
      <c r="B51" s="1202">
        <f ca="1">'预评函-3'!F4</f>
        <v>50440</v>
      </c>
    </row>
    <row r="52" spans="1:2" s="1203" customFormat="1">
      <c r="A52" s="1201" t="s">
        <v>552</v>
      </c>
      <c r="B52" s="1202">
        <f ca="1">'预评函-3'!G4</f>
        <v>7998</v>
      </c>
    </row>
    <row r="53" spans="1:2" s="1203" customFormat="1">
      <c r="A53" s="1201" t="s">
        <v>580</v>
      </c>
      <c r="B53" s="1202" t="str">
        <f ca="1">'预评函-3'!F5</f>
        <v>伍亿零肆佰肆拾万元整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972</v>
      </c>
      <c r="C1" s="1541" t="s">
        <v>314</v>
      </c>
      <c r="D1" s="1543" t="s">
        <v>3339</v>
      </c>
      <c r="E1" s="1542" t="s">
        <v>973</v>
      </c>
      <c r="F1" s="1542" t="s">
        <v>974</v>
      </c>
      <c r="G1" s="1542" t="s">
        <v>975</v>
      </c>
      <c r="H1" s="1542" t="s">
        <v>976</v>
      </c>
      <c r="I1" s="1542" t="s">
        <v>977</v>
      </c>
      <c r="J1" s="1542" t="s">
        <v>978</v>
      </c>
      <c r="K1" s="1542" t="s">
        <v>979</v>
      </c>
      <c r="L1" s="1542" t="s">
        <v>980</v>
      </c>
      <c r="M1" s="1542" t="s">
        <v>981</v>
      </c>
      <c r="N1" s="1542" t="s">
        <v>982</v>
      </c>
      <c r="O1" s="1542" t="s">
        <v>983</v>
      </c>
      <c r="P1" s="1543" t="s">
        <v>309</v>
      </c>
      <c r="Q1" s="1543" t="s">
        <v>447</v>
      </c>
      <c r="R1" s="1542" t="s">
        <v>441</v>
      </c>
      <c r="S1" s="1542" t="s">
        <v>984</v>
      </c>
      <c r="T1" s="1544" t="s">
        <v>985</v>
      </c>
      <c r="U1" s="1542" t="s">
        <v>986</v>
      </c>
      <c r="V1" s="1542" t="s">
        <v>987</v>
      </c>
      <c r="W1" s="1542" t="s">
        <v>311</v>
      </c>
    </row>
    <row r="2" spans="1:23">
      <c r="A2" s="1546" t="s">
        <v>19</v>
      </c>
      <c r="B2" s="1546" t="s">
        <v>988</v>
      </c>
      <c r="C2" s="1547" t="s">
        <v>315</v>
      </c>
      <c r="D2" s="1548" t="s">
        <v>989</v>
      </c>
      <c r="E2" s="1548" t="s">
        <v>990</v>
      </c>
      <c r="F2" s="1548" t="s">
        <v>991</v>
      </c>
      <c r="G2" s="1548">
        <v>20</v>
      </c>
      <c r="H2" s="1548" t="s">
        <v>991</v>
      </c>
      <c r="I2" s="1548" t="s">
        <v>3325</v>
      </c>
      <c r="J2" s="1548" t="s">
        <v>992</v>
      </c>
      <c r="K2" s="1548" t="s">
        <v>993</v>
      </c>
      <c r="L2" s="1548" t="s">
        <v>993</v>
      </c>
      <c r="M2" s="1548" t="s">
        <v>993</v>
      </c>
      <c r="N2" s="1548" t="s">
        <v>993</v>
      </c>
      <c r="O2" s="1548" t="s">
        <v>993</v>
      </c>
      <c r="P2" s="1548" t="s">
        <v>993</v>
      </c>
      <c r="Q2" s="1548" t="s">
        <v>993</v>
      </c>
      <c r="R2" s="1548" t="s">
        <v>443</v>
      </c>
      <c r="S2" s="1548" t="s">
        <v>993</v>
      </c>
      <c r="T2" s="1548" t="s">
        <v>994</v>
      </c>
      <c r="U2" s="1548" t="s">
        <v>993</v>
      </c>
      <c r="V2" s="1548" t="s">
        <v>995</v>
      </c>
      <c r="W2" s="1548" t="s">
        <v>993</v>
      </c>
    </row>
    <row r="3" spans="1:23">
      <c r="A3" s="1546" t="s">
        <v>996</v>
      </c>
      <c r="B3" s="1549" t="s">
        <v>448</v>
      </c>
      <c r="C3" s="1550" t="s">
        <v>316</v>
      </c>
      <c r="D3" s="1548" t="s">
        <v>997</v>
      </c>
      <c r="E3" s="1548" t="s">
        <v>13</v>
      </c>
      <c r="F3" s="1548" t="s">
        <v>998</v>
      </c>
      <c r="G3" s="1548">
        <v>40</v>
      </c>
      <c r="H3" s="1548" t="s">
        <v>998</v>
      </c>
      <c r="I3" s="1548" t="s">
        <v>3326</v>
      </c>
      <c r="J3" s="1548" t="s">
        <v>999</v>
      </c>
      <c r="K3" s="1548" t="s">
        <v>1000</v>
      </c>
      <c r="L3" s="1548" t="s">
        <v>1000</v>
      </c>
      <c r="M3" s="1548" t="s">
        <v>1000</v>
      </c>
      <c r="N3" s="1548" t="s">
        <v>1000</v>
      </c>
      <c r="O3" s="1548" t="s">
        <v>1000</v>
      </c>
      <c r="P3" s="1548" t="s">
        <v>1000</v>
      </c>
      <c r="Q3" s="1548" t="s">
        <v>1000</v>
      </c>
      <c r="R3" s="1548" t="s">
        <v>442</v>
      </c>
      <c r="S3" s="1548" t="s">
        <v>1000</v>
      </c>
      <c r="T3" s="1548" t="s">
        <v>1001</v>
      </c>
      <c r="U3" s="1548" t="s">
        <v>1000</v>
      </c>
      <c r="V3" s="1548" t="s">
        <v>1002</v>
      </c>
      <c r="W3" s="1548" t="s">
        <v>1000</v>
      </c>
    </row>
    <row r="4" spans="1:23">
      <c r="A4" s="1546" t="s">
        <v>1003</v>
      </c>
      <c r="B4" s="1546" t="s">
        <v>1004</v>
      </c>
      <c r="C4" s="1547" t="s">
        <v>317</v>
      </c>
      <c r="D4" s="1548" t="s">
        <v>389</v>
      </c>
      <c r="E4" s="1548" t="s">
        <v>1005</v>
      </c>
      <c r="F4" s="1548" t="s">
        <v>1006</v>
      </c>
      <c r="G4" s="1548">
        <v>50</v>
      </c>
      <c r="H4" s="1548" t="s">
        <v>1006</v>
      </c>
      <c r="I4" s="1548" t="s">
        <v>3327</v>
      </c>
      <c r="K4" s="1548" t="s">
        <v>1007</v>
      </c>
      <c r="L4" s="1548" t="s">
        <v>1007</v>
      </c>
      <c r="M4" s="1548" t="s">
        <v>1007</v>
      </c>
      <c r="N4" s="1548" t="s">
        <v>1007</v>
      </c>
      <c r="O4" s="1548" t="s">
        <v>1007</v>
      </c>
      <c r="P4" s="1548" t="s">
        <v>1007</v>
      </c>
      <c r="Q4" s="1548" t="s">
        <v>1007</v>
      </c>
      <c r="R4" s="1548" t="s">
        <v>444</v>
      </c>
      <c r="S4" s="1548" t="s">
        <v>1007</v>
      </c>
      <c r="T4" s="1548" t="s">
        <v>1008</v>
      </c>
      <c r="U4" s="1548" t="s">
        <v>1007</v>
      </c>
      <c r="W4" s="1548" t="s">
        <v>1007</v>
      </c>
    </row>
    <row r="5" spans="1:23">
      <c r="A5" s="1546" t="s">
        <v>1009</v>
      </c>
      <c r="B5" s="1546" t="s">
        <v>1010</v>
      </c>
      <c r="C5" s="1547" t="s">
        <v>318</v>
      </c>
      <c r="F5" s="1548" t="s">
        <v>1011</v>
      </c>
      <c r="G5" s="1548">
        <v>70</v>
      </c>
      <c r="H5" s="1548" t="s">
        <v>1012</v>
      </c>
      <c r="I5" s="1548" t="s">
        <v>3328</v>
      </c>
      <c r="K5" s="1548" t="s">
        <v>1013</v>
      </c>
      <c r="L5" s="1548" t="s">
        <v>1013</v>
      </c>
      <c r="M5" s="1548" t="s">
        <v>1013</v>
      </c>
      <c r="N5" s="1548" t="s">
        <v>1013</v>
      </c>
      <c r="O5" s="1548" t="s">
        <v>1013</v>
      </c>
      <c r="P5" s="1548" t="s">
        <v>1013</v>
      </c>
      <c r="Q5" s="1548" t="s">
        <v>1013</v>
      </c>
      <c r="R5" s="1548" t="s">
        <v>445</v>
      </c>
      <c r="S5" s="1548" t="s">
        <v>1013</v>
      </c>
      <c r="T5" s="1548" t="s">
        <v>1014</v>
      </c>
      <c r="U5" s="1548" t="s">
        <v>1013</v>
      </c>
      <c r="W5" s="1548" t="s">
        <v>1013</v>
      </c>
    </row>
    <row r="6" spans="1:23">
      <c r="A6" s="1546" t="s">
        <v>1015</v>
      </c>
      <c r="B6" s="1549" t="s">
        <v>449</v>
      </c>
      <c r="C6" s="1552" t="s">
        <v>24</v>
      </c>
      <c r="F6" s="1548" t="s">
        <v>1012</v>
      </c>
      <c r="H6" s="1548" t="s">
        <v>1016</v>
      </c>
      <c r="I6" s="1548" t="s">
        <v>3329</v>
      </c>
      <c r="K6" s="1548" t="s">
        <v>1017</v>
      </c>
      <c r="L6" s="1548" t="s">
        <v>1017</v>
      </c>
      <c r="M6" s="1548" t="s">
        <v>1017</v>
      </c>
      <c r="N6" s="1548" t="s">
        <v>1017</v>
      </c>
      <c r="O6" s="1548" t="s">
        <v>1017</v>
      </c>
      <c r="P6" s="1548" t="s">
        <v>1017</v>
      </c>
      <c r="Q6" s="1548" t="s">
        <v>1017</v>
      </c>
      <c r="R6" s="1548" t="s">
        <v>446</v>
      </c>
      <c r="S6" s="1548" t="s">
        <v>1017</v>
      </c>
      <c r="T6" s="1548"/>
      <c r="U6" s="1548" t="s">
        <v>1017</v>
      </c>
      <c r="W6" s="1548" t="s">
        <v>1017</v>
      </c>
    </row>
    <row r="7" spans="1:23">
      <c r="A7" s="1546" t="s">
        <v>1018</v>
      </c>
      <c r="B7" s="1549" t="s">
        <v>450</v>
      </c>
      <c r="C7" s="1547" t="s">
        <v>25</v>
      </c>
      <c r="F7" s="1548" t="s">
        <v>1019</v>
      </c>
      <c r="H7" s="1548" t="s">
        <v>1020</v>
      </c>
      <c r="I7" s="1548" t="s">
        <v>3330</v>
      </c>
    </row>
    <row r="8" spans="1:23">
      <c r="A8" s="1546" t="s">
        <v>1021</v>
      </c>
      <c r="B8" s="1546" t="s">
        <v>1022</v>
      </c>
      <c r="C8" s="1547" t="s">
        <v>319</v>
      </c>
      <c r="F8" s="1548" t="s">
        <v>1023</v>
      </c>
      <c r="H8" s="1548" t="s">
        <v>2565</v>
      </c>
      <c r="I8" s="1548" t="s">
        <v>3331</v>
      </c>
    </row>
    <row r="9" spans="1:23">
      <c r="A9" s="1546" t="s">
        <v>1024</v>
      </c>
      <c r="B9" s="1546" t="s">
        <v>1025</v>
      </c>
      <c r="C9" s="1547" t="s">
        <v>320</v>
      </c>
      <c r="F9" s="1548" t="s">
        <v>1026</v>
      </c>
      <c r="H9" s="1548"/>
      <c r="I9" s="1551" t="s">
        <v>3332</v>
      </c>
    </row>
    <row r="10" spans="1:23">
      <c r="A10" s="1546" t="s">
        <v>1027</v>
      </c>
      <c r="B10" s="1546" t="s">
        <v>1028</v>
      </c>
      <c r="C10" s="1547" t="s">
        <v>321</v>
      </c>
      <c r="F10" s="1548" t="s">
        <v>2566</v>
      </c>
      <c r="I10" s="1551" t="s">
        <v>3333</v>
      </c>
    </row>
    <row r="11" spans="1:23">
      <c r="A11" s="1546" t="s">
        <v>1029</v>
      </c>
      <c r="B11" s="1546" t="s">
        <v>1030</v>
      </c>
      <c r="C11" s="1547" t="s">
        <v>322</v>
      </c>
      <c r="F11" s="1548" t="s">
        <v>13</v>
      </c>
      <c r="I11" s="1551" t="s">
        <v>3334</v>
      </c>
    </row>
    <row r="12" spans="1:23">
      <c r="A12" s="1546" t="s">
        <v>1031</v>
      </c>
      <c r="B12" s="1546" t="s">
        <v>1032</v>
      </c>
      <c r="C12" s="1547" t="s">
        <v>323</v>
      </c>
      <c r="I12" s="1551" t="s">
        <v>3335</v>
      </c>
    </row>
    <row r="13" spans="1:23">
      <c r="A13" s="1546" t="s">
        <v>1033</v>
      </c>
      <c r="B13" s="1546" t="s">
        <v>1034</v>
      </c>
      <c r="C13" s="1547" t="s">
        <v>324</v>
      </c>
      <c r="I13" s="1551" t="s">
        <v>3336</v>
      </c>
    </row>
    <row r="14" spans="1:23">
      <c r="A14" s="1546" t="s">
        <v>1035</v>
      </c>
      <c r="B14" s="1546" t="s">
        <v>1036</v>
      </c>
      <c r="C14" s="1548" t="s">
        <v>13</v>
      </c>
      <c r="I14" s="1551" t="s">
        <v>3337</v>
      </c>
    </row>
    <row r="15" spans="1:23">
      <c r="A15" s="1546" t="s">
        <v>1037</v>
      </c>
      <c r="B15" s="1546" t="s">
        <v>1038</v>
      </c>
      <c r="C15" s="1547"/>
      <c r="I15" s="1551" t="s">
        <v>3338</v>
      </c>
    </row>
    <row r="16" spans="1:23">
      <c r="A16" s="1546" t="s">
        <v>1039</v>
      </c>
      <c r="B16" s="1546" t="s">
        <v>312</v>
      </c>
      <c r="C16" s="1547"/>
    </row>
    <row r="17" spans="1:3">
      <c r="A17" s="1546" t="s">
        <v>1040</v>
      </c>
      <c r="B17" s="1546" t="s">
        <v>2279</v>
      </c>
      <c r="C17" s="1547"/>
    </row>
    <row r="18" spans="1:3">
      <c r="A18" s="1546" t="s">
        <v>1041</v>
      </c>
      <c r="B18" s="1546" t="s">
        <v>2421</v>
      </c>
      <c r="C18" s="1547"/>
    </row>
    <row r="19" spans="1:3">
      <c r="A19" s="1546" t="s">
        <v>1042</v>
      </c>
      <c r="B19" s="1546" t="s">
        <v>313</v>
      </c>
      <c r="C19" s="1547"/>
    </row>
    <row r="20" spans="1:3">
      <c r="A20" s="1546" t="s">
        <v>1043</v>
      </c>
      <c r="B20" s="1546" t="s">
        <v>313</v>
      </c>
      <c r="C20" s="1547"/>
    </row>
    <row r="21" spans="1:3">
      <c r="A21" s="1546" t="s">
        <v>1044</v>
      </c>
      <c r="B21" s="1546" t="s">
        <v>313</v>
      </c>
      <c r="C21" s="1547"/>
    </row>
    <row r="22" spans="1:3">
      <c r="A22" s="1546" t="s">
        <v>1045</v>
      </c>
      <c r="B22" s="1546" t="s">
        <v>313</v>
      </c>
      <c r="C22" s="1547"/>
    </row>
    <row r="23" spans="1:3">
      <c r="A23" s="1546" t="s">
        <v>1046</v>
      </c>
      <c r="B23" s="1546" t="s">
        <v>313</v>
      </c>
      <c r="C23" s="1547"/>
    </row>
    <row r="24" spans="1:3">
      <c r="A24" s="1546" t="s">
        <v>1047</v>
      </c>
      <c r="B24" s="1546" t="s">
        <v>313</v>
      </c>
      <c r="C24" s="1547"/>
    </row>
    <row r="25" spans="1:3">
      <c r="A25" s="1546" t="s">
        <v>1048</v>
      </c>
      <c r="B25" s="1546" t="s">
        <v>313</v>
      </c>
      <c r="C25" s="1547"/>
    </row>
    <row r="26" spans="1:3">
      <c r="A26" s="1546" t="s">
        <v>1049</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4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2"/>
      <c r="B54" s="1554" t="s">
        <v>385</v>
      </c>
      <c r="C54" s="1551" t="s">
        <v>583</v>
      </c>
    </row>
    <row r="55" spans="1:4">
      <c r="A55" s="3542"/>
      <c r="B55" s="1554" t="s">
        <v>386</v>
      </c>
      <c r="C55" s="1551" t="s">
        <v>584</v>
      </c>
    </row>
    <row r="56" spans="1:4">
      <c r="A56" s="3542"/>
      <c r="B56" s="1554" t="s">
        <v>387</v>
      </c>
      <c r="C56" s="1551" t="s">
        <v>588</v>
      </c>
    </row>
    <row r="57" spans="1:4">
      <c r="A57" s="354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2488</v>
      </c>
      <c r="B1" s="3009"/>
      <c r="C1" s="3009"/>
      <c r="D1" s="3009"/>
      <c r="E1" s="3009"/>
      <c r="F1" s="3010"/>
      <c r="I1" s="3432" t="s">
        <v>2581</v>
      </c>
      <c r="J1" s="3221"/>
      <c r="K1" s="3221"/>
      <c r="L1" s="3221"/>
      <c r="M1" s="3221"/>
      <c r="N1" s="3433"/>
      <c r="O1" s="3433"/>
      <c r="P1" s="3433"/>
      <c r="Q1" s="3433"/>
      <c r="R1" s="3433"/>
    </row>
    <row r="2" spans="1:18">
      <c r="A2" s="3012"/>
      <c r="B2" s="3013"/>
      <c r="C2" s="3013"/>
      <c r="D2" s="3013"/>
      <c r="E2" s="3013"/>
      <c r="F2" s="3014"/>
      <c r="I2" s="3543" t="s">
        <v>2568</v>
      </c>
      <c r="J2" s="3543"/>
      <c r="K2" s="3543"/>
      <c r="L2" s="3543"/>
      <c r="M2" s="3543"/>
      <c r="N2" s="3543"/>
      <c r="O2" s="3543"/>
      <c r="P2" s="3543"/>
      <c r="Q2" s="3543"/>
      <c r="R2" s="3543"/>
    </row>
    <row r="3" spans="1:18">
      <c r="A3" s="3015" t="s">
        <v>2489</v>
      </c>
      <c r="B3" s="3016">
        <f>项目基本情况!D3</f>
        <v>45352</v>
      </c>
      <c r="C3" s="3018"/>
      <c r="D3" s="3018"/>
      <c r="E3" s="3018"/>
      <c r="F3" s="3014"/>
      <c r="I3" s="3434"/>
      <c r="J3" s="3434" t="s">
        <v>2572</v>
      </c>
      <c r="K3" s="3434" t="s">
        <v>2573</v>
      </c>
      <c r="L3" s="3434" t="s">
        <v>2574</v>
      </c>
      <c r="M3" s="3434" t="s">
        <v>2575</v>
      </c>
      <c r="N3" s="3435" t="s">
        <v>2576</v>
      </c>
      <c r="O3" s="3435" t="s">
        <v>2577</v>
      </c>
      <c r="P3" s="3435" t="s">
        <v>2578</v>
      </c>
      <c r="Q3" s="3435" t="s">
        <v>2579</v>
      </c>
      <c r="R3" s="3435" t="s">
        <v>2580</v>
      </c>
    </row>
    <row r="4" spans="1:18">
      <c r="A4" s="3015" t="s">
        <v>2490</v>
      </c>
      <c r="B4" s="3018" t="s">
        <v>2491</v>
      </c>
      <c r="C4" s="3018" t="s">
        <v>2492</v>
      </c>
      <c r="D4" s="3018" t="s">
        <v>2493</v>
      </c>
      <c r="E4" s="3018" t="s">
        <v>2494</v>
      </c>
      <c r="F4" s="3014"/>
      <c r="I4" s="3434" t="s">
        <v>2569</v>
      </c>
      <c r="J4" s="3434">
        <v>80</v>
      </c>
      <c r="K4" s="3434">
        <v>70</v>
      </c>
      <c r="L4" s="3434">
        <v>20</v>
      </c>
      <c r="M4" s="3434">
        <v>30</v>
      </c>
      <c r="N4" s="3018">
        <v>45</v>
      </c>
      <c r="O4" s="3018">
        <v>60</v>
      </c>
      <c r="P4" s="3018">
        <v>50</v>
      </c>
      <c r="Q4" s="3018">
        <v>20</v>
      </c>
      <c r="R4" s="3018">
        <v>375</v>
      </c>
    </row>
    <row r="5" spans="1:18">
      <c r="A5" s="3019">
        <v>40</v>
      </c>
      <c r="B5" s="3016">
        <v>46375</v>
      </c>
      <c r="C5" s="3018">
        <f>ROUNDDOWN(MIN((B5-B3)/365,A5),2)</f>
        <v>2.8</v>
      </c>
      <c r="D5" s="3020">
        <f>IF(ISERROR(ROUND(POWER(1+E5,A5-C5)*(POWER(1+E5,C5)-1)/(POWER(1+E5,A5)-1),3)),0,ROUND(POWER(1+E5,A5-C5)*(POWER(1+E5,C5)-1)/(POWER(1+E5,A5)-1),4))</f>
        <v>0.13139999999999999</v>
      </c>
      <c r="E5" s="3021">
        <v>0.04</v>
      </c>
      <c r="F5" s="3014"/>
      <c r="I5" s="3434" t="s">
        <v>2570</v>
      </c>
      <c r="J5" s="3434">
        <v>70</v>
      </c>
      <c r="K5" s="3434">
        <v>60</v>
      </c>
      <c r="L5" s="3434">
        <v>15</v>
      </c>
      <c r="M5" s="3434">
        <v>25</v>
      </c>
      <c r="N5" s="3018">
        <v>40</v>
      </c>
      <c r="O5" s="3018">
        <v>50</v>
      </c>
      <c r="P5" s="3018">
        <v>40</v>
      </c>
      <c r="Q5" s="3018">
        <v>15</v>
      </c>
      <c r="R5" s="3018">
        <v>315</v>
      </c>
    </row>
    <row r="6" spans="1:18">
      <c r="A6" s="3019">
        <v>50</v>
      </c>
      <c r="B6" s="3016">
        <v>50028</v>
      </c>
      <c r="C6" s="3018">
        <f>ROUNDDOWN(MIN((B6-B3)/365,A6),2)</f>
        <v>12.81</v>
      </c>
      <c r="D6" s="3020">
        <f>IF(ISERROR(ROUND(POWER(1+E6,A6-C6)*(POWER(1+E6,C6)-1)/(POWER(1+E6,A6)-1),3)),0,ROUND(POWER(1+E6,A6-C6)*(POWER(1+E6,C6)-1)/(POWER(1+E6,A6)-1),4))</f>
        <v>0.45960000000000001</v>
      </c>
      <c r="E6" s="3021">
        <v>0.04</v>
      </c>
      <c r="F6" s="3014"/>
      <c r="I6" s="3434" t="s">
        <v>2571</v>
      </c>
      <c r="J6" s="3434">
        <v>60</v>
      </c>
      <c r="K6" s="3434">
        <v>50</v>
      </c>
      <c r="L6" s="3434">
        <v>10</v>
      </c>
      <c r="M6" s="3434">
        <v>20</v>
      </c>
      <c r="N6" s="3018">
        <v>35</v>
      </c>
      <c r="O6" s="3018">
        <v>40</v>
      </c>
      <c r="P6" s="3018">
        <v>30</v>
      </c>
      <c r="Q6" s="3018">
        <v>10</v>
      </c>
      <c r="R6" s="3018">
        <v>255</v>
      </c>
    </row>
    <row r="7" spans="1:18">
      <c r="A7" s="3019">
        <v>70</v>
      </c>
      <c r="B7" s="3016">
        <v>57333</v>
      </c>
      <c r="C7" s="3018">
        <f>ROUNDDOWN(MIN((B7-B3)/365,A7),2)</f>
        <v>32.82</v>
      </c>
      <c r="D7" s="3020">
        <f>IF(ISERROR(ROUND(POWER(1+E7,A7-C7)*(POWER(1+E7,C7)-1)/(POWER(1+E7,A7)-1),3)),0,ROUND(POWER(1+E7,A7-C7)*(POWER(1+E7,C7)-1)/(POWER(1+E7,A7)-1),4))</f>
        <v>0.77359999999999995</v>
      </c>
      <c r="E7" s="3021">
        <v>0.04</v>
      </c>
      <c r="F7" s="3014"/>
    </row>
    <row r="8" spans="1:18">
      <c r="A8" s="3012"/>
      <c r="B8" s="3013"/>
      <c r="C8" s="3013"/>
      <c r="D8" s="3013"/>
      <c r="E8" s="3013"/>
      <c r="F8" s="3014"/>
    </row>
    <row r="9" spans="1:18">
      <c r="A9" s="3015" t="s">
        <v>2495</v>
      </c>
      <c r="B9" s="3018"/>
      <c r="C9" s="3018"/>
      <c r="D9" s="3018"/>
      <c r="E9" s="3018"/>
      <c r="F9" s="3022"/>
    </row>
    <row r="10" spans="1:18">
      <c r="A10" s="3015" t="s">
        <v>2496</v>
      </c>
      <c r="B10" s="3018"/>
      <c r="C10" s="3018"/>
      <c r="D10" s="3018" t="s">
        <v>2494</v>
      </c>
      <c r="E10" s="3018"/>
      <c r="F10" s="3022" t="s">
        <v>2493</v>
      </c>
    </row>
    <row r="11" spans="1:18">
      <c r="A11" s="3015" t="s">
        <v>2497</v>
      </c>
      <c r="B11" s="3023">
        <v>70</v>
      </c>
      <c r="C11" s="3018" t="s">
        <v>2498</v>
      </c>
      <c r="D11" s="3024">
        <v>4.4999999999999998E-2</v>
      </c>
      <c r="E11" s="3018" t="s">
        <v>2499</v>
      </c>
      <c r="F11" s="3025">
        <f>ROUND(1-(1/(POWER(1+D11,B11))),4)</f>
        <v>0.95409999999999995</v>
      </c>
    </row>
    <row r="12" spans="1:18">
      <c r="A12" s="3015" t="s">
        <v>2500</v>
      </c>
      <c r="B12" s="3023">
        <v>40</v>
      </c>
      <c r="C12" s="3018" t="s">
        <v>2501</v>
      </c>
      <c r="D12" s="3024">
        <v>4.4999999999999998E-2</v>
      </c>
      <c r="E12" s="3018" t="s">
        <v>2502</v>
      </c>
      <c r="F12" s="3025">
        <f>ROUND(1-(1/(POWER(1+D12,B12))),4)</f>
        <v>0.82809999999999995</v>
      </c>
    </row>
    <row r="13" spans="1:18">
      <c r="A13" s="3015" t="s">
        <v>2503</v>
      </c>
      <c r="B13" s="3018"/>
      <c r="C13" s="3018"/>
      <c r="D13" s="3013"/>
      <c r="E13" s="3013"/>
      <c r="F13" s="3014"/>
    </row>
    <row r="14" spans="1:18">
      <c r="A14" s="3015" t="s">
        <v>2504</v>
      </c>
      <c r="B14" s="3023">
        <v>5000</v>
      </c>
      <c r="C14" s="3017"/>
      <c r="D14" s="3013"/>
      <c r="E14" s="3013"/>
      <c r="F14" s="3014"/>
    </row>
    <row r="15" spans="1:18">
      <c r="A15" s="3015" t="s">
        <v>2505</v>
      </c>
      <c r="B15" s="3018">
        <f>ROUND(B14*F12/F11,2)</f>
        <v>4339.6899999999996</v>
      </c>
      <c r="C15" s="3018">
        <f>ROUND(F12/F11,4)</f>
        <v>0.8679</v>
      </c>
      <c r="D15" s="3013"/>
      <c r="E15" s="3013"/>
      <c r="F15" s="3014"/>
    </row>
    <row r="16" spans="1:18">
      <c r="A16" s="3015" t="s">
        <v>2506</v>
      </c>
      <c r="B16" s="3018"/>
      <c r="C16" s="3018"/>
      <c r="D16" s="3013"/>
      <c r="E16" s="3013"/>
      <c r="F16" s="3014"/>
    </row>
    <row r="17" spans="1:13">
      <c r="A17" s="3015" t="s">
        <v>2505</v>
      </c>
      <c r="B17" s="3024">
        <v>4810</v>
      </c>
      <c r="C17" s="3017"/>
      <c r="D17" s="3013"/>
      <c r="E17" s="3013"/>
      <c r="F17" s="3014"/>
    </row>
    <row r="18" spans="1:13" ht="14.25" thickBot="1">
      <c r="A18" s="3026" t="s">
        <v>2504</v>
      </c>
      <c r="B18" s="3027">
        <f>ROUND(B17*F11/F12,2)</f>
        <v>5541.87</v>
      </c>
      <c r="C18" s="3027">
        <f>ROUND(F11/F12,4)</f>
        <v>1.1521999999999999</v>
      </c>
      <c r="D18" s="3028"/>
      <c r="E18" s="3028"/>
      <c r="F18" s="3029"/>
    </row>
    <row r="19" spans="1:13" ht="14.25" thickBot="1"/>
    <row r="20" spans="1:13" s="3064" customFormat="1" ht="14.25" thickTop="1">
      <c r="A20" s="3061" t="s">
        <v>2507</v>
      </c>
      <c r="B20" s="3062"/>
      <c r="C20" s="3062"/>
      <c r="D20" s="3062"/>
      <c r="E20" s="3062"/>
      <c r="F20" s="3062"/>
      <c r="G20" s="3063"/>
      <c r="I20" s="3065" t="s">
        <v>2552</v>
      </c>
      <c r="J20" s="3065" t="s">
        <v>2557</v>
      </c>
      <c r="K20" s="3065"/>
      <c r="L20" s="3065"/>
      <c r="M20" s="3065"/>
    </row>
    <row r="21" spans="1:13">
      <c r="A21" s="3030"/>
      <c r="B21" s="3031" t="s">
        <v>2508</v>
      </c>
      <c r="C21" s="3031" t="s">
        <v>2509</v>
      </c>
      <c r="D21" s="3031" t="s">
        <v>2510</v>
      </c>
      <c r="E21" s="3031" t="s">
        <v>2511</v>
      </c>
      <c r="F21" s="3031" t="s">
        <v>2512</v>
      </c>
      <c r="G21" s="3032" t="s">
        <v>2513</v>
      </c>
      <c r="I21" s="3053">
        <v>5</v>
      </c>
      <c r="J21" s="3053">
        <v>54.2</v>
      </c>
    </row>
    <row r="22" spans="1:13">
      <c r="A22" s="3030" t="s">
        <v>2514</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2515</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2555</v>
      </c>
      <c r="M23" s="3053" t="s">
        <v>2556</v>
      </c>
    </row>
    <row r="24" spans="1:13">
      <c r="A24" s="3030" t="s">
        <v>2516</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2554</v>
      </c>
      <c r="M24" s="3053">
        <v>10</v>
      </c>
    </row>
    <row r="25" spans="1:13">
      <c r="A25" s="3030" t="s">
        <v>2517</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2558</v>
      </c>
      <c r="M25" s="3053">
        <v>8</v>
      </c>
    </row>
    <row r="26" spans="1:13">
      <c r="A26" s="3035"/>
      <c r="B26" s="3036"/>
      <c r="C26" s="3036"/>
      <c r="D26" s="3036"/>
      <c r="E26" s="3036"/>
      <c r="F26" s="3036"/>
      <c r="G26" s="3037"/>
      <c r="I26" s="3053">
        <v>30</v>
      </c>
      <c r="J26" s="3053">
        <v>90.5</v>
      </c>
      <c r="K26" s="3053">
        <f t="shared" si="2"/>
        <v>4.2000000000000028</v>
      </c>
      <c r="L26" s="3053" t="s">
        <v>2559</v>
      </c>
      <c r="M26" s="3053">
        <v>5</v>
      </c>
    </row>
    <row r="27" spans="1:13">
      <c r="A27" s="3035" t="s">
        <v>2518</v>
      </c>
      <c r="B27" s="3036"/>
      <c r="C27" s="3036"/>
      <c r="D27" s="3036"/>
      <c r="E27" s="3036"/>
      <c r="F27" s="3036"/>
      <c r="G27" s="3037"/>
      <c r="I27" s="3053">
        <v>35</v>
      </c>
      <c r="J27" s="3053">
        <v>93.8</v>
      </c>
      <c r="K27" s="3053">
        <f t="shared" si="2"/>
        <v>3.2999999999999972</v>
      </c>
      <c r="L27" s="3053" t="s">
        <v>2560</v>
      </c>
      <c r="M27" s="3053">
        <v>3</v>
      </c>
    </row>
    <row r="28" spans="1:13">
      <c r="A28" s="3035" t="s">
        <v>2519</v>
      </c>
      <c r="B28" s="3036"/>
      <c r="C28" s="3036"/>
      <c r="D28" s="3036"/>
      <c r="E28" s="3036"/>
      <c r="F28" s="3036"/>
      <c r="G28" s="3037"/>
      <c r="I28" s="3053">
        <v>40</v>
      </c>
      <c r="J28" s="3053">
        <v>96.4</v>
      </c>
      <c r="K28" s="3053">
        <f t="shared" si="2"/>
        <v>2.6000000000000085</v>
      </c>
      <c r="L28" s="3053" t="s">
        <v>2561</v>
      </c>
      <c r="M28" s="3053">
        <v>2</v>
      </c>
    </row>
    <row r="29" spans="1:13">
      <c r="A29" s="3035" t="s">
        <v>2520</v>
      </c>
      <c r="B29" s="3036"/>
      <c r="C29" s="3036"/>
      <c r="D29" s="3036"/>
      <c r="E29" s="3036"/>
      <c r="F29" s="3036"/>
      <c r="G29" s="3037"/>
      <c r="I29" s="3053">
        <v>45</v>
      </c>
      <c r="J29" s="3053">
        <v>98.4</v>
      </c>
      <c r="K29" s="3053">
        <f t="shared" si="2"/>
        <v>2</v>
      </c>
    </row>
    <row r="30" spans="1:13">
      <c r="A30" s="3035" t="s">
        <v>2521</v>
      </c>
      <c r="B30" s="3036"/>
      <c r="C30" s="3036"/>
      <c r="D30" s="3036"/>
      <c r="E30" s="3036"/>
      <c r="F30" s="3036"/>
      <c r="G30" s="3037"/>
      <c r="I30" s="3053">
        <v>50</v>
      </c>
      <c r="J30" s="3053">
        <v>100</v>
      </c>
      <c r="K30" s="3053">
        <f t="shared" si="2"/>
        <v>1.5999999999999943</v>
      </c>
    </row>
    <row r="31" spans="1:13">
      <c r="A31" s="3035" t="s">
        <v>2522</v>
      </c>
      <c r="B31" s="3036"/>
      <c r="C31" s="3036"/>
      <c r="D31" s="3036"/>
      <c r="E31" s="3036"/>
      <c r="F31" s="3036"/>
      <c r="G31" s="3037"/>
      <c r="I31" s="3053" t="s">
        <v>2553</v>
      </c>
    </row>
    <row r="32" spans="1:13">
      <c r="A32" s="3035" t="s">
        <v>2523</v>
      </c>
      <c r="B32" s="3036"/>
      <c r="C32" s="3036"/>
      <c r="D32" s="3036"/>
      <c r="E32" s="3036"/>
      <c r="F32" s="3036"/>
      <c r="G32" s="3037"/>
    </row>
    <row r="33" spans="1:13">
      <c r="A33" s="3035" t="s">
        <v>2524</v>
      </c>
      <c r="B33" s="3036"/>
      <c r="C33" s="3036"/>
      <c r="D33" s="3036"/>
      <c r="E33" s="3036"/>
      <c r="F33" s="3036"/>
      <c r="G33" s="3037"/>
      <c r="I33" s="3053" t="s">
        <v>2552</v>
      </c>
      <c r="J33" s="3053" t="s">
        <v>2562</v>
      </c>
    </row>
    <row r="34" spans="1:13">
      <c r="A34" s="3035" t="s">
        <v>2525</v>
      </c>
      <c r="B34" s="3036"/>
      <c r="C34" s="3036"/>
      <c r="D34" s="3036"/>
      <c r="E34" s="3036"/>
      <c r="F34" s="3036"/>
      <c r="G34" s="3037"/>
      <c r="I34" s="3053">
        <v>5</v>
      </c>
      <c r="J34" s="3053">
        <v>55.1</v>
      </c>
    </row>
    <row r="35" spans="1:13">
      <c r="A35" s="3035" t="s">
        <v>2526</v>
      </c>
      <c r="B35" s="3036"/>
      <c r="C35" s="3036"/>
      <c r="D35" s="3036"/>
      <c r="E35" s="3036"/>
      <c r="F35" s="3036"/>
      <c r="G35" s="3037"/>
      <c r="I35" s="3053">
        <v>10</v>
      </c>
      <c r="J35" s="3053">
        <v>67</v>
      </c>
      <c r="K35" s="3053">
        <f>J35-J34</f>
        <v>11.899999999999999</v>
      </c>
    </row>
    <row r="36" spans="1:13">
      <c r="A36" s="3035" t="s">
        <v>2527</v>
      </c>
      <c r="B36" s="3036"/>
      <c r="C36" s="3036"/>
      <c r="D36" s="3036"/>
      <c r="E36" s="3036"/>
      <c r="F36" s="3036"/>
      <c r="G36" s="3037"/>
      <c r="I36" s="3053">
        <v>15</v>
      </c>
      <c r="J36" s="3053">
        <v>76.3</v>
      </c>
      <c r="K36" s="3053">
        <f t="shared" ref="K36:K41" si="3">J36-J35</f>
        <v>9.2999999999999972</v>
      </c>
      <c r="L36" s="3053" t="s">
        <v>2555</v>
      </c>
      <c r="M36" s="3053" t="s">
        <v>2556</v>
      </c>
    </row>
    <row r="37" spans="1:13">
      <c r="A37" s="3035" t="s">
        <v>2528</v>
      </c>
      <c r="B37" s="3036"/>
      <c r="C37" s="3036"/>
      <c r="D37" s="3036"/>
      <c r="E37" s="3036"/>
      <c r="F37" s="3036"/>
      <c r="G37" s="3037"/>
      <c r="I37" s="3053">
        <v>20</v>
      </c>
      <c r="J37" s="3053">
        <v>83.6</v>
      </c>
      <c r="K37" s="3053">
        <f t="shared" si="3"/>
        <v>7.2999999999999972</v>
      </c>
      <c r="L37" s="3053" t="s">
        <v>2554</v>
      </c>
      <c r="M37" s="3053">
        <v>10</v>
      </c>
    </row>
    <row r="38" spans="1:13">
      <c r="A38" s="3035" t="s">
        <v>2529</v>
      </c>
      <c r="B38" s="3036"/>
      <c r="C38" s="3036"/>
      <c r="D38" s="3036"/>
      <c r="E38" s="3036"/>
      <c r="F38" s="3036"/>
      <c r="G38" s="3037"/>
      <c r="I38" s="3053">
        <v>25</v>
      </c>
      <c r="J38" s="3053">
        <v>89.3</v>
      </c>
      <c r="K38" s="3053">
        <f t="shared" si="3"/>
        <v>5.7000000000000028</v>
      </c>
      <c r="L38" s="3053" t="s">
        <v>2558</v>
      </c>
      <c r="M38" s="3053">
        <v>8</v>
      </c>
    </row>
    <row r="39" spans="1:13">
      <c r="A39" s="3035"/>
      <c r="B39" s="3036"/>
      <c r="C39" s="3036"/>
      <c r="D39" s="3036"/>
      <c r="E39" s="3036"/>
      <c r="F39" s="3036"/>
      <c r="G39" s="3037"/>
      <c r="I39" s="3053">
        <v>30</v>
      </c>
      <c r="J39" s="3053">
        <v>93.8</v>
      </c>
      <c r="K39" s="3053">
        <f t="shared" si="3"/>
        <v>4.5</v>
      </c>
      <c r="L39" s="3053" t="s">
        <v>2559</v>
      </c>
      <c r="M39" s="3053">
        <v>6</v>
      </c>
    </row>
    <row r="40" spans="1:13">
      <c r="A40" s="3038" t="s">
        <v>2530</v>
      </c>
      <c r="B40" s="3039"/>
      <c r="C40" s="3039"/>
      <c r="D40" s="3039"/>
      <c r="E40" s="3039"/>
      <c r="F40" s="3039"/>
      <c r="G40" s="3040"/>
      <c r="I40" s="3053">
        <v>35</v>
      </c>
      <c r="J40" s="3053">
        <v>97.2</v>
      </c>
      <c r="K40" s="3053">
        <f t="shared" si="3"/>
        <v>3.4000000000000057</v>
      </c>
      <c r="L40" s="3053" t="s">
        <v>2560</v>
      </c>
      <c r="M40" s="3053">
        <v>3</v>
      </c>
    </row>
    <row r="41" spans="1:13">
      <c r="A41" s="3041" t="s">
        <v>2531</v>
      </c>
      <c r="B41" s="3042" t="s">
        <v>2532</v>
      </c>
      <c r="C41" s="3043" t="s">
        <v>2533</v>
      </c>
      <c r="D41" s="3043" t="s">
        <v>2534</v>
      </c>
      <c r="E41" s="3044"/>
      <c r="F41" s="3045"/>
      <c r="G41" s="3046"/>
      <c r="I41" s="3053">
        <v>40</v>
      </c>
      <c r="J41" s="3053">
        <v>100</v>
      </c>
      <c r="K41" s="3053">
        <f t="shared" si="3"/>
        <v>2.7999999999999972</v>
      </c>
    </row>
    <row r="42" spans="1:13">
      <c r="A42" s="3041" t="s">
        <v>2535</v>
      </c>
      <c r="B42" s="3042" t="s">
        <v>2536</v>
      </c>
      <c r="C42" s="3043" t="s">
        <v>2537</v>
      </c>
      <c r="D42" s="3047" t="s">
        <v>2538</v>
      </c>
      <c r="E42" s="3039" t="s">
        <v>2539</v>
      </c>
      <c r="F42" s="3039"/>
      <c r="G42" s="3040"/>
    </row>
    <row r="43" spans="1:13">
      <c r="A43" s="3041" t="s">
        <v>2540</v>
      </c>
      <c r="B43" s="3042" t="s">
        <v>2541</v>
      </c>
      <c r="C43" s="3043" t="s">
        <v>2542</v>
      </c>
      <c r="D43" s="3043" t="s">
        <v>2543</v>
      </c>
      <c r="E43" s="3044" t="s">
        <v>2544</v>
      </c>
      <c r="F43" s="3045"/>
      <c r="G43" s="3046"/>
      <c r="I43" s="3053" t="s">
        <v>2552</v>
      </c>
      <c r="J43" s="3053" t="s">
        <v>2563</v>
      </c>
    </row>
    <row r="44" spans="1:13">
      <c r="A44" s="3041" t="s">
        <v>2545</v>
      </c>
      <c r="B44" s="3042" t="s">
        <v>2546</v>
      </c>
      <c r="C44" s="3043" t="s">
        <v>2547</v>
      </c>
      <c r="D44" s="3047">
        <v>0.5</v>
      </c>
      <c r="E44" s="3044" t="s">
        <v>2548</v>
      </c>
      <c r="F44" s="3045"/>
      <c r="G44" s="3046"/>
      <c r="I44" s="3053">
        <v>30</v>
      </c>
      <c r="J44" s="3053">
        <v>81.7</v>
      </c>
    </row>
    <row r="45" spans="1:13" ht="14.25" thickBot="1">
      <c r="A45" s="3048" t="s">
        <v>2549</v>
      </c>
      <c r="B45" s="3049" t="s">
        <v>2536</v>
      </c>
      <c r="C45" s="3050" t="s">
        <v>2536</v>
      </c>
      <c r="D45" s="3050" t="s">
        <v>2550</v>
      </c>
      <c r="E45" s="3051" t="s">
        <v>2551</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0"/>
  <sheetViews>
    <sheetView topLeftCell="A4" zoomScale="80" zoomScaleNormal="80" workbookViewId="0">
      <selection activeCell="L34" sqref="L34"/>
    </sheetView>
  </sheetViews>
  <sheetFormatPr defaultRowHeight="13.5"/>
  <cols>
    <col min="1" max="1" width="9" style="3488"/>
    <col min="2" max="2" width="18.25" style="3488" customWidth="1"/>
    <col min="3" max="4" width="9" style="3488"/>
    <col min="5" max="5" width="9" style="3487"/>
    <col min="6" max="8" width="9" style="3488"/>
    <col min="9" max="9" width="14" style="3488" customWidth="1"/>
    <col min="10" max="10" width="19.5" style="3488" customWidth="1"/>
    <col min="11" max="11" width="14.625" style="3488" customWidth="1"/>
    <col min="12" max="12" width="10.875" style="3488" customWidth="1"/>
    <col min="13" max="16384" width="9" style="3488"/>
  </cols>
  <sheetData>
    <row r="1" spans="1:15">
      <c r="A1" s="3485" t="s">
        <v>3517</v>
      </c>
      <c r="B1" s="3486"/>
      <c r="C1" s="3486"/>
      <c r="D1" s="3486"/>
      <c r="G1" s="3489" t="s">
        <v>3518</v>
      </c>
      <c r="H1" s="3489"/>
      <c r="I1" s="3489"/>
      <c r="J1" s="3489"/>
    </row>
    <row r="2" spans="1:15">
      <c r="A2" s="3485" t="s">
        <v>3519</v>
      </c>
      <c r="B2" s="3485" t="s">
        <v>3520</v>
      </c>
      <c r="C2" s="3486"/>
      <c r="D2" s="3486"/>
      <c r="G2" s="3489" t="s">
        <v>3521</v>
      </c>
      <c r="H2" s="3489"/>
      <c r="I2" s="3489"/>
      <c r="J2" s="3489"/>
    </row>
    <row r="3" spans="1:15">
      <c r="A3" s="3485" t="s">
        <v>3522</v>
      </c>
      <c r="B3" s="3485" t="s">
        <v>3523</v>
      </c>
      <c r="C3" s="3486"/>
      <c r="D3" s="3486"/>
      <c r="G3" s="3489" t="s">
        <v>3524</v>
      </c>
      <c r="H3" s="3489"/>
      <c r="I3" s="3489"/>
      <c r="J3" s="3489"/>
    </row>
    <row r="4" spans="1:15">
      <c r="A4" s="3485" t="s">
        <v>3525</v>
      </c>
      <c r="B4" s="3485" t="s">
        <v>3526</v>
      </c>
      <c r="C4" s="3486"/>
      <c r="D4" s="3486"/>
      <c r="G4" s="3489" t="s">
        <v>3527</v>
      </c>
      <c r="H4" s="3489"/>
      <c r="I4" s="3489"/>
      <c r="J4" s="3489"/>
      <c r="K4" s="3490" t="s">
        <v>3528</v>
      </c>
      <c r="L4" s="3490" t="s">
        <v>3525</v>
      </c>
      <c r="M4" s="3490" t="s">
        <v>3529</v>
      </c>
      <c r="N4" s="3490" t="s">
        <v>3530</v>
      </c>
    </row>
    <row r="5" spans="1:15">
      <c r="A5" s="3485" t="s">
        <v>3531</v>
      </c>
      <c r="B5" s="3486">
        <v>286843.40000000002</v>
      </c>
      <c r="C5" s="3486"/>
      <c r="D5" s="3486"/>
      <c r="G5" s="3489">
        <f>27472.5+70977.94</f>
        <v>98450.44</v>
      </c>
      <c r="H5" s="3489"/>
      <c r="I5" s="3489"/>
      <c r="J5" s="3489" t="s">
        <v>3532</v>
      </c>
      <c r="K5" s="3488" t="s">
        <v>3533</v>
      </c>
      <c r="L5" s="3490" t="s">
        <v>3534</v>
      </c>
      <c r="M5" s="3489" t="s">
        <v>3535</v>
      </c>
      <c r="N5" s="3488">
        <f>B49</f>
        <v>63063.88</v>
      </c>
    </row>
    <row r="6" spans="1:15">
      <c r="A6" s="3485" t="s">
        <v>3536</v>
      </c>
      <c r="B6" s="3486">
        <v>30798.78</v>
      </c>
      <c r="C6" s="3486"/>
      <c r="D6" s="3486"/>
      <c r="G6" s="3489">
        <v>272058.77</v>
      </c>
      <c r="H6" s="3489"/>
      <c r="I6" s="3489"/>
      <c r="J6" s="3489" t="s">
        <v>3537</v>
      </c>
      <c r="K6" s="3490" t="s">
        <v>3538</v>
      </c>
      <c r="L6" s="3490" t="s">
        <v>3539</v>
      </c>
      <c r="M6" s="3489" t="s">
        <v>3540</v>
      </c>
      <c r="N6" s="3488">
        <f>B33</f>
        <v>13059.5</v>
      </c>
    </row>
    <row r="7" spans="1:15">
      <c r="A7" s="3485" t="s">
        <v>3541</v>
      </c>
      <c r="B7" s="3491">
        <v>56854</v>
      </c>
      <c r="C7" s="3486"/>
      <c r="D7" s="3486"/>
      <c r="G7" s="3489" t="s">
        <v>3542</v>
      </c>
      <c r="H7" s="3489"/>
      <c r="I7" s="3489"/>
      <c r="J7" s="3489" t="s">
        <v>3543</v>
      </c>
      <c r="K7" s="3490" t="s">
        <v>3544</v>
      </c>
      <c r="L7" s="3489" t="s">
        <v>3545</v>
      </c>
      <c r="M7" s="3489" t="s">
        <v>3546</v>
      </c>
      <c r="N7" s="3488">
        <f>B16</f>
        <v>22309.51</v>
      </c>
    </row>
    <row r="8" spans="1:15">
      <c r="A8" s="3485" t="s">
        <v>3547</v>
      </c>
      <c r="B8" s="3486"/>
      <c r="C8" s="3486"/>
      <c r="D8" s="3485" t="s">
        <v>3548</v>
      </c>
      <c r="G8" s="3489">
        <v>27472.5</v>
      </c>
      <c r="H8" s="3489"/>
      <c r="I8" s="3489"/>
      <c r="J8" s="3489" t="s">
        <v>3549</v>
      </c>
      <c r="K8" s="3490" t="str">
        <f>B9</f>
        <v>11号楼-3至10层101</v>
      </c>
      <c r="L8" s="3489" t="s">
        <v>3550</v>
      </c>
      <c r="M8" s="3489" t="s">
        <v>3551</v>
      </c>
      <c r="N8" s="3488">
        <f>D9</f>
        <v>20843.580000000002</v>
      </c>
    </row>
    <row r="9" spans="1:15">
      <c r="A9" s="3485" t="s">
        <v>3552</v>
      </c>
      <c r="B9" s="3485" t="s">
        <v>3553</v>
      </c>
      <c r="C9" s="3486"/>
      <c r="D9" s="3486">
        <v>20843.580000000002</v>
      </c>
      <c r="G9" s="3489">
        <v>10856.09</v>
      </c>
      <c r="H9" s="3489">
        <v>3057.72</v>
      </c>
      <c r="I9" s="3489"/>
      <c r="J9" s="3489" t="s">
        <v>3554</v>
      </c>
      <c r="K9" s="3488" t="str">
        <f>B10</f>
        <v>12号楼-3至4层101</v>
      </c>
      <c r="L9" s="3489" t="s">
        <v>3550</v>
      </c>
      <c r="M9" s="3489" t="s">
        <v>3555</v>
      </c>
      <c r="N9" s="3488">
        <f>D10</f>
        <v>9955.2000000000007</v>
      </c>
    </row>
    <row r="10" spans="1:15">
      <c r="A10" s="3486"/>
      <c r="B10" s="3485" t="s">
        <v>3556</v>
      </c>
      <c r="C10" s="3486"/>
      <c r="D10" s="3486">
        <v>9955.2000000000007</v>
      </c>
      <c r="G10" s="3489"/>
      <c r="H10" s="3489">
        <v>2736.26</v>
      </c>
      <c r="I10" s="3489"/>
      <c r="J10" s="3489" t="s">
        <v>3557</v>
      </c>
      <c r="K10" s="3490" t="s">
        <v>3558</v>
      </c>
      <c r="L10" s="3490" t="s">
        <v>3614</v>
      </c>
      <c r="M10" s="3489" t="s">
        <v>3559</v>
      </c>
      <c r="N10" s="3488">
        <v>43664</v>
      </c>
      <c r="O10" s="3488" t="s">
        <v>3616</v>
      </c>
    </row>
    <row r="11" spans="1:15">
      <c r="A11" s="3485" t="s">
        <v>3560</v>
      </c>
      <c r="B11" s="3486"/>
      <c r="G11" s="3489"/>
      <c r="H11" s="3489"/>
      <c r="I11" s="3489"/>
      <c r="J11" s="3489"/>
      <c r="K11" s="3490" t="s">
        <v>3561</v>
      </c>
      <c r="L11" s="3490" t="s">
        <v>3613</v>
      </c>
      <c r="M11" s="3489" t="s">
        <v>3562</v>
      </c>
      <c r="N11" s="3488">
        <f>B24</f>
        <v>53404.31</v>
      </c>
    </row>
    <row r="12" spans="1:15">
      <c r="A12" s="3486" t="str">
        <f>A2</f>
        <v>权利人</v>
      </c>
      <c r="B12" s="3485" t="s">
        <v>3563</v>
      </c>
      <c r="G12" s="3489"/>
      <c r="H12" s="3489"/>
      <c r="I12" s="3489"/>
      <c r="J12" s="3489"/>
      <c r="K12" s="3488" t="s">
        <v>3611</v>
      </c>
      <c r="L12" s="3488" t="s">
        <v>3612</v>
      </c>
      <c r="M12" s="3489" t="s">
        <v>3564</v>
      </c>
      <c r="N12" s="3488">
        <f>B65</f>
        <v>39266.81</v>
      </c>
    </row>
    <row r="13" spans="1:15">
      <c r="A13" s="3486" t="str">
        <f t="shared" ref="A13:A18" si="0">A3</f>
        <v>坐落</v>
      </c>
      <c r="B13" s="3485" t="s">
        <v>3565</v>
      </c>
      <c r="J13" s="3490" t="s">
        <v>3566</v>
      </c>
      <c r="N13" s="3488">
        <f>SUM(N5:N12)</f>
        <v>265566.78999999998</v>
      </c>
    </row>
    <row r="14" spans="1:15">
      <c r="A14" s="3486" t="str">
        <f t="shared" si="0"/>
        <v>用途</v>
      </c>
      <c r="B14" s="3485" t="s">
        <v>3567</v>
      </c>
    </row>
    <row r="15" spans="1:15">
      <c r="A15" s="3486" t="str">
        <f t="shared" si="0"/>
        <v>共有宗地面积</v>
      </c>
      <c r="B15" s="3486">
        <f>B5</f>
        <v>286843.40000000002</v>
      </c>
    </row>
    <row r="16" spans="1:15">
      <c r="A16" s="3486" t="str">
        <f t="shared" si="0"/>
        <v>房屋建筑面积</v>
      </c>
      <c r="B16" s="3486">
        <v>22309.51</v>
      </c>
      <c r="J16" s="3490" t="s">
        <v>3568</v>
      </c>
    </row>
    <row r="17" spans="1:13">
      <c r="A17" s="3486" t="str">
        <f t="shared" si="0"/>
        <v>国有建设用地使用权</v>
      </c>
      <c r="B17" s="3491">
        <f>B7</f>
        <v>56854</v>
      </c>
      <c r="J17" s="3490" t="s">
        <v>3569</v>
      </c>
      <c r="K17" s="3490" t="s">
        <v>3570</v>
      </c>
    </row>
    <row r="18" spans="1:13">
      <c r="A18" s="3486" t="str">
        <f t="shared" si="0"/>
        <v>未经批准不得转让</v>
      </c>
      <c r="B18" s="3486"/>
      <c r="G18" s="3488" t="str">
        <f>K5</f>
        <v>1号楼</v>
      </c>
      <c r="H18" s="3488" t="str">
        <f>M5</f>
        <v>6（-1）</v>
      </c>
      <c r="I18" s="3488" t="str">
        <f>B52</f>
        <v>1号楼-1层-01</v>
      </c>
      <c r="J18" s="3488">
        <v>0</v>
      </c>
      <c r="K18" s="3488">
        <f>C52</f>
        <v>7650.01</v>
      </c>
      <c r="L18" s="3488">
        <f>K18+J18</f>
        <v>7650.01</v>
      </c>
      <c r="M18" s="3490" t="s">
        <v>3571</v>
      </c>
    </row>
    <row r="19" spans="1:13">
      <c r="A19" s="3485" t="s">
        <v>3572</v>
      </c>
      <c r="B19" s="3486"/>
      <c r="C19" s="3486"/>
      <c r="I19" s="3488" t="str">
        <f t="shared" ref="I19:J24" si="1">B53</f>
        <v>1号楼1层01</v>
      </c>
      <c r="J19" s="3488">
        <f t="shared" si="1"/>
        <v>19620.11</v>
      </c>
      <c r="K19" s="3488">
        <v>0</v>
      </c>
      <c r="L19" s="3488">
        <f t="shared" ref="L19:L32" si="2">K19+J19</f>
        <v>19620.11</v>
      </c>
      <c r="M19" s="3490" t="s">
        <v>3573</v>
      </c>
    </row>
    <row r="20" spans="1:13">
      <c r="A20" s="3485" t="str">
        <f>A12</f>
        <v>权利人</v>
      </c>
      <c r="B20" s="3485" t="s">
        <v>3574</v>
      </c>
      <c r="C20" s="3486"/>
      <c r="I20" s="3488" t="str">
        <f t="shared" si="1"/>
        <v>1号楼2层02</v>
      </c>
      <c r="J20" s="3488">
        <f t="shared" si="1"/>
        <v>10497.88</v>
      </c>
      <c r="K20" s="3488">
        <v>0</v>
      </c>
      <c r="L20" s="3488">
        <f t="shared" si="2"/>
        <v>10497.88</v>
      </c>
      <c r="M20" s="3490" t="s">
        <v>3575</v>
      </c>
    </row>
    <row r="21" spans="1:13">
      <c r="A21" s="3485" t="str">
        <f t="shared" ref="A21:A24" si="3">A13</f>
        <v>坐落</v>
      </c>
      <c r="B21" s="3485" t="s">
        <v>3576</v>
      </c>
      <c r="C21" s="3486"/>
      <c r="E21" s="3492" t="s">
        <v>3577</v>
      </c>
      <c r="I21" s="3488" t="str">
        <f t="shared" si="1"/>
        <v>1号楼3层03</v>
      </c>
      <c r="J21" s="3488">
        <f t="shared" si="1"/>
        <v>11222.01</v>
      </c>
      <c r="K21" s="3488">
        <v>0</v>
      </c>
      <c r="L21" s="3488">
        <f t="shared" si="2"/>
        <v>11222.01</v>
      </c>
      <c r="M21" s="3490" t="s">
        <v>3575</v>
      </c>
    </row>
    <row r="22" spans="1:13">
      <c r="A22" s="3485" t="str">
        <f t="shared" si="3"/>
        <v>用途</v>
      </c>
      <c r="B22" s="3485" t="s">
        <v>3578</v>
      </c>
      <c r="C22" s="3486"/>
      <c r="I22" s="3488" t="str">
        <f t="shared" si="1"/>
        <v>1号楼4层04</v>
      </c>
      <c r="J22" s="3488">
        <f t="shared" si="1"/>
        <v>3302.61</v>
      </c>
      <c r="K22" s="3488">
        <v>0</v>
      </c>
      <c r="L22" s="3488">
        <f t="shared" si="2"/>
        <v>3302.61</v>
      </c>
      <c r="M22" s="3490" t="s">
        <v>3575</v>
      </c>
    </row>
    <row r="23" spans="1:13">
      <c r="A23" s="3485" t="str">
        <f t="shared" si="3"/>
        <v>共有宗地面积</v>
      </c>
      <c r="B23" s="3486">
        <v>286843.40000000002</v>
      </c>
      <c r="C23" s="3486"/>
      <c r="I23" s="3488" t="str">
        <f t="shared" si="1"/>
        <v>1号楼5层05</v>
      </c>
      <c r="J23" s="3488">
        <f t="shared" si="1"/>
        <v>10347.4</v>
      </c>
      <c r="K23" s="3488">
        <v>0</v>
      </c>
      <c r="L23" s="3488">
        <f t="shared" si="2"/>
        <v>10347.4</v>
      </c>
      <c r="M23" s="3490" t="s">
        <v>3575</v>
      </c>
    </row>
    <row r="24" spans="1:13">
      <c r="A24" s="3485" t="str">
        <f t="shared" si="3"/>
        <v>房屋建筑面积</v>
      </c>
      <c r="B24" s="3486">
        <v>53404.31</v>
      </c>
      <c r="C24" s="3486"/>
      <c r="I24" s="3488" t="str">
        <f t="shared" si="1"/>
        <v>1号楼6层06</v>
      </c>
      <c r="J24" s="3488">
        <f t="shared" si="1"/>
        <v>423.86</v>
      </c>
      <c r="K24" s="3488">
        <v>0</v>
      </c>
      <c r="L24" s="3488">
        <f t="shared" si="2"/>
        <v>423.86</v>
      </c>
      <c r="M24" s="3490" t="s">
        <v>3575</v>
      </c>
    </row>
    <row r="25" spans="1:13">
      <c r="A25" s="3485"/>
      <c r="B25" s="3486"/>
      <c r="C25" s="3486"/>
      <c r="I25" s="3488" t="s">
        <v>3635</v>
      </c>
      <c r="J25" s="3488">
        <f>SUM(J18:J24)</f>
        <v>55413.87</v>
      </c>
      <c r="K25" s="3488">
        <f>SUM(K18:K24)</f>
        <v>7650.01</v>
      </c>
      <c r="L25" s="3488">
        <f t="shared" si="2"/>
        <v>63063.880000000005</v>
      </c>
      <c r="M25" s="3490"/>
    </row>
    <row r="26" spans="1:13">
      <c r="A26" s="3485" t="str">
        <f>A17</f>
        <v>国有建设用地使用权</v>
      </c>
      <c r="B26" s="3486"/>
      <c r="C26" s="3486"/>
      <c r="G26" s="3488" t="str">
        <f t="shared" ref="G26:G32" si="4">K6</f>
        <v>2号楼-1至2层101</v>
      </c>
      <c r="H26" s="3488" t="str">
        <f t="shared" ref="H26:H32" si="5">M6</f>
        <v>2（-1）</v>
      </c>
      <c r="I26" s="3488" t="str">
        <f>G26</f>
        <v>2号楼-1至2层101</v>
      </c>
      <c r="J26" s="3493">
        <v>5532.83</v>
      </c>
      <c r="K26" s="3493">
        <v>7526.67</v>
      </c>
      <c r="L26" s="3488">
        <f t="shared" si="2"/>
        <v>13059.5</v>
      </c>
      <c r="M26" s="3490" t="s">
        <v>3579</v>
      </c>
    </row>
    <row r="27" spans="1:13">
      <c r="A27" s="3485" t="str">
        <f>A18</f>
        <v>未经批准不得转让</v>
      </c>
      <c r="B27" s="3486"/>
      <c r="C27" s="3486"/>
      <c r="G27" s="3488" t="str">
        <f t="shared" si="4"/>
        <v>10号楼-3至10层101</v>
      </c>
      <c r="H27" s="3488" t="str">
        <f t="shared" si="5"/>
        <v>10（-3）</v>
      </c>
      <c r="I27" s="3488" t="str">
        <f t="shared" ref="I27:I32" si="6">K7</f>
        <v>10号楼-3至10层101</v>
      </c>
      <c r="J27" s="3493">
        <v>17472.64</v>
      </c>
      <c r="K27" s="3493">
        <v>4836.869999999999</v>
      </c>
      <c r="L27" s="3488">
        <f t="shared" si="2"/>
        <v>22309.51</v>
      </c>
      <c r="M27" s="3490" t="s">
        <v>3580</v>
      </c>
    </row>
    <row r="28" spans="1:13">
      <c r="A28" s="3485" t="s">
        <v>3581</v>
      </c>
      <c r="B28" s="3486"/>
      <c r="C28" s="3486"/>
      <c r="G28" s="3488" t="str">
        <f t="shared" si="4"/>
        <v>11号楼-3至10层101</v>
      </c>
      <c r="H28" s="3488" t="str">
        <f t="shared" si="5"/>
        <v>10（-3）</v>
      </c>
      <c r="I28" s="3488" t="str">
        <f t="shared" si="6"/>
        <v>11号楼-3至10层101</v>
      </c>
      <c r="J28" s="3493">
        <v>16469.41</v>
      </c>
      <c r="K28" s="3493">
        <v>4374.1700000000019</v>
      </c>
      <c r="L28" s="3488">
        <f t="shared" si="2"/>
        <v>20843.580000000002</v>
      </c>
      <c r="M28" s="3490" t="s">
        <v>3580</v>
      </c>
    </row>
    <row r="29" spans="1:13">
      <c r="A29" s="3485" t="str">
        <f>A20</f>
        <v>权利人</v>
      </c>
      <c r="B29" s="3485" t="s">
        <v>3574</v>
      </c>
      <c r="C29" s="3486"/>
      <c r="G29" s="3488" t="str">
        <f t="shared" si="4"/>
        <v>12号楼-3至4层101</v>
      </c>
      <c r="H29" s="3488" t="str">
        <f t="shared" si="5"/>
        <v>4（-3）</v>
      </c>
      <c r="I29" s="3488" t="str">
        <f t="shared" si="6"/>
        <v>12号楼-3至4层101</v>
      </c>
      <c r="J29" s="3493">
        <v>5444.2300000000005</v>
      </c>
      <c r="K29" s="3493">
        <v>4510.97</v>
      </c>
      <c r="L29" s="3488">
        <f t="shared" si="2"/>
        <v>9955.2000000000007</v>
      </c>
      <c r="M29" s="3490" t="s">
        <v>3580</v>
      </c>
    </row>
    <row r="30" spans="1:13">
      <c r="A30" s="3485" t="str">
        <f>A21</f>
        <v>坐落</v>
      </c>
      <c r="B30" s="3485" t="s">
        <v>3582</v>
      </c>
      <c r="C30" s="3486"/>
      <c r="G30" s="3488" t="str">
        <f t="shared" si="4"/>
        <v>13幢-2至-1层-101</v>
      </c>
      <c r="H30" s="3488" t="str">
        <f t="shared" si="5"/>
        <v>0（-2）</v>
      </c>
      <c r="I30" s="3488" t="str">
        <f t="shared" si="6"/>
        <v>13幢-2至-1层-101</v>
      </c>
      <c r="J30" s="3488">
        <v>0</v>
      </c>
      <c r="K30" s="3488">
        <f>N10</f>
        <v>43664</v>
      </c>
      <c r="L30" s="3488">
        <f t="shared" si="2"/>
        <v>43664</v>
      </c>
      <c r="M30" s="3490" t="s">
        <v>3617</v>
      </c>
    </row>
    <row r="31" spans="1:13">
      <c r="A31" s="3485" t="str">
        <f>A22</f>
        <v>用途</v>
      </c>
      <c r="B31" s="3485" t="s">
        <v>3583</v>
      </c>
      <c r="C31" s="3486"/>
      <c r="G31" s="3488" t="str">
        <f t="shared" si="4"/>
        <v>16幢-1层-101</v>
      </c>
      <c r="H31" s="3488" t="str">
        <f t="shared" si="5"/>
        <v>0（-1）</v>
      </c>
      <c r="I31" s="3488" t="str">
        <f t="shared" si="6"/>
        <v>16幢-1层-101</v>
      </c>
      <c r="J31" s="3488">
        <v>0</v>
      </c>
      <c r="K31" s="3488">
        <f>N11</f>
        <v>53404.31</v>
      </c>
      <c r="L31" s="3488">
        <f t="shared" si="2"/>
        <v>53404.31</v>
      </c>
      <c r="M31" s="3490" t="s">
        <v>3578</v>
      </c>
    </row>
    <row r="32" spans="1:13">
      <c r="A32" s="3485" t="str">
        <f>A23</f>
        <v>共有宗地面积</v>
      </c>
      <c r="B32" s="3486">
        <f>B23</f>
        <v>286843.40000000002</v>
      </c>
      <c r="C32" s="3486"/>
      <c r="G32" s="3488" t="str">
        <f t="shared" si="4"/>
        <v>13号楼-2至2层101</v>
      </c>
      <c r="H32" s="3488" t="str">
        <f t="shared" si="5"/>
        <v>2（-2)</v>
      </c>
      <c r="I32" s="3488" t="str">
        <f t="shared" si="6"/>
        <v>13号楼-2至2层101</v>
      </c>
      <c r="J32" s="3488">
        <f>ROUND(N12*冰上运动!B14/冰上运动!B12,2)</f>
        <v>16529.150000000001</v>
      </c>
      <c r="K32" s="3488">
        <f>N12-J32</f>
        <v>22737.659999999996</v>
      </c>
      <c r="L32" s="3488">
        <f t="shared" si="2"/>
        <v>39266.81</v>
      </c>
      <c r="M32" s="3490" t="s">
        <v>3584</v>
      </c>
    </row>
    <row r="33" spans="1:12">
      <c r="A33" s="3485" t="str">
        <f>A24</f>
        <v>房屋建筑面积</v>
      </c>
      <c r="B33" s="3486">
        <v>13059.5</v>
      </c>
      <c r="C33" s="3486"/>
      <c r="J33" s="3488">
        <f>SUM(J18:J32)</f>
        <v>172276.00000000003</v>
      </c>
      <c r="K33" s="3488">
        <f>SUM(K18:K32)</f>
        <v>156354.67000000001</v>
      </c>
      <c r="L33" s="3488">
        <f>SUM(L25:L32)</f>
        <v>265566.78999999998</v>
      </c>
    </row>
    <row r="34" spans="1:12">
      <c r="A34" s="3485" t="str">
        <f t="shared" ref="A34:A35" si="7">A26</f>
        <v>国有建设用地使用权</v>
      </c>
      <c r="B34" s="3491">
        <f>B17</f>
        <v>56854</v>
      </c>
      <c r="C34" s="3486"/>
    </row>
    <row r="35" spans="1:12">
      <c r="A35" s="3485" t="str">
        <f t="shared" si="7"/>
        <v>未经批准不得转让</v>
      </c>
      <c r="B35" s="3486"/>
      <c r="C35" s="3486"/>
    </row>
    <row r="36" spans="1:12">
      <c r="A36" s="3494" t="s">
        <v>3585</v>
      </c>
    </row>
    <row r="37" spans="1:12">
      <c r="A37" s="3490" t="str">
        <f>A29</f>
        <v>权利人</v>
      </c>
      <c r="B37" s="3488" t="str">
        <f>B29</f>
        <v>北京五棵松文化体育中心有限公司</v>
      </c>
    </row>
    <row r="38" spans="1:12">
      <c r="A38" s="3490" t="str">
        <f t="shared" ref="A38:A43" si="8">A30</f>
        <v>坐落</v>
      </c>
      <c r="B38" s="3490" t="s">
        <v>3586</v>
      </c>
      <c r="E38" s="3495" t="s">
        <v>3587</v>
      </c>
    </row>
    <row r="39" spans="1:12">
      <c r="A39" s="3490" t="str">
        <f t="shared" si="8"/>
        <v>用途</v>
      </c>
      <c r="B39" s="3490" t="s">
        <v>3588</v>
      </c>
    </row>
    <row r="40" spans="1:12">
      <c r="A40" s="3490" t="str">
        <f t="shared" si="8"/>
        <v>共有宗地面积</v>
      </c>
      <c r="B40" s="3488">
        <f>B32</f>
        <v>286843.40000000002</v>
      </c>
      <c r="G40" s="3490" t="s">
        <v>3589</v>
      </c>
    </row>
    <row r="41" spans="1:12">
      <c r="A41" s="3490" t="str">
        <f t="shared" si="8"/>
        <v>房屋建筑面积</v>
      </c>
      <c r="B41" s="3489">
        <v>41708.36</v>
      </c>
      <c r="C41" s="3488" t="s">
        <v>3615</v>
      </c>
    </row>
    <row r="42" spans="1:12">
      <c r="A42" s="3490" t="str">
        <f t="shared" si="8"/>
        <v>国有建设用地使用权</v>
      </c>
      <c r="B42" s="3496">
        <f>B34</f>
        <v>56854</v>
      </c>
    </row>
    <row r="43" spans="1:12">
      <c r="A43" s="3490" t="str">
        <f t="shared" si="8"/>
        <v>未经批准不得转让</v>
      </c>
    </row>
    <row r="44" spans="1:12">
      <c r="A44" s="3485" t="s">
        <v>3590</v>
      </c>
      <c r="B44" s="3486"/>
      <c r="C44" s="3486"/>
      <c r="D44" s="3486"/>
    </row>
    <row r="45" spans="1:12">
      <c r="A45" s="3485" t="str">
        <f>A37</f>
        <v>权利人</v>
      </c>
      <c r="B45" s="3485" t="s">
        <v>3574</v>
      </c>
      <c r="C45" s="3486"/>
      <c r="D45" s="3486"/>
    </row>
    <row r="46" spans="1:12">
      <c r="A46" s="3485" t="str">
        <f t="shared" ref="A46:A51" si="9">A38</f>
        <v>坐落</v>
      </c>
      <c r="B46" s="3485" t="s">
        <v>3591</v>
      </c>
      <c r="C46" s="3486"/>
      <c r="D46" s="3486"/>
    </row>
    <row r="47" spans="1:12">
      <c r="A47" s="3485" t="str">
        <f t="shared" si="9"/>
        <v>用途</v>
      </c>
      <c r="B47" s="3485" t="s">
        <v>3592</v>
      </c>
      <c r="C47" s="3486"/>
      <c r="D47" s="3486"/>
    </row>
    <row r="48" spans="1:12">
      <c r="A48" s="3485" t="str">
        <f t="shared" si="9"/>
        <v>共有宗地面积</v>
      </c>
      <c r="B48" s="3486"/>
      <c r="C48" s="3486"/>
      <c r="D48" s="3486"/>
    </row>
    <row r="49" spans="1:15">
      <c r="A49" s="3485" t="str">
        <f t="shared" si="9"/>
        <v>房屋建筑面积</v>
      </c>
      <c r="B49" s="3486">
        <v>63063.88</v>
      </c>
      <c r="C49" s="3486"/>
      <c r="D49" s="3486"/>
    </row>
    <row r="50" spans="1:15" s="3487" customFormat="1">
      <c r="A50" s="3485" t="str">
        <f t="shared" si="9"/>
        <v>国有建设用地使用权</v>
      </c>
      <c r="B50" s="3491">
        <f>B42</f>
        <v>56854</v>
      </c>
      <c r="C50" s="3486"/>
      <c r="D50" s="3486"/>
      <c r="F50" s="3488"/>
      <c r="G50" s="3488"/>
      <c r="H50" s="3488"/>
      <c r="I50" s="3488"/>
      <c r="J50" s="3488"/>
      <c r="K50" s="3488"/>
      <c r="L50" s="3488"/>
      <c r="M50" s="3488"/>
      <c r="N50" s="3488"/>
      <c r="O50" s="3488"/>
    </row>
    <row r="51" spans="1:15" s="3487" customFormat="1">
      <c r="A51" s="3485" t="str">
        <f t="shared" si="9"/>
        <v>未经批准不得转让</v>
      </c>
      <c r="B51" s="3486"/>
      <c r="C51" s="3486"/>
      <c r="D51" s="3486"/>
      <c r="F51" s="3488"/>
      <c r="G51" s="3488"/>
      <c r="H51" s="3488"/>
      <c r="I51" s="3488"/>
      <c r="J51" s="3488"/>
      <c r="K51" s="3488"/>
      <c r="L51" s="3488"/>
      <c r="M51" s="3488"/>
      <c r="N51" s="3488"/>
      <c r="O51" s="3488"/>
    </row>
    <row r="52" spans="1:15" s="3487" customFormat="1">
      <c r="A52" s="3485" t="s">
        <v>3593</v>
      </c>
      <c r="B52" s="3485" t="s">
        <v>3594</v>
      </c>
      <c r="C52" s="3486">
        <v>7650.01</v>
      </c>
      <c r="D52" s="3486"/>
      <c r="F52" s="3488"/>
      <c r="G52" s="3488"/>
      <c r="H52" s="3488"/>
      <c r="I52" s="3488"/>
      <c r="J52" s="3488"/>
      <c r="K52" s="3488"/>
      <c r="L52" s="3488"/>
      <c r="M52" s="3488"/>
      <c r="N52" s="3488"/>
      <c r="O52" s="3488"/>
    </row>
    <row r="53" spans="1:15" s="3487" customFormat="1">
      <c r="A53" s="3485"/>
      <c r="B53" s="3485" t="s">
        <v>3595</v>
      </c>
      <c r="C53" s="3486">
        <v>19620.11</v>
      </c>
      <c r="D53" s="3486"/>
      <c r="F53" s="3488"/>
      <c r="G53" s="3488"/>
      <c r="H53" s="3488"/>
      <c r="I53" s="3488"/>
      <c r="J53" s="3488"/>
      <c r="K53" s="3488"/>
      <c r="L53" s="3488"/>
      <c r="M53" s="3488"/>
      <c r="N53" s="3488"/>
      <c r="O53" s="3488"/>
    </row>
    <row r="54" spans="1:15" s="3487" customFormat="1">
      <c r="A54" s="3486"/>
      <c r="B54" s="3485" t="s">
        <v>3596</v>
      </c>
      <c r="C54" s="3486">
        <v>10497.88</v>
      </c>
      <c r="D54" s="3486"/>
      <c r="F54" s="3488"/>
      <c r="G54" s="3488"/>
      <c r="H54" s="3488"/>
      <c r="I54" s="3488"/>
      <c r="J54" s="3488"/>
      <c r="K54" s="3488"/>
      <c r="L54" s="3488"/>
      <c r="M54" s="3488"/>
      <c r="N54" s="3488"/>
      <c r="O54" s="3488"/>
    </row>
    <row r="55" spans="1:15" s="3487" customFormat="1">
      <c r="A55" s="3486"/>
      <c r="B55" s="3485" t="s">
        <v>3597</v>
      </c>
      <c r="C55" s="3486">
        <v>11222.01</v>
      </c>
      <c r="D55" s="3486"/>
      <c r="F55" s="3488"/>
      <c r="G55" s="3488"/>
      <c r="H55" s="3488"/>
      <c r="I55" s="3488"/>
      <c r="J55" s="3488"/>
      <c r="K55" s="3488"/>
      <c r="L55" s="3488"/>
      <c r="M55" s="3488"/>
      <c r="N55" s="3488"/>
      <c r="O55" s="3488"/>
    </row>
    <row r="56" spans="1:15" s="3487" customFormat="1">
      <c r="A56" s="3486"/>
      <c r="B56" s="3485" t="s">
        <v>3598</v>
      </c>
      <c r="C56" s="3486">
        <v>3302.61</v>
      </c>
      <c r="D56" s="3486"/>
      <c r="F56" s="3488"/>
      <c r="G56" s="3488"/>
      <c r="H56" s="3488"/>
      <c r="I56" s="3488"/>
      <c r="J56" s="3488"/>
      <c r="K56" s="3488"/>
      <c r="L56" s="3488"/>
      <c r="M56" s="3488"/>
      <c r="N56" s="3488"/>
      <c r="O56" s="3488"/>
    </row>
    <row r="57" spans="1:15" s="3487" customFormat="1">
      <c r="A57" s="3486"/>
      <c r="B57" s="3485" t="s">
        <v>3599</v>
      </c>
      <c r="C57" s="3486">
        <v>10347.4</v>
      </c>
      <c r="D57" s="3486"/>
      <c r="F57" s="3488"/>
      <c r="G57" s="3488"/>
      <c r="H57" s="3488"/>
      <c r="I57" s="3488"/>
      <c r="J57" s="3488"/>
      <c r="K57" s="3488"/>
      <c r="L57" s="3488"/>
      <c r="M57" s="3488"/>
      <c r="N57" s="3488"/>
      <c r="O57" s="3488"/>
    </row>
    <row r="58" spans="1:15" s="3487" customFormat="1">
      <c r="A58" s="3486"/>
      <c r="B58" s="3485" t="s">
        <v>3600</v>
      </c>
      <c r="C58" s="3486">
        <v>423.86</v>
      </c>
      <c r="D58" s="3486"/>
      <c r="F58" s="3488"/>
      <c r="G58" s="3488"/>
      <c r="H58" s="3488"/>
      <c r="I58" s="3488"/>
      <c r="J58" s="3488"/>
      <c r="K58" s="3488"/>
      <c r="L58" s="3488"/>
      <c r="M58" s="3488"/>
      <c r="N58" s="3488"/>
      <c r="O58" s="3488"/>
    </row>
    <row r="59" spans="1:15" s="3487" customFormat="1">
      <c r="A59" s="3486"/>
      <c r="B59" s="3486"/>
      <c r="C59" s="3486">
        <f>SUM(C52:C58)</f>
        <v>63063.880000000005</v>
      </c>
      <c r="D59" s="3486"/>
      <c r="F59" s="3488"/>
      <c r="G59" s="3488"/>
      <c r="H59" s="3488"/>
      <c r="I59" s="3488"/>
      <c r="J59" s="3488"/>
      <c r="K59" s="3488"/>
      <c r="L59" s="3488"/>
      <c r="M59" s="3488"/>
      <c r="N59" s="3488"/>
    </row>
    <row r="60" spans="1:15" s="3487" customFormat="1">
      <c r="A60" s="3486" t="s">
        <v>3602</v>
      </c>
      <c r="B60" s="3486"/>
      <c r="C60" s="3486"/>
      <c r="D60" s="3486"/>
      <c r="F60" s="3488"/>
      <c r="G60" s="3488"/>
      <c r="H60" s="3488"/>
      <c r="I60" s="3488"/>
      <c r="J60" s="3488"/>
      <c r="K60" s="3488"/>
      <c r="L60" s="3488"/>
      <c r="M60" s="3488"/>
      <c r="N60" s="3488"/>
    </row>
    <row r="61" spans="1:15" s="3487" customFormat="1">
      <c r="A61" s="3486" t="s">
        <v>3603</v>
      </c>
      <c r="B61" s="3486" t="s">
        <v>3604</v>
      </c>
      <c r="C61" s="3486"/>
      <c r="D61" s="3486"/>
      <c r="F61" s="3488"/>
      <c r="G61" s="3488"/>
      <c r="H61" s="3488"/>
      <c r="I61" s="3488"/>
      <c r="J61" s="3488"/>
      <c r="K61" s="3488"/>
      <c r="L61" s="3488"/>
      <c r="M61" s="3488"/>
      <c r="N61" s="3488"/>
    </row>
    <row r="62" spans="1:15" s="3487" customFormat="1">
      <c r="A62" s="3486" t="s">
        <v>3605</v>
      </c>
      <c r="B62" s="3486" t="s">
        <v>3606</v>
      </c>
      <c r="C62" s="3486"/>
      <c r="D62" s="3486"/>
      <c r="F62" s="3488"/>
      <c r="G62" s="3488"/>
      <c r="H62" s="3488"/>
      <c r="I62" s="3488"/>
      <c r="J62" s="3488"/>
      <c r="K62" s="3488"/>
      <c r="L62" s="3488"/>
      <c r="M62" s="3488"/>
      <c r="N62" s="3488"/>
    </row>
    <row r="63" spans="1:15" s="3487" customFormat="1">
      <c r="A63" s="3486" t="s">
        <v>3607</v>
      </c>
      <c r="B63" s="3486" t="s">
        <v>3608</v>
      </c>
      <c r="C63" s="3486"/>
      <c r="D63" s="3486"/>
      <c r="F63" s="3488"/>
      <c r="G63" s="3488"/>
      <c r="H63" s="3488"/>
      <c r="I63" s="3488"/>
      <c r="J63" s="3488"/>
      <c r="K63" s="3488"/>
      <c r="L63" s="3488"/>
      <c r="M63" s="3488"/>
      <c r="N63" s="3488"/>
    </row>
    <row r="64" spans="1:15" s="3487" customFormat="1">
      <c r="A64" s="3486" t="s">
        <v>3609</v>
      </c>
      <c r="B64" s="3488">
        <f>B40</f>
        <v>286843.40000000002</v>
      </c>
      <c r="C64" s="3486"/>
      <c r="D64" s="3486"/>
      <c r="F64" s="3488"/>
      <c r="G64" s="3488"/>
      <c r="H64" s="3488"/>
      <c r="I64" s="3488"/>
      <c r="J64" s="3488"/>
      <c r="K64" s="3488"/>
      <c r="L64" s="3488"/>
      <c r="M64" s="3488"/>
      <c r="N64" s="3488"/>
    </row>
    <row r="65" spans="1:14" s="3487" customFormat="1">
      <c r="A65" s="3486" t="s">
        <v>3610</v>
      </c>
      <c r="B65" s="3486">
        <v>39266.81</v>
      </c>
      <c r="C65" s="3486"/>
      <c r="D65" s="3486"/>
      <c r="F65" s="3488"/>
      <c r="G65" s="3488"/>
      <c r="H65" s="3488"/>
      <c r="I65" s="3488"/>
      <c r="J65" s="3488"/>
      <c r="K65" s="3488"/>
      <c r="L65" s="3488"/>
      <c r="M65" s="3488"/>
      <c r="N65" s="3488"/>
    </row>
    <row r="66" spans="1:14" s="3487" customFormat="1">
      <c r="A66" s="3486"/>
      <c r="B66" s="3486"/>
      <c r="C66" s="3486"/>
      <c r="D66" s="3486"/>
      <c r="F66" s="3488"/>
      <c r="G66" s="3488"/>
      <c r="H66" s="3488"/>
      <c r="I66" s="3488"/>
      <c r="J66" s="3488"/>
      <c r="K66" s="3488"/>
      <c r="L66" s="3488"/>
      <c r="M66" s="3488"/>
      <c r="N66" s="3488"/>
    </row>
    <row r="67" spans="1:14" s="3487" customFormat="1">
      <c r="A67" s="3486"/>
      <c r="B67" s="3486"/>
      <c r="C67" s="3486"/>
      <c r="D67" s="3486"/>
      <c r="F67" s="3488"/>
      <c r="G67" s="3488"/>
      <c r="H67" s="3488"/>
      <c r="I67" s="3488"/>
      <c r="J67" s="3488"/>
      <c r="K67" s="3488"/>
      <c r="L67" s="3488"/>
      <c r="M67" s="3488"/>
      <c r="N67" s="3488"/>
    </row>
    <row r="69" spans="1:14" s="3487" customFormat="1">
      <c r="A69" s="3490" t="s">
        <v>3601</v>
      </c>
      <c r="B69" s="3488">
        <f>B6+B16+B24+B33+B41+B49+B65</f>
        <v>263611.15000000002</v>
      </c>
      <c r="C69" s="3488"/>
      <c r="D69" s="3488"/>
      <c r="F69" s="3488"/>
      <c r="G69" s="3488"/>
      <c r="H69" s="3488"/>
      <c r="I69" s="3488"/>
      <c r="J69" s="3488"/>
      <c r="K69" s="3488"/>
      <c r="L69" s="3488"/>
      <c r="M69" s="3488"/>
      <c r="N69" s="3488"/>
    </row>
    <row r="70" spans="1:14" s="3487" customFormat="1">
      <c r="A70" s="3488"/>
      <c r="B70" s="3488">
        <f>'[2]数据-汇总表'!E3/'不动产权证-面积指标'!B69*'[2]数据-汇总表'!D3</f>
        <v>17122.370970993445</v>
      </c>
      <c r="C70" s="3488"/>
      <c r="D70" s="3488"/>
      <c r="F70" s="3488"/>
      <c r="G70" s="3488"/>
      <c r="H70" s="3488"/>
      <c r="I70" s="3488"/>
      <c r="J70" s="3488"/>
      <c r="K70" s="3488"/>
      <c r="L70" s="3488"/>
      <c r="M70" s="3488"/>
      <c r="N70" s="3488"/>
    </row>
  </sheetData>
  <phoneticPr fontId="134" type="noConversion"/>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election activeCell="B5" sqref="B5"/>
    </sheetView>
  </sheetViews>
  <sheetFormatPr defaultRowHeight="13.5"/>
  <cols>
    <col min="1" max="1" width="14.625" style="3488" bestFit="1" customWidth="1"/>
    <col min="2" max="16384" width="9" style="3488"/>
  </cols>
  <sheetData>
    <row r="1" spans="1:3">
      <c r="A1" s="3490" t="s">
        <v>3618</v>
      </c>
    </row>
    <row r="2" spans="1:3">
      <c r="A2" s="3490" t="s">
        <v>3619</v>
      </c>
      <c r="B2" s="3488">
        <v>17000</v>
      </c>
      <c r="C2" s="3490" t="s">
        <v>3620</v>
      </c>
    </row>
    <row r="3" spans="1:3">
      <c r="A3" s="3490" t="s">
        <v>3621</v>
      </c>
      <c r="B3" s="3488">
        <v>38400</v>
      </c>
      <c r="C3" s="3490" t="s">
        <v>3620</v>
      </c>
    </row>
    <row r="4" spans="1:3">
      <c r="A4" s="3490" t="s">
        <v>3622</v>
      </c>
      <c r="B4" s="3488">
        <v>16400</v>
      </c>
      <c r="C4" s="3490" t="s">
        <v>3620</v>
      </c>
    </row>
    <row r="5" spans="1:3">
      <c r="A5" s="3490" t="s">
        <v>3623</v>
      </c>
      <c r="B5" s="3488">
        <v>22000</v>
      </c>
      <c r="C5" s="3490" t="s">
        <v>3620</v>
      </c>
    </row>
    <row r="6" spans="1:3">
      <c r="A6" s="3490" t="s">
        <v>3624</v>
      </c>
      <c r="B6" s="3490" t="s">
        <v>3625</v>
      </c>
    </row>
    <row r="7" spans="1:3">
      <c r="A7" s="3490" t="s">
        <v>3626</v>
      </c>
      <c r="B7" s="3490">
        <v>54596</v>
      </c>
      <c r="C7" s="3490" t="s">
        <v>3627</v>
      </c>
    </row>
    <row r="8" spans="1:3">
      <c r="A8" s="3490" t="s">
        <v>3628</v>
      </c>
    </row>
    <row r="9" spans="1:3">
      <c r="A9" s="3497">
        <v>42962</v>
      </c>
    </row>
    <row r="11" spans="1:3">
      <c r="A11" s="3490" t="s">
        <v>3629</v>
      </c>
    </row>
    <row r="12" spans="1:3">
      <c r="A12" s="3490" t="s">
        <v>3630</v>
      </c>
      <c r="B12" s="3488">
        <v>38960</v>
      </c>
    </row>
    <row r="13" spans="1:3">
      <c r="A13" s="3490" t="s">
        <v>3618</v>
      </c>
      <c r="B13" s="3488">
        <v>38960</v>
      </c>
    </row>
    <row r="14" spans="1:3">
      <c r="A14" s="3490" t="s">
        <v>3622</v>
      </c>
      <c r="B14" s="3488">
        <v>16400</v>
      </c>
      <c r="C14" s="3490" t="s">
        <v>3631</v>
      </c>
    </row>
    <row r="15" spans="1:3">
      <c r="A15" s="3490" t="s">
        <v>3623</v>
      </c>
      <c r="B15" s="3488">
        <v>22560</v>
      </c>
      <c r="C15" s="3490" t="s">
        <v>3631</v>
      </c>
    </row>
    <row r="16" spans="1:3">
      <c r="A16" s="3490" t="s">
        <v>3632</v>
      </c>
      <c r="B16" s="3488">
        <v>1476</v>
      </c>
    </row>
    <row r="18" spans="1:3">
      <c r="A18" s="3490" t="s">
        <v>3633</v>
      </c>
    </row>
    <row r="19" spans="1:3">
      <c r="A19" s="3490" t="s">
        <v>3630</v>
      </c>
      <c r="B19" s="3488">
        <v>38960</v>
      </c>
      <c r="C19" s="3490" t="s">
        <v>3620</v>
      </c>
    </row>
    <row r="20" spans="1:3">
      <c r="A20" s="3490" t="s">
        <v>3634</v>
      </c>
      <c r="B20" s="3488">
        <v>36136.469700000001</v>
      </c>
      <c r="C20" s="3490" t="s">
        <v>3627</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9" sqref="E9"/>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9"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2161</v>
      </c>
      <c r="B1" s="3544" t="str">
        <f>IF(B10="北京市","北京市",C10)&amp;F10&amp;IF(结果表!G1="在建","出让国有建设用地使用权及在建建筑物",IF(结果表!G1="土地","出让国有建设用地使用权",))&amp;B9&amp;"预评估"</f>
        <v>北京市房地产抵押价值预评估</v>
      </c>
      <c r="C1" s="3545"/>
      <c r="D1" s="3545"/>
      <c r="E1" s="3545"/>
      <c r="F1" s="3545"/>
      <c r="G1" s="3545"/>
      <c r="H1" s="3545"/>
      <c r="I1" s="3546"/>
      <c r="J1" s="2468"/>
      <c r="K1" s="2367"/>
      <c r="L1" s="2368"/>
      <c r="M1" s="2368"/>
      <c r="N1" s="2369"/>
      <c r="O1" s="1576"/>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2162</v>
      </c>
      <c r="B2" s="2370"/>
      <c r="C2" s="2371"/>
      <c r="D2" s="2667"/>
      <c r="E2" s="2659"/>
      <c r="F2" s="2659"/>
      <c r="G2" s="2660"/>
      <c r="H2" s="2660"/>
      <c r="I2" s="2660"/>
      <c r="J2" s="2468"/>
      <c r="K2" s="2367"/>
      <c r="L2" s="2368"/>
      <c r="M2" s="2368"/>
      <c r="N2" s="2369"/>
      <c r="O2" s="1576"/>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2163</v>
      </c>
      <c r="B3" s="2372">
        <v>45352</v>
      </c>
      <c r="C3" s="2373" t="s">
        <v>2164</v>
      </c>
      <c r="D3" s="2372">
        <f>B3</f>
        <v>45352</v>
      </c>
      <c r="E3" s="2660"/>
      <c r="F3" s="2660"/>
      <c r="G3" s="2660"/>
      <c r="H3" s="2660"/>
      <c r="I3" s="2660"/>
      <c r="J3" s="2468"/>
      <c r="K3" s="2367"/>
      <c r="L3" s="2368"/>
      <c r="M3" s="2368"/>
      <c r="N3" s="2369"/>
      <c r="O3" s="1576"/>
      <c r="P3" s="2369"/>
      <c r="Q3" s="2369"/>
      <c r="R3" s="2369"/>
      <c r="S3" s="1681"/>
      <c r="T3" s="1744"/>
      <c r="U3" s="1744"/>
      <c r="V3" s="1744"/>
      <c r="W3" s="1744"/>
      <c r="X3" s="1744"/>
      <c r="Y3" s="1744"/>
      <c r="Z3" s="1744"/>
      <c r="AA3" s="1744"/>
      <c r="AB3" s="1744"/>
    </row>
    <row r="4" spans="1:30" ht="13.5" thickBot="1">
      <c r="A4" s="1090" t="s">
        <v>2165</v>
      </c>
      <c r="B4" s="2374" t="s">
        <v>3367</v>
      </c>
      <c r="C4" s="2375">
        <f ca="1">SUMIF(注册房地产估价师,B4,估价师及机构信息!B3:B24)</f>
        <v>1120100036</v>
      </c>
      <c r="D4" s="2374" t="s">
        <v>3368</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8"/>
      <c r="K4" s="2377" t="str">
        <f ca="1">CONCATENATE(B4,"（注册号：",C4,")、",D4,"（注册号：",E4,")")</f>
        <v>崔锴（注册号：1120100036)、郑燚（注册号：1120070131)</v>
      </c>
      <c r="L4" s="2368"/>
      <c r="M4" s="2368"/>
      <c r="N4" s="2369"/>
      <c r="O4" s="1576"/>
      <c r="P4" s="2369"/>
      <c r="Q4" s="2369"/>
      <c r="R4" s="2369"/>
      <c r="S4" s="1681"/>
      <c r="T4" s="1744"/>
      <c r="U4" s="1744"/>
      <c r="V4" s="1744"/>
      <c r="W4" s="1744"/>
      <c r="X4" s="1744"/>
      <c r="Y4" s="1744"/>
      <c r="Z4" s="1744"/>
      <c r="AA4" s="1744"/>
      <c r="AB4" s="1744"/>
    </row>
    <row r="5" spans="1:30" ht="13.5" thickTop="1">
      <c r="A5" s="2378" t="s">
        <v>2166</v>
      </c>
      <c r="B5" s="2379"/>
      <c r="C5" s="2380"/>
      <c r="D5" s="2381"/>
      <c r="E5" s="2661"/>
      <c r="F5" s="2661"/>
      <c r="G5" s="2661"/>
      <c r="H5" s="2661"/>
      <c r="I5" s="2661"/>
      <c r="J5" s="2438"/>
      <c r="K5" s="2377" t="str">
        <f>IF(F4="——","",IF(H4="——",F4&amp;"（注册号："&amp;G4&amp;")",CONCATENATE(F4,"（注册号：",G4,")、",H4,"（注册号：",I4,")")))</f>
        <v>（注册号：0)、（注册号：0)</v>
      </c>
      <c r="L5" s="2368"/>
      <c r="M5" s="2368"/>
      <c r="N5" s="2369"/>
      <c r="O5" s="1576"/>
      <c r="P5" s="2369"/>
      <c r="Q5" s="2369"/>
      <c r="R5" s="2369"/>
      <c r="S5" s="1744"/>
      <c r="T5" s="1744"/>
      <c r="U5" s="1744"/>
      <c r="V5" s="1744"/>
      <c r="W5" s="1744"/>
      <c r="X5" s="1744"/>
      <c r="Y5" s="1744"/>
      <c r="Z5" s="1744"/>
      <c r="AA5" s="1744"/>
      <c r="AB5" s="1744"/>
    </row>
    <row r="6" spans="1:30">
      <c r="A6" s="2382" t="s">
        <v>2167</v>
      </c>
      <c r="B6" s="2383"/>
      <c r="C6" s="2384"/>
      <c r="D6" s="2385"/>
      <c r="E6" s="2659"/>
      <c r="F6" s="2661"/>
      <c r="G6" s="2661"/>
      <c r="H6" s="2661"/>
      <c r="I6" s="2661"/>
      <c r="J6" s="2438"/>
      <c r="K6" s="2612" t="str">
        <f>IF(COUNTIF(B6,"*上海银行*"),"上海银行","")</f>
        <v/>
      </c>
      <c r="L6" s="2610"/>
      <c r="M6" s="2610"/>
      <c r="N6" s="2438"/>
      <c r="O6" s="2449"/>
      <c r="P6" s="2438"/>
      <c r="Q6" s="2438"/>
      <c r="R6" s="2438"/>
    </row>
    <row r="7" spans="1:30">
      <c r="A7" s="2382" t="s">
        <v>2168</v>
      </c>
      <c r="B7" s="2386"/>
      <c r="C7" s="2384"/>
      <c r="D7" s="2385"/>
      <c r="E7" s="2659"/>
      <c r="F7" s="2661"/>
      <c r="G7" s="2661"/>
      <c r="H7" s="2661"/>
      <c r="I7" s="2661"/>
      <c r="J7" s="2438"/>
      <c r="K7" s="2613"/>
      <c r="L7" s="2610"/>
      <c r="M7" s="2610"/>
      <c r="N7" s="2438"/>
      <c r="O7" s="2449"/>
      <c r="P7" s="2438"/>
      <c r="Q7" s="2438"/>
      <c r="R7" s="2438"/>
    </row>
    <row r="8" spans="1:30">
      <c r="A8" s="2387" t="s">
        <v>2169</v>
      </c>
      <c r="B8" s="2388" t="s">
        <v>3363</v>
      </c>
      <c r="C8" s="2389"/>
      <c r="D8" s="3547" t="s">
        <v>2170</v>
      </c>
      <c r="E8" s="2390" t="s">
        <v>3369</v>
      </c>
      <c r="F8" s="2391"/>
      <c r="G8" s="2660"/>
      <c r="H8" s="2660"/>
      <c r="I8" s="2660"/>
      <c r="J8" s="2438"/>
      <c r="K8" s="2611"/>
      <c r="L8" s="2610"/>
      <c r="M8" s="2610"/>
      <c r="N8" s="2438"/>
      <c r="O8" s="2449"/>
      <c r="P8" s="2438"/>
      <c r="Q8" s="2438"/>
      <c r="R8" s="2438"/>
    </row>
    <row r="9" spans="1:30" ht="13.5" thickBot="1">
      <c r="A9" s="2392" t="s">
        <v>2171</v>
      </c>
      <c r="B9" s="2393" t="s">
        <v>3369</v>
      </c>
      <c r="C9" s="2394"/>
      <c r="D9" s="3548"/>
      <c r="E9" s="2393" t="s">
        <v>587</v>
      </c>
      <c r="F9" s="2395"/>
      <c r="G9" s="2662"/>
      <c r="H9" s="2662"/>
      <c r="I9" s="2662"/>
      <c r="J9" s="2438"/>
      <c r="K9" s="2613"/>
      <c r="L9" s="2610"/>
      <c r="M9" s="2610"/>
      <c r="N9" s="2438"/>
      <c r="O9" s="2449"/>
      <c r="P9" s="2438"/>
      <c r="Q9" s="2438"/>
      <c r="R9" s="2438"/>
    </row>
    <row r="10" spans="1:30" ht="13.5" thickTop="1">
      <c r="A10" s="2396" t="s">
        <v>2172</v>
      </c>
      <c r="B10" s="2397" t="s">
        <v>3376</v>
      </c>
      <c r="C10" s="2398"/>
      <c r="D10" s="2381"/>
      <c r="E10" s="2399" t="s">
        <v>2173</v>
      </c>
      <c r="F10" s="2663"/>
      <c r="G10" s="2664"/>
      <c r="H10" s="2665"/>
      <c r="I10" s="2666"/>
      <c r="J10" s="2438"/>
      <c r="K10" s="2613"/>
      <c r="L10" s="2610"/>
      <c r="M10" s="2610"/>
      <c r="N10" s="2438"/>
      <c r="O10" s="2449"/>
      <c r="P10" s="2438"/>
      <c r="Q10" s="2438"/>
      <c r="R10" s="2438"/>
    </row>
    <row r="11" spans="1:30">
      <c r="A11" s="2400" t="s">
        <v>2174</v>
      </c>
      <c r="B11" s="2401" t="s">
        <v>3377</v>
      </c>
      <c r="C11" s="2402"/>
      <c r="D11" s="2403"/>
      <c r="E11" s="2369"/>
      <c r="F11" s="2369"/>
      <c r="G11" s="2369"/>
      <c r="H11" s="2369"/>
      <c r="I11" s="2369"/>
      <c r="J11" s="3056"/>
      <c r="K11" s="3055"/>
      <c r="L11" s="2610"/>
      <c r="M11" s="2610"/>
      <c r="N11" s="2438"/>
      <c r="O11" s="2449"/>
      <c r="P11" s="2438"/>
      <c r="Q11" s="2438"/>
      <c r="R11" s="2438"/>
    </row>
    <row r="12" spans="1:30">
      <c r="A12" s="2404" t="s">
        <v>2175</v>
      </c>
      <c r="B12" s="323" t="s">
        <v>2176</v>
      </c>
      <c r="C12" s="2405" t="s">
        <v>2177</v>
      </c>
      <c r="D12" s="2405" t="s">
        <v>2178</v>
      </c>
      <c r="E12" s="2405" t="s">
        <v>2179</v>
      </c>
      <c r="F12" s="2405" t="s">
        <v>2180</v>
      </c>
      <c r="G12" s="2405" t="s">
        <v>2181</v>
      </c>
      <c r="H12" s="2405" t="s">
        <v>2182</v>
      </c>
      <c r="I12" s="3054" t="s">
        <v>2564</v>
      </c>
      <c r="J12" s="3057"/>
      <c r="K12" s="2610"/>
      <c r="L12" s="2610"/>
      <c r="M12" s="2438"/>
      <c r="N12" s="2449"/>
      <c r="O12" s="2438"/>
      <c r="P12" s="2438"/>
      <c r="Q12" s="2438"/>
      <c r="AD12" s="1744"/>
    </row>
    <row r="13" spans="1:30">
      <c r="A13" s="3418" t="s">
        <v>3320</v>
      </c>
      <c r="B13" s="2406" t="s">
        <v>2183</v>
      </c>
      <c r="C13" s="856"/>
      <c r="D13" s="856"/>
      <c r="E13" s="856">
        <v>56854</v>
      </c>
      <c r="F13" s="856"/>
      <c r="G13" s="856"/>
      <c r="H13" s="856"/>
      <c r="I13" s="856">
        <v>56854</v>
      </c>
      <c r="J13" s="3057"/>
      <c r="K13" s="2610"/>
      <c r="L13" s="2610"/>
      <c r="M13" s="2438"/>
      <c r="N13" s="2449"/>
      <c r="O13" s="2438"/>
      <c r="P13" s="2438"/>
      <c r="Q13" s="2438"/>
      <c r="AD13" s="1744"/>
    </row>
    <row r="14" spans="1:30">
      <c r="A14" s="1081"/>
      <c r="B14" s="2406" t="s">
        <v>2184</v>
      </c>
      <c r="C14" s="2407"/>
      <c r="D14" s="2407"/>
      <c r="E14" s="2407">
        <v>50</v>
      </c>
      <c r="F14" s="2407"/>
      <c r="G14" s="2407"/>
      <c r="H14" s="2407"/>
      <c r="I14" s="2407">
        <v>50</v>
      </c>
      <c r="J14" s="3058"/>
      <c r="K14" s="2610"/>
      <c r="L14" s="2610"/>
      <c r="M14" s="2438"/>
      <c r="N14" s="2449"/>
      <c r="O14" s="2438"/>
      <c r="P14" s="2438"/>
      <c r="Q14" s="2438"/>
      <c r="AD14" s="1744"/>
    </row>
    <row r="15" spans="1:30">
      <c r="A15" s="320"/>
      <c r="B15" s="2408" t="s">
        <v>2185</v>
      </c>
      <c r="C15" s="2409" t="str">
        <f>IF(A13="出让",IF(C13="","",ROUNDDOWN(MIN((C13-$D$3)/365,C14),2)),C14)</f>
        <v/>
      </c>
      <c r="D15" s="2409" t="str">
        <f>IF(A13="出让",IF(D13="","",ROUNDDOWN(MIN((D13-$D$3)/365,D14),2)),D14)</f>
        <v/>
      </c>
      <c r="E15" s="2409">
        <f>IF(A13="出让",IF(E13="","",ROUNDDOWN(MIN((E13-$D$3)/365,E14),2)),E14)</f>
        <v>31.51</v>
      </c>
      <c r="F15" s="2409" t="str">
        <f>IF(A13="出让",IF(F13="","",ROUNDDOWN(MIN((F13-$D$3)/365,F14),2)),F14)</f>
        <v/>
      </c>
      <c r="G15" s="2409" t="str">
        <f>IF(A13="出让",IF(G13="","",ROUNDDOWN(MIN((G13-$D$3)/365,G14),2)),G14)</f>
        <v/>
      </c>
      <c r="H15" s="2409" t="str">
        <f>IF(A13="出让",IF(H13="","",ROUNDDOWN(MIN((H13-$D$3)/365,H14),2)),H14)</f>
        <v/>
      </c>
      <c r="I15" s="2409">
        <f>IF(A13="出让",IF(I13="","",ROUNDDOWN(MIN((I13-$D$3)/365,I14),2)),I14)</f>
        <v>31.51</v>
      </c>
      <c r="J15" s="3059"/>
      <c r="K15" s="2450"/>
      <c r="L15" s="2450"/>
      <c r="M15" s="2506"/>
      <c r="N15" s="2450"/>
      <c r="O15" s="2506"/>
      <c r="P15" s="2438"/>
      <c r="Q15" s="2438"/>
      <c r="AD15" s="1744"/>
    </row>
    <row r="16" spans="1:30">
      <c r="A16" s="2399" t="s">
        <v>2186</v>
      </c>
      <c r="B16" s="3554"/>
      <c r="C16" s="3555"/>
      <c r="D16" s="3556"/>
      <c r="E16" s="2412" t="s">
        <v>2187</v>
      </c>
      <c r="F16" s="3557"/>
      <c r="G16" s="3558"/>
      <c r="H16" s="3558"/>
      <c r="I16" s="3559"/>
      <c r="J16" s="2438"/>
      <c r="K16" s="2614"/>
      <c r="L16" s="2450"/>
      <c r="M16" s="2450"/>
      <c r="N16" s="2506"/>
      <c r="O16" s="2450"/>
      <c r="P16" s="2506"/>
      <c r="Q16" s="2438"/>
      <c r="R16" s="2438"/>
    </row>
    <row r="17" spans="1:28">
      <c r="A17" s="313" t="s">
        <v>2188</v>
      </c>
      <c r="B17" s="302" t="s">
        <v>2189</v>
      </c>
      <c r="C17" s="8">
        <f>'数据-汇总表'!E3</f>
        <v>63063.880000000005</v>
      </c>
      <c r="D17" s="2321" t="s">
        <v>2190</v>
      </c>
      <c r="E17" s="3560" t="s">
        <v>2191</v>
      </c>
      <c r="F17" s="3561"/>
      <c r="G17" s="3561"/>
      <c r="H17" s="3561"/>
      <c r="I17" s="3562"/>
      <c r="J17" s="2438"/>
      <c r="K17" s="2615"/>
      <c r="L17" s="2450"/>
      <c r="M17" s="2450"/>
      <c r="N17" s="2506"/>
      <c r="O17" s="2450"/>
      <c r="P17" s="2506"/>
      <c r="Q17" s="2438"/>
      <c r="R17" s="2438"/>
      <c r="S17" s="2438"/>
      <c r="T17" s="2438"/>
      <c r="U17" s="2438"/>
      <c r="V17" s="2438"/>
    </row>
    <row r="18" spans="1:28" ht="24.75" thickBot="1">
      <c r="A18" s="2413" t="s">
        <v>2192</v>
      </c>
      <c r="B18" s="1090" t="s">
        <v>2193</v>
      </c>
      <c r="C18" s="2414">
        <f>'数据-汇总表'!D3</f>
        <v>0</v>
      </c>
      <c r="D18" s="1092" t="s">
        <v>2194</v>
      </c>
      <c r="E18" s="3563" t="s">
        <v>2195</v>
      </c>
      <c r="F18" s="3564"/>
      <c r="G18" s="3564"/>
      <c r="H18" s="3564"/>
      <c r="I18" s="3565"/>
      <c r="J18" s="2438"/>
      <c r="K18" s="2615"/>
      <c r="L18" s="2450"/>
      <c r="M18" s="2450"/>
      <c r="N18" s="2506"/>
      <c r="O18" s="2450"/>
      <c r="P18" s="2506"/>
      <c r="Q18" s="2438"/>
      <c r="R18" s="2438"/>
      <c r="S18" s="2438"/>
      <c r="T18" s="2438"/>
      <c r="U18" s="2438"/>
      <c r="V18" s="2438"/>
    </row>
    <row r="19" spans="1:28" ht="37.5" thickTop="1" thickBot="1">
      <c r="A19" s="327" t="s">
        <v>1050</v>
      </c>
      <c r="B19" s="307" t="s">
        <v>2196</v>
      </c>
      <c r="C19" s="1563"/>
      <c r="D19" s="1564" t="s">
        <v>2197</v>
      </c>
      <c r="E19" s="1565"/>
      <c r="F19" s="1566" t="str">
        <f>IF(AND(C19="是",E19="否"),"是否提供他项权证或相关说明","")</f>
        <v/>
      </c>
      <c r="G19" s="1567"/>
      <c r="H19" s="2661"/>
      <c r="I19" s="2661"/>
      <c r="J19" s="2438"/>
      <c r="K19" s="2613"/>
      <c r="L19" s="2610"/>
      <c r="M19" s="2610"/>
      <c r="N19" s="2506"/>
      <c r="O19" s="2450"/>
      <c r="P19" s="2506"/>
      <c r="Q19" s="2438"/>
      <c r="R19" s="2438"/>
      <c r="S19" s="2438"/>
      <c r="T19" s="2438"/>
      <c r="U19" s="2438"/>
      <c r="V19" s="2438"/>
    </row>
    <row r="20" spans="1:28">
      <c r="A20" s="2629" t="s">
        <v>2198</v>
      </c>
      <c r="B20" s="3550" t="s">
        <v>2199</v>
      </c>
      <c r="C20" s="3551"/>
      <c r="D20" s="3552" t="s">
        <v>2200</v>
      </c>
      <c r="E20" s="3553"/>
      <c r="F20" s="2644" t="s">
        <v>1051</v>
      </c>
      <c r="G20" s="2661"/>
      <c r="H20" s="2661"/>
      <c r="I20" s="2661"/>
      <c r="J20" s="2438"/>
      <c r="K20" s="3549" t="s">
        <v>2201</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6.25" thickBot="1">
      <c r="A21" s="2629"/>
      <c r="B21" s="2630" t="s">
        <v>3378</v>
      </c>
      <c r="C21" s="2631" t="s">
        <v>3379</v>
      </c>
      <c r="D21" s="1568"/>
      <c r="E21" s="2632"/>
      <c r="F21" s="2645"/>
      <c r="G21" s="2661"/>
      <c r="H21" s="2661"/>
      <c r="I21" s="2661"/>
      <c r="J21" s="2438"/>
      <c r="K21" s="354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13.5" thickBot="1">
      <c r="A22" s="2629"/>
      <c r="B22" s="2633"/>
      <c r="C22" s="2631"/>
      <c r="D22" s="2660"/>
      <c r="E22" s="2660"/>
      <c r="F22" s="2660"/>
      <c r="G22" s="2661"/>
      <c r="H22" s="2661"/>
      <c r="I22" s="2661"/>
      <c r="J22" s="2438"/>
      <c r="K22" s="354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4" t="s">
        <v>2202</v>
      </c>
      <c r="B23" s="2499" t="s">
        <v>2203</v>
      </c>
      <c r="C23" s="2635"/>
      <c r="D23" s="2636" t="s">
        <v>2203</v>
      </c>
      <c r="E23" s="2637"/>
      <c r="F23" s="2660"/>
      <c r="G23" s="2661"/>
      <c r="H23" s="2661"/>
      <c r="I23" s="2661"/>
      <c r="J23" s="2438"/>
      <c r="K23" s="2616"/>
      <c r="L23" s="2472"/>
      <c r="M23" s="2610"/>
      <c r="N23" s="2506"/>
      <c r="O23" s="2450"/>
      <c r="P23" s="2506"/>
      <c r="Q23" s="2438"/>
      <c r="R23" s="2438"/>
      <c r="S23" s="2438"/>
      <c r="T23" s="2438"/>
      <c r="U23" s="2438"/>
      <c r="V23" s="2438"/>
    </row>
    <row r="24" spans="1:28">
      <c r="A24" s="2634"/>
      <c r="B24" s="2499" t="s">
        <v>1052</v>
      </c>
      <c r="C24" s="2638"/>
      <c r="D24" s="2634" t="s">
        <v>1052</v>
      </c>
      <c r="E24" s="2639"/>
      <c r="F24" s="2660"/>
      <c r="G24" s="2661"/>
      <c r="H24" s="2661"/>
      <c r="I24" s="2661"/>
      <c r="J24" s="2438"/>
      <c r="K24" s="2616"/>
      <c r="L24" s="2472"/>
      <c r="M24" s="2610"/>
      <c r="N24" s="2506"/>
      <c r="O24" s="2450"/>
      <c r="P24" s="2506"/>
      <c r="Q24" s="2438"/>
      <c r="R24" s="2438"/>
      <c r="S24" s="2438"/>
      <c r="T24" s="2438"/>
      <c r="U24" s="2438"/>
      <c r="V24" s="2438"/>
    </row>
    <row r="25" spans="1:28">
      <c r="A25" s="2634"/>
      <c r="B25" s="2499" t="s">
        <v>1053</v>
      </c>
      <c r="C25" s="2638"/>
      <c r="D25" s="2634" t="s">
        <v>1053</v>
      </c>
      <c r="E25" s="2639"/>
      <c r="F25" s="2660"/>
      <c r="G25" s="2661"/>
      <c r="H25" s="2661"/>
      <c r="I25" s="2661"/>
      <c r="J25" s="2438"/>
      <c r="K25" s="2613"/>
      <c r="L25" s="2610"/>
      <c r="M25" s="2610"/>
      <c r="N25" s="2506"/>
      <c r="O25" s="2450"/>
      <c r="P25" s="2506"/>
      <c r="Q25" s="2438"/>
      <c r="R25" s="2438"/>
      <c r="S25" s="2438"/>
      <c r="T25" s="2438"/>
      <c r="U25" s="2438"/>
      <c r="V25" s="2438"/>
    </row>
    <row r="26" spans="1:28" ht="13.5" thickBot="1">
      <c r="A26" s="2640"/>
      <c r="B26" s="2641" t="s">
        <v>1054</v>
      </c>
      <c r="C26" s="2642"/>
      <c r="D26" s="2640" t="s">
        <v>1054</v>
      </c>
      <c r="E26" s="2643"/>
      <c r="F26" s="2662"/>
      <c r="G26" s="2662"/>
      <c r="H26" s="2662"/>
      <c r="I26" s="2662"/>
      <c r="J26" s="2438"/>
      <c r="K26" s="2613"/>
      <c r="L26" s="2610"/>
      <c r="M26" s="2610"/>
      <c r="N26" s="2506"/>
      <c r="O26" s="2450"/>
      <c r="P26" s="2506"/>
      <c r="Q26" s="2438"/>
      <c r="R26" s="2438"/>
      <c r="S26" s="2438"/>
      <c r="T26" s="2438"/>
      <c r="U26" s="2438"/>
      <c r="V26" s="2438"/>
    </row>
    <row r="27" spans="1:28" ht="13.5" thickTop="1">
      <c r="A27" s="3567" t="s">
        <v>2204</v>
      </c>
      <c r="B27" s="320" t="s">
        <v>2205</v>
      </c>
      <c r="C27" s="2415" t="s">
        <v>3380</v>
      </c>
      <c r="D27" s="2416"/>
      <c r="E27" s="2661"/>
      <c r="F27" s="2661"/>
      <c r="G27" s="2661"/>
      <c r="H27" s="2661"/>
      <c r="I27" s="2661"/>
      <c r="J27" s="2438"/>
      <c r="K27" s="2614"/>
      <c r="L27" s="2450"/>
      <c r="M27" s="2450"/>
      <c r="N27" s="2506"/>
      <c r="O27" s="2450"/>
      <c r="P27" s="2506"/>
      <c r="Q27" s="2438"/>
      <c r="R27" s="2438"/>
      <c r="S27" s="2438"/>
      <c r="T27" s="2438"/>
      <c r="U27" s="2438"/>
      <c r="V27" s="2438"/>
    </row>
    <row r="28" spans="1:28">
      <c r="A28" s="3567"/>
      <c r="B28" s="302" t="s">
        <v>2206</v>
      </c>
      <c r="C28" s="2417" t="s">
        <v>3381</v>
      </c>
      <c r="D28" s="2418"/>
      <c r="E28" s="2661"/>
      <c r="F28" s="2661"/>
      <c r="G28" s="2661"/>
      <c r="H28" s="2661"/>
      <c r="I28" s="2661"/>
      <c r="J28" s="2438"/>
      <c r="K28" s="2613"/>
      <c r="L28" s="2610"/>
      <c r="M28" s="2610"/>
      <c r="N28" s="2438"/>
      <c r="O28" s="2449"/>
      <c r="P28" s="2438"/>
      <c r="Q28" s="2438"/>
      <c r="R28" s="2438"/>
      <c r="S28" s="2438"/>
      <c r="T28" s="2438"/>
      <c r="U28" s="2438"/>
      <c r="V28" s="2438"/>
    </row>
    <row r="29" spans="1:28">
      <c r="A29" s="3567"/>
      <c r="B29" s="302" t="s">
        <v>2207</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568"/>
      <c r="B30" s="302" t="s">
        <v>2208</v>
      </c>
      <c r="C30" s="3569"/>
      <c r="D30" s="3570"/>
      <c r="E30" s="2661"/>
      <c r="F30" s="2661"/>
      <c r="G30" s="2661"/>
      <c r="H30" s="2661"/>
      <c r="I30" s="2661"/>
      <c r="J30" s="2438"/>
      <c r="K30" s="2613"/>
      <c r="L30" s="2610"/>
      <c r="M30" s="2610"/>
      <c r="N30" s="2438"/>
      <c r="O30" s="2449"/>
      <c r="P30" s="2438"/>
      <c r="Q30" s="2438"/>
      <c r="R30" s="2438"/>
      <c r="S30" s="2438"/>
      <c r="T30" s="2438"/>
      <c r="U30" s="2438"/>
      <c r="V30" s="2438"/>
    </row>
    <row r="31" spans="1:28">
      <c r="A31" s="3571" t="s">
        <v>2209</v>
      </c>
      <c r="B31" s="2421" t="s">
        <v>3382</v>
      </c>
      <c r="C31" s="2322" t="str">
        <f>IF(B31="现房","成新及维护状况正常否",IF(B31="在建","工程状态是否正常",IF(B31="土地","是否闲置","-")))</f>
        <v>成新及维护状况正常否</v>
      </c>
      <c r="D31" s="1373"/>
      <c r="E31" s="2422"/>
      <c r="F31" s="2661"/>
      <c r="G31" s="2661"/>
      <c r="H31" s="2661"/>
      <c r="I31" s="2661"/>
      <c r="J31" s="2438"/>
      <c r="K31" s="2612"/>
      <c r="L31" s="2610"/>
      <c r="M31" s="2610"/>
      <c r="N31" s="2438"/>
      <c r="O31" s="2449"/>
      <c r="P31" s="2438"/>
      <c r="Q31" s="2438"/>
      <c r="R31" s="2438"/>
      <c r="S31" s="2438"/>
      <c r="T31" s="2438"/>
      <c r="U31" s="2438"/>
      <c r="V31" s="2438"/>
    </row>
    <row r="32" spans="1:28">
      <c r="A32" s="3572"/>
      <c r="B32" s="2421"/>
      <c r="C32" s="2322" t="str">
        <f>IF(B32="现房","成新及维护状况是否正常",IF(B32="在建","工程状态是否正常",IF(B32="土地","是否闲置","-")))</f>
        <v>-</v>
      </c>
      <c r="D32" s="1373"/>
      <c r="E32" s="2422"/>
      <c r="F32" s="2661"/>
      <c r="G32" s="2661"/>
      <c r="H32" s="2661"/>
      <c r="I32" s="2661"/>
      <c r="J32" s="2438"/>
      <c r="K32" s="2613"/>
      <c r="L32" s="2610"/>
      <c r="M32" s="2610"/>
      <c r="N32" s="2438"/>
      <c r="O32" s="2449"/>
      <c r="P32" s="2438"/>
      <c r="Q32" s="2438"/>
      <c r="R32" s="2438"/>
      <c r="S32" s="2438"/>
      <c r="T32" s="2438"/>
      <c r="U32" s="2438"/>
      <c r="V32" s="2438"/>
    </row>
    <row r="33" spans="1:30">
      <c r="A33" s="3572"/>
      <c r="B33" s="2424"/>
      <c r="C33" s="1590" t="str">
        <f>IF(B33="现房","成新及维护状况是否正常",IF(B33="在建","工程状态是否正常",IF(B33="土地","是否闲置","-")))</f>
        <v>-</v>
      </c>
      <c r="D33" s="1365"/>
      <c r="E33" s="2425"/>
      <c r="F33" s="2661"/>
      <c r="G33" s="2661"/>
      <c r="H33" s="2661"/>
      <c r="I33" s="2661"/>
      <c r="J33" s="2438"/>
      <c r="K33" s="2613"/>
      <c r="L33" s="2610"/>
      <c r="M33" s="2610"/>
      <c r="N33" s="2438"/>
      <c r="O33" s="2449"/>
      <c r="P33" s="2438"/>
      <c r="Q33" s="2438"/>
      <c r="R33" s="2438"/>
      <c r="S33" s="2438"/>
      <c r="T33" s="2438"/>
      <c r="U33" s="2438"/>
      <c r="V33" s="2438"/>
    </row>
    <row r="34" spans="1:30">
      <c r="A34" s="302" t="s">
        <v>2210</v>
      </c>
      <c r="B34" s="2025" t="s">
        <v>3383</v>
      </c>
      <c r="C34" s="2025" t="s">
        <v>3384</v>
      </c>
      <c r="D34" s="2025" t="s">
        <v>3385</v>
      </c>
      <c r="E34" s="2025" t="s">
        <v>3386</v>
      </c>
      <c r="F34" s="2025" t="s">
        <v>3387</v>
      </c>
      <c r="G34" s="2025" t="s">
        <v>3388</v>
      </c>
      <c r="H34" s="2025"/>
      <c r="I34" s="2661"/>
      <c r="J34" s="2438"/>
      <c r="K34" s="2426">
        <f>COUNTIF(B34:H34,"——")</f>
        <v>0</v>
      </c>
      <c r="L34" s="323" t="s">
        <v>2211</v>
      </c>
      <c r="M34" s="323" t="s">
        <v>2212</v>
      </c>
      <c r="N34" s="323" t="s">
        <v>2213</v>
      </c>
      <c r="O34" s="323" t="s">
        <v>2214</v>
      </c>
      <c r="P34" s="323" t="s">
        <v>2215</v>
      </c>
      <c r="Q34" s="323" t="s">
        <v>2216</v>
      </c>
      <c r="R34" s="323" t="s">
        <v>2217</v>
      </c>
      <c r="S34" s="3566" t="s">
        <v>2218</v>
      </c>
      <c r="T34" s="2427" t="str">
        <f>NUMBERSTRING(7-K34,1)&amp;"通"</f>
        <v>七通</v>
      </c>
      <c r="U34" s="2438"/>
      <c r="V34" s="2438"/>
    </row>
    <row r="35" spans="1:30">
      <c r="A35" s="2428"/>
      <c r="B35" s="3573" t="s">
        <v>2219</v>
      </c>
      <c r="C35" s="3573"/>
      <c r="D35" s="3573"/>
      <c r="E35" s="3573"/>
      <c r="F35" s="664">
        <f>C10</f>
        <v>0</v>
      </c>
      <c r="G35" s="2661"/>
      <c r="H35" s="2661"/>
      <c r="I35" s="2661"/>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66"/>
      <c r="T35" s="329" t="str">
        <f>IF(T34="一通",L35,IF(T34="二通",M35,IF(T34="三通",N35,IF(T34="四通",O35,IF(T34="五通",P35,IF(T34="六通",Q35,R35))))))</f>
        <v>通路、通电、通讯、通上水、通下水、平整、</v>
      </c>
      <c r="U35" s="2438"/>
      <c r="V35" s="2438"/>
    </row>
    <row r="36" spans="1:30">
      <c r="A36" s="2429"/>
      <c r="B36" s="664" t="s">
        <v>2178</v>
      </c>
      <c r="C36" s="664" t="s">
        <v>2179</v>
      </c>
      <c r="D36" s="664" t="s">
        <v>2177</v>
      </c>
      <c r="E36" s="664" t="s">
        <v>2182</v>
      </c>
      <c r="F36" s="3060" t="s">
        <v>2567</v>
      </c>
      <c r="G36" s="2661"/>
      <c r="H36" s="2661"/>
      <c r="I36" s="2661"/>
      <c r="J36" s="2438"/>
      <c r="K36" s="2613"/>
      <c r="L36" s="2610"/>
      <c r="M36" s="2610"/>
      <c r="N36" s="2438"/>
      <c r="O36" s="2449"/>
      <c r="P36" s="2438"/>
      <c r="Q36" s="2438"/>
      <c r="R36" s="2438"/>
      <c r="S36" s="2438"/>
      <c r="T36" s="2438"/>
      <c r="U36" s="2438"/>
      <c r="V36" s="2438"/>
    </row>
    <row r="37" spans="1:30">
      <c r="A37" s="2627" t="s">
        <v>2220</v>
      </c>
      <c r="B37" s="2430"/>
      <c r="C37" s="2430"/>
      <c r="D37" s="2430"/>
      <c r="E37" s="2430"/>
      <c r="F37" s="2430" t="s">
        <v>110</v>
      </c>
      <c r="G37" s="2661"/>
      <c r="H37" s="2661"/>
      <c r="I37" s="2661"/>
      <c r="J37" s="2438"/>
      <c r="K37" s="2613"/>
      <c r="L37" s="2610"/>
      <c r="M37" s="2610"/>
      <c r="N37" s="2438"/>
      <c r="O37" s="2449"/>
      <c r="P37" s="2438"/>
      <c r="Q37" s="2438"/>
      <c r="R37" s="2438"/>
      <c r="S37" s="2438"/>
      <c r="T37" s="2438"/>
      <c r="U37" s="2438"/>
      <c r="V37" s="2438"/>
    </row>
    <row r="38" spans="1:30" ht="13.5" thickBot="1">
      <c r="A38" s="2628" t="s">
        <v>2221</v>
      </c>
      <c r="B38" s="2431"/>
      <c r="C38" s="2431"/>
      <c r="D38" s="2431"/>
      <c r="E38" s="2431"/>
      <c r="F38" s="2431" t="s">
        <v>157</v>
      </c>
      <c r="G38" s="2662"/>
      <c r="H38" s="2662"/>
      <c r="I38" s="2662"/>
      <c r="J38" s="2438"/>
      <c r="K38" s="2613"/>
      <c r="L38" s="2610"/>
      <c r="M38" s="2610"/>
      <c r="N38" s="2438"/>
      <c r="O38" s="2449"/>
      <c r="P38" s="2438"/>
      <c r="Q38" s="2438"/>
      <c r="R38" s="2438"/>
      <c r="S38" s="2438"/>
      <c r="T38" s="2438"/>
      <c r="U38" s="2438"/>
      <c r="V38" s="2438"/>
    </row>
    <row r="39" spans="1:30" s="2434" customFormat="1" ht="14.25" thickTop="1" thickBot="1">
      <c r="A39" s="2432" t="s">
        <v>2222</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9"/>
      <c r="B40" s="2369"/>
      <c r="C40" s="2369"/>
      <c r="D40" s="2369"/>
      <c r="E40" s="2369"/>
      <c r="F40" s="2369"/>
      <c r="G40" s="2369"/>
      <c r="H40" s="2369"/>
      <c r="I40" s="1578"/>
      <c r="J40" s="2506"/>
      <c r="K40" s="2612"/>
      <c r="L40" s="2450"/>
      <c r="M40" s="2450"/>
      <c r="N40" s="2506"/>
      <c r="O40" s="2450"/>
      <c r="P40" s="2438"/>
      <c r="Q40" s="2438"/>
      <c r="R40" s="2438"/>
      <c r="S40" s="2438"/>
      <c r="T40" s="2438"/>
      <c r="U40" s="2438"/>
      <c r="V40" s="2438"/>
    </row>
    <row r="41" spans="1:30">
      <c r="A41" s="2435" t="s">
        <v>2223</v>
      </c>
      <c r="B41" s="1756"/>
      <c r="C41" s="1373"/>
      <c r="D41" s="2369"/>
      <c r="E41" s="2369"/>
      <c r="F41" s="2369"/>
      <c r="G41" s="2369"/>
      <c r="H41" s="2369"/>
      <c r="I41" s="1576"/>
      <c r="J41" s="2438"/>
      <c r="K41" s="2613"/>
      <c r="L41" s="2610"/>
      <c r="M41" s="2610"/>
      <c r="N41" s="2438"/>
      <c r="O41" s="2449"/>
      <c r="P41" s="2438"/>
      <c r="Q41" s="2438"/>
      <c r="R41" s="2438"/>
      <c r="S41" s="2438"/>
      <c r="T41" s="2438"/>
      <c r="U41" s="2438"/>
      <c r="V41" s="2438"/>
    </row>
    <row r="42" spans="1:30" ht="25.5">
      <c r="A42" s="323" t="s">
        <v>2224</v>
      </c>
      <c r="B42" s="8" t="s">
        <v>2225</v>
      </c>
      <c r="C42" s="8" t="s">
        <v>2226</v>
      </c>
      <c r="D42" s="8" t="s">
        <v>2227</v>
      </c>
      <c r="E42" s="8" t="s">
        <v>2228</v>
      </c>
      <c r="F42" s="8" t="s">
        <v>2229</v>
      </c>
      <c r="G42" s="8" t="s">
        <v>2230</v>
      </c>
      <c r="H42" s="8" t="s">
        <v>2231</v>
      </c>
      <c r="I42" s="8" t="s">
        <v>2232</v>
      </c>
      <c r="J42" s="2623" t="s">
        <v>2233</v>
      </c>
      <c r="K42" s="2624" t="s">
        <v>2234</v>
      </c>
      <c r="L42" s="2624" t="s">
        <v>2235</v>
      </c>
      <c r="M42" s="2624" t="s">
        <v>2236</v>
      </c>
      <c r="N42" s="2617" t="s">
        <v>2237</v>
      </c>
      <c r="O42" s="2617" t="s">
        <v>2238</v>
      </c>
      <c r="P42" s="2617" t="s">
        <v>2239</v>
      </c>
      <c r="Q42" s="2618" t="s">
        <v>2240</v>
      </c>
      <c r="R42" s="2618" t="s">
        <v>2241</v>
      </c>
      <c r="S42" s="2438"/>
      <c r="T42" s="2438"/>
      <c r="U42" s="2438"/>
      <c r="V42" s="2438"/>
    </row>
    <row r="43" spans="1:30" s="1742"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70"/>
      <c r="B51" s="1570"/>
      <c r="C51" s="1051"/>
      <c r="D51" s="1051"/>
      <c r="E51" s="1051"/>
      <c r="F51" s="1051"/>
      <c r="G51" s="1051"/>
      <c r="H51" s="1051"/>
      <c r="I51" s="1051"/>
      <c r="J51" s="2436"/>
      <c r="K51" s="2437"/>
      <c r="L51" s="2437"/>
      <c r="M51" s="1051"/>
      <c r="N51" s="1051"/>
      <c r="O51" s="1051"/>
      <c r="P51" s="1051"/>
      <c r="Q51" s="1051"/>
      <c r="R51" s="1051"/>
    </row>
    <row r="52" spans="1:22" s="1742" customFormat="1">
      <c r="A52" s="1570"/>
      <c r="B52" s="1570"/>
      <c r="C52" s="1570"/>
      <c r="D52" s="1570"/>
      <c r="E52" s="1570"/>
      <c r="F52" s="1051"/>
      <c r="G52" s="1570"/>
      <c r="H52" s="1570"/>
      <c r="I52" s="1570"/>
      <c r="J52" s="2439"/>
      <c r="K52" s="2437"/>
      <c r="L52" s="2437"/>
      <c r="M52" s="2437"/>
      <c r="N52" s="1570"/>
      <c r="O52" s="1570"/>
      <c r="P52" s="1570"/>
      <c r="Q52" s="1570"/>
      <c r="R52" s="1570"/>
    </row>
    <row r="53" spans="1:22" s="1742" customFormat="1">
      <c r="A53" s="1570"/>
      <c r="B53" s="1570"/>
      <c r="C53" s="1570"/>
      <c r="D53" s="1570"/>
      <c r="E53" s="1570"/>
      <c r="F53" s="1051"/>
      <c r="G53" s="1570"/>
      <c r="H53" s="1570"/>
      <c r="I53" s="1570"/>
      <c r="J53" s="2439"/>
      <c r="K53" s="2437"/>
      <c r="L53" s="2437"/>
      <c r="M53" s="2437"/>
      <c r="N53" s="1570"/>
      <c r="O53" s="1570"/>
      <c r="P53" s="1570"/>
      <c r="Q53" s="1570"/>
      <c r="R53" s="1570"/>
    </row>
    <row r="54" spans="1:22" s="1742" customFormat="1">
      <c r="A54" s="1570"/>
      <c r="B54" s="1570"/>
      <c r="C54" s="1570"/>
      <c r="D54" s="1570"/>
      <c r="E54" s="1570"/>
      <c r="F54" s="1051"/>
      <c r="G54" s="1570"/>
      <c r="H54" s="1570"/>
      <c r="I54" s="1570"/>
      <c r="J54" s="2439"/>
      <c r="K54" s="2437"/>
      <c r="L54" s="2437"/>
      <c r="M54" s="2437"/>
      <c r="N54" s="1570"/>
      <c r="O54" s="1570"/>
      <c r="P54" s="1570"/>
      <c r="Q54" s="1570"/>
      <c r="R54" s="1570"/>
    </row>
    <row r="55" spans="1:22" s="1742" customFormat="1">
      <c r="A55" s="1570"/>
      <c r="B55" s="1570"/>
      <c r="C55" s="1570"/>
      <c r="D55" s="1570"/>
      <c r="E55" s="1570"/>
      <c r="F55" s="1051"/>
      <c r="G55" s="1570"/>
      <c r="H55" s="1570"/>
      <c r="I55" s="1570"/>
      <c r="J55" s="2439"/>
      <c r="K55" s="2437"/>
      <c r="L55" s="2437"/>
      <c r="M55" s="2437"/>
      <c r="N55" s="1570"/>
      <c r="O55" s="1570"/>
      <c r="P55" s="1570"/>
      <c r="Q55" s="1570"/>
      <c r="R55" s="1570"/>
    </row>
    <row r="56" spans="1:22" s="1742"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W45" sqref="W45"/>
      <selection pane="topRight" activeCell="W45" sqref="W45"/>
      <selection pane="bottomLeft" activeCell="W45" sqref="W45"/>
      <selection pane="bottomRight" activeCell="AM26" sqref="AM26"/>
    </sheetView>
  </sheetViews>
  <sheetFormatPr defaultColWidth="8.875" defaultRowHeight="14.25"/>
  <cols>
    <col min="1" max="1" width="10.625" style="1573" customWidth="1"/>
    <col min="2" max="2" width="11" style="1573" customWidth="1"/>
    <col min="3" max="3" width="16.625" style="1573" customWidth="1"/>
    <col min="4" max="4" width="9.125" style="1573" customWidth="1"/>
    <col min="5" max="6" width="10" style="1633"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1055</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1056</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1057</v>
      </c>
      <c r="B2" s="8" t="s">
        <v>1058</v>
      </c>
      <c r="C2" s="8" t="s">
        <v>1059</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1060</v>
      </c>
      <c r="AZ2" s="1049" t="s">
        <v>1061</v>
      </c>
      <c r="BA2" s="8" t="s">
        <v>1062</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265566.78999999998</v>
      </c>
      <c r="C3" s="1580" t="s">
        <v>1063</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1064</v>
      </c>
      <c r="B5" s="1347"/>
      <c r="C5" s="1347"/>
      <c r="D5" s="1349"/>
      <c r="E5" s="13" t="s">
        <v>0</v>
      </c>
      <c r="F5" s="13">
        <f>SUM(F13:F587)</f>
        <v>0</v>
      </c>
      <c r="G5" s="13">
        <f>SUM(G13:G587)</f>
        <v>265566.78999999998</v>
      </c>
      <c r="H5" s="13">
        <f t="shared" ref="H5:AT5" si="0">SUM(H13:H656)</f>
        <v>265566.78999999998</v>
      </c>
      <c r="I5" s="13">
        <f t="shared" si="0"/>
        <v>116862.13</v>
      </c>
      <c r="J5" s="13">
        <f t="shared" si="0"/>
        <v>0</v>
      </c>
      <c r="K5" s="13">
        <f t="shared" si="0"/>
        <v>148704.66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1064</v>
      </c>
      <c r="AW5" s="1347"/>
      <c r="AX5" s="1347"/>
      <c r="AY5" s="14" t="s">
        <v>2</v>
      </c>
      <c r="AZ5" s="15">
        <f t="shared" ref="AZ5:BT5" si="1">SUM(AZ13:AZ656)</f>
        <v>63063.880000000005</v>
      </c>
      <c r="BA5" s="15">
        <f t="shared" si="1"/>
        <v>63063.880000000005</v>
      </c>
      <c r="BB5" s="15">
        <f t="shared" si="1"/>
        <v>55413.87</v>
      </c>
      <c r="BC5" s="15">
        <f t="shared" si="1"/>
        <v>7650.01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1065</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1065</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1066</v>
      </c>
      <c r="B7" s="1569" t="s">
        <v>1067</v>
      </c>
      <c r="C7" s="1569" t="s">
        <v>1068</v>
      </c>
      <c r="D7" s="1569" t="s">
        <v>1069</v>
      </c>
      <c r="E7" s="1569" t="s">
        <v>1070</v>
      </c>
      <c r="F7" s="1569" t="s">
        <v>1071</v>
      </c>
      <c r="G7" s="1590" t="s">
        <v>1072</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1073</v>
      </c>
      <c r="AV7" s="20" t="s">
        <v>1074</v>
      </c>
      <c r="AW7" s="1578" t="s">
        <v>1075</v>
      </c>
      <c r="AX7" s="20" t="s">
        <v>1068</v>
      </c>
      <c r="AY7" s="1347" t="s">
        <v>1076</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1077</v>
      </c>
      <c r="H8" s="1596" t="s">
        <v>1078</v>
      </c>
      <c r="I8" s="1597"/>
      <c r="J8" s="1360"/>
      <c r="K8" s="1360"/>
      <c r="L8" s="1360"/>
      <c r="M8" s="1360"/>
      <c r="N8" s="1360"/>
      <c r="O8" s="1360"/>
      <c r="P8" s="1360"/>
      <c r="Q8" s="1360"/>
      <c r="R8" s="1360"/>
      <c r="S8" s="1360"/>
      <c r="T8" s="1360"/>
      <c r="U8" s="1360"/>
      <c r="V8" s="1598"/>
      <c r="W8" s="1360"/>
      <c r="X8" s="1360"/>
      <c r="Y8" s="1360"/>
      <c r="Z8" s="1360"/>
      <c r="AA8" s="1598"/>
      <c r="AB8" s="1599"/>
      <c r="AC8" s="809" t="s">
        <v>1079</v>
      </c>
      <c r="AD8" s="1600"/>
      <c r="AE8" s="1592"/>
      <c r="AF8" s="1360"/>
      <c r="AG8" s="1360"/>
      <c r="AH8" s="1360"/>
      <c r="AI8" s="1360"/>
      <c r="AJ8" s="1360"/>
      <c r="AK8" s="1360"/>
      <c r="AL8" s="1360"/>
      <c r="AM8" s="1360"/>
      <c r="AN8" s="1360"/>
      <c r="AO8" s="1360"/>
      <c r="AP8" s="1360"/>
      <c r="AQ8" s="1360"/>
      <c r="AR8" s="1360"/>
      <c r="AS8" s="1360"/>
      <c r="AT8" s="1070" t="s">
        <v>1080</v>
      </c>
      <c r="AU8" s="1594" t="s">
        <v>1081</v>
      </c>
      <c r="AV8" s="1070"/>
      <c r="AW8" s="1577"/>
      <c r="AX8" s="1070"/>
      <c r="AY8" s="1578" t="s">
        <v>1082</v>
      </c>
      <c r="AZ8" s="1359" t="s">
        <v>1083</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1084</v>
      </c>
      <c r="I9" s="1603" t="s">
        <v>3371</v>
      </c>
      <c r="J9" s="809"/>
      <c r="K9" s="1603" t="s">
        <v>3373</v>
      </c>
      <c r="L9" s="809"/>
      <c r="M9" s="1603"/>
      <c r="N9" s="809"/>
      <c r="O9" s="1603"/>
      <c r="P9" s="809"/>
      <c r="Q9" s="1603"/>
      <c r="R9" s="809"/>
      <c r="S9" s="1603"/>
      <c r="T9" s="809"/>
      <c r="U9" s="1603"/>
      <c r="V9" s="809"/>
      <c r="W9" s="1603"/>
      <c r="X9" s="1604"/>
      <c r="Y9" s="1603"/>
      <c r="Z9" s="809"/>
      <c r="AA9" s="1603"/>
      <c r="AB9" s="809"/>
      <c r="AC9" s="1595" t="s">
        <v>1084</v>
      </c>
      <c r="AD9" s="12" t="s">
        <v>1085</v>
      </c>
      <c r="AE9" s="1076"/>
      <c r="AF9" s="12" t="s">
        <v>1086</v>
      </c>
      <c r="AG9" s="1076"/>
      <c r="AH9" s="12" t="s">
        <v>1085</v>
      </c>
      <c r="AI9" s="1076"/>
      <c r="AJ9" s="12" t="s">
        <v>1086</v>
      </c>
      <c r="AK9" s="1076"/>
      <c r="AL9" s="12" t="s">
        <v>1085</v>
      </c>
      <c r="AM9" s="1076"/>
      <c r="AN9" s="12" t="s">
        <v>1086</v>
      </c>
      <c r="AO9" s="1076"/>
      <c r="AP9" s="12" t="s">
        <v>1085</v>
      </c>
      <c r="AQ9" s="1076"/>
      <c r="AR9" s="12" t="s">
        <v>1086</v>
      </c>
      <c r="AS9" s="1605"/>
      <c r="AT9" s="1594"/>
      <c r="AU9" s="1594" t="s">
        <v>1087</v>
      </c>
      <c r="AV9" s="1070"/>
      <c r="AW9" s="1577"/>
      <c r="AX9" s="1070"/>
      <c r="AY9" s="25"/>
      <c r="AZ9" s="25" t="s">
        <v>1077</v>
      </c>
      <c r="BA9" s="1606" t="s">
        <v>1088</v>
      </c>
      <c r="BB9" s="1607"/>
      <c r="BC9" s="1088"/>
      <c r="BD9" s="1088"/>
      <c r="BE9" s="1088"/>
      <c r="BF9" s="1088"/>
      <c r="BG9" s="1088"/>
      <c r="BH9" s="1088"/>
      <c r="BI9" s="1088"/>
      <c r="BJ9" s="1088"/>
      <c r="BK9" s="1608"/>
      <c r="BL9" s="12" t="s">
        <v>1089</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21</v>
      </c>
      <c r="L10" s="809"/>
      <c r="M10" s="1609"/>
      <c r="N10" s="809"/>
      <c r="O10" s="1609"/>
      <c r="P10" s="809"/>
      <c r="Q10" s="1609"/>
      <c r="R10" s="809"/>
      <c r="S10" s="1609"/>
      <c r="T10" s="809"/>
      <c r="U10" s="1609"/>
      <c r="V10" s="809"/>
      <c r="W10" s="1609"/>
      <c r="X10" s="809"/>
      <c r="Y10" s="1609"/>
      <c r="Z10" s="809"/>
      <c r="AA10" s="1609"/>
      <c r="AB10" s="809"/>
      <c r="AC10" s="1070"/>
      <c r="AD10" s="12" t="s">
        <v>1090</v>
      </c>
      <c r="AE10" s="1610"/>
      <c r="AF10" s="12" t="s">
        <v>1090</v>
      </c>
      <c r="AG10" s="1610"/>
      <c r="AH10" s="12" t="s">
        <v>1091</v>
      </c>
      <c r="AI10" s="1610"/>
      <c r="AJ10" s="12" t="s">
        <v>1091</v>
      </c>
      <c r="AK10" s="1610"/>
      <c r="AL10" s="12" t="s">
        <v>1092</v>
      </c>
      <c r="AM10" s="1076"/>
      <c r="AN10" s="12" t="s">
        <v>1092</v>
      </c>
      <c r="AO10" s="1076"/>
      <c r="AP10" s="12" t="s">
        <v>1093</v>
      </c>
      <c r="AQ10" s="1076"/>
      <c r="AR10" s="12" t="s">
        <v>1093</v>
      </c>
      <c r="AS10" s="1076"/>
      <c r="AT10" s="1594"/>
      <c r="AU10" s="1594"/>
      <c r="AV10" s="1070"/>
      <c r="AW10" s="1577"/>
      <c r="AX10" s="1070"/>
      <c r="AY10" s="25"/>
      <c r="AZ10" s="25"/>
      <c r="BA10" s="1611" t="s">
        <v>1084</v>
      </c>
      <c r="BB10" s="1612" t="str">
        <f>I9</f>
        <v>地上</v>
      </c>
      <c r="BC10" s="26" t="str">
        <f>K9</f>
        <v>地下</v>
      </c>
      <c r="BD10" s="26">
        <f>M9</f>
        <v>0</v>
      </c>
      <c r="BE10" s="26">
        <f>O9</f>
        <v>0</v>
      </c>
      <c r="BF10" s="26">
        <f>Q9</f>
        <v>0</v>
      </c>
      <c r="BG10" s="26">
        <f>S9</f>
        <v>0</v>
      </c>
      <c r="BH10" s="26">
        <f>U9</f>
        <v>0</v>
      </c>
      <c r="BI10" s="26">
        <f>W9</f>
        <v>0</v>
      </c>
      <c r="BJ10" s="26">
        <f>Y9</f>
        <v>0</v>
      </c>
      <c r="BK10" s="26">
        <f>AA9</f>
        <v>0</v>
      </c>
      <c r="BL10" s="22" t="s">
        <v>1084</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3372</v>
      </c>
      <c r="J11" s="1615"/>
      <c r="K11" s="1614" t="s">
        <v>3374</v>
      </c>
      <c r="L11" s="1615"/>
      <c r="M11" s="1614"/>
      <c r="N11" s="1615"/>
      <c r="O11" s="1614"/>
      <c r="P11" s="1615"/>
      <c r="Q11" s="1614"/>
      <c r="R11" s="1615"/>
      <c r="S11" s="1614"/>
      <c r="T11" s="1615"/>
      <c r="U11" s="1614"/>
      <c r="V11" s="1615"/>
      <c r="W11" s="1614"/>
      <c r="X11" s="1615"/>
      <c r="Y11" s="1614"/>
      <c r="Z11" s="1615"/>
      <c r="AA11" s="1614"/>
      <c r="AB11" s="1615"/>
      <c r="AC11" s="1070"/>
      <c r="AD11" s="1616" t="s">
        <v>1094</v>
      </c>
      <c r="AE11" s="1361"/>
      <c r="AF11" s="1616" t="s">
        <v>1094</v>
      </c>
      <c r="AG11" s="1361"/>
      <c r="AH11" s="1616" t="s">
        <v>1095</v>
      </c>
      <c r="AI11" s="1617"/>
      <c r="AJ11" s="1616" t="s">
        <v>1095</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1096</v>
      </c>
      <c r="J12" s="8" t="s">
        <v>1097</v>
      </c>
      <c r="K12" s="8" t="s">
        <v>1096</v>
      </c>
      <c r="L12" s="8" t="s">
        <v>1097</v>
      </c>
      <c r="M12" s="8" t="s">
        <v>1096</v>
      </c>
      <c r="N12" s="8" t="s">
        <v>1097</v>
      </c>
      <c r="O12" s="8" t="s">
        <v>1096</v>
      </c>
      <c r="P12" s="8" t="s">
        <v>1097</v>
      </c>
      <c r="Q12" s="8" t="s">
        <v>1096</v>
      </c>
      <c r="R12" s="8" t="s">
        <v>1097</v>
      </c>
      <c r="S12" s="8" t="s">
        <v>1096</v>
      </c>
      <c r="T12" s="8" t="s">
        <v>1097</v>
      </c>
      <c r="U12" s="8" t="s">
        <v>1096</v>
      </c>
      <c r="V12" s="1346" t="s">
        <v>1097</v>
      </c>
      <c r="W12" s="8" t="s">
        <v>1096</v>
      </c>
      <c r="X12" s="8" t="s">
        <v>1097</v>
      </c>
      <c r="Y12" s="8" t="s">
        <v>1096</v>
      </c>
      <c r="Z12" s="8" t="s">
        <v>1097</v>
      </c>
      <c r="AA12" s="8" t="s">
        <v>1096</v>
      </c>
      <c r="AB12" s="8" t="s">
        <v>1097</v>
      </c>
      <c r="AC12" s="1621"/>
      <c r="AD12" s="1349" t="s">
        <v>1096</v>
      </c>
      <c r="AE12" s="8" t="s">
        <v>1097</v>
      </c>
      <c r="AF12" s="8" t="s">
        <v>1096</v>
      </c>
      <c r="AG12" s="8" t="s">
        <v>1097</v>
      </c>
      <c r="AH12" s="8" t="s">
        <v>1096</v>
      </c>
      <c r="AI12" s="8" t="s">
        <v>1097</v>
      </c>
      <c r="AJ12" s="8" t="s">
        <v>1096</v>
      </c>
      <c r="AK12" s="8" t="s">
        <v>1097</v>
      </c>
      <c r="AL12" s="8" t="s">
        <v>1096</v>
      </c>
      <c r="AM12" s="8" t="s">
        <v>1097</v>
      </c>
      <c r="AN12" s="8" t="s">
        <v>1096</v>
      </c>
      <c r="AO12" s="8" t="s">
        <v>1097</v>
      </c>
      <c r="AP12" s="8" t="s">
        <v>1096</v>
      </c>
      <c r="AQ12" s="8" t="s">
        <v>1097</v>
      </c>
      <c r="AR12" s="27" t="s">
        <v>1096</v>
      </c>
      <c r="AS12" s="1619" t="s">
        <v>1097</v>
      </c>
      <c r="AT12" s="1622"/>
      <c r="AU12" s="1619"/>
      <c r="AV12" s="28"/>
      <c r="AW12" s="1578"/>
      <c r="AX12" s="28"/>
      <c r="AY12" s="1623"/>
      <c r="AZ12" s="25"/>
      <c r="BA12" s="1611"/>
      <c r="BB12" s="21" t="str">
        <f>I11</f>
        <v>体育场馆</v>
      </c>
      <c r="BC12" s="1624" t="str">
        <f>K11</f>
        <v>体育文化配套</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c r="A13" s="1051"/>
      <c r="B13" s="1051" t="str">
        <f>'不动产权证-面积指标'!L5</f>
        <v>凯迪拉克</v>
      </c>
      <c r="C13" s="1051" t="str">
        <f>'不动产权证-面积指标'!K5</f>
        <v>1号楼</v>
      </c>
      <c r="D13" s="1629" t="s">
        <v>3370</v>
      </c>
      <c r="E13" s="13">
        <f>IF($C$3="是",ROUND($A$3*G13/$B$3,2),ROUND($A$3*(G13-AT13)/$B$3,2))</f>
        <v>0</v>
      </c>
      <c r="F13" s="29"/>
      <c r="G13" s="30">
        <f>H13+AC13+AT13</f>
        <v>63063.880000000005</v>
      </c>
      <c r="H13" s="17">
        <f>SUMIF(I$12:AB$12,"总值",I13:AB13)</f>
        <v>63063.880000000005</v>
      </c>
      <c r="I13" s="1625">
        <f>'不动产权证-面积指标'!J25</f>
        <v>55413.87</v>
      </c>
      <c r="J13" s="1625"/>
      <c r="K13" s="1625">
        <f>'不动产权证-面积指标'!K25</f>
        <v>7650.01</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t="str">
        <f t="shared" si="6"/>
        <v>凯迪拉克</v>
      </c>
      <c r="AX13" s="8" t="str">
        <f t="shared" si="6"/>
        <v>1号楼</v>
      </c>
      <c r="AY13" s="1349">
        <f>ROUND($AY$6*AZ13/$AZ$5,2)</f>
        <v>0</v>
      </c>
      <c r="AZ13" s="13">
        <f>BA13+BL13</f>
        <v>63063.880000000005</v>
      </c>
      <c r="BA13" s="13">
        <f>SUM(BB13:BK13)</f>
        <v>63063.880000000005</v>
      </c>
      <c r="BB13" s="13">
        <f>IF($D13="是",I13-J13,0)</f>
        <v>55413.87</v>
      </c>
      <c r="BC13" s="13">
        <f>IF($D13="是",K13-L13,0)</f>
        <v>7650.01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25.5">
      <c r="A14" s="1051"/>
      <c r="B14" s="1051" t="str">
        <f>'不动产权证-面积指标'!L6</f>
        <v>篮球公园</v>
      </c>
      <c r="C14" s="1051" t="str">
        <f>'不动产权证-面积指标'!K6</f>
        <v>2号楼-1至2层101</v>
      </c>
      <c r="D14" s="1629" t="s">
        <v>3516</v>
      </c>
      <c r="E14" s="13">
        <f>IF($C$3="是",ROUND($A$3*G14/$B$3,2),ROUND($A$3*(G14-AT14)/$B$3,2))</f>
        <v>0</v>
      </c>
      <c r="F14" s="29"/>
      <c r="G14" s="30">
        <f>H14+AC14+AT14</f>
        <v>13059.5</v>
      </c>
      <c r="H14" s="17">
        <f>SUMIF(I$12:AB$12,"总值",I14:AB14)</f>
        <v>13059.5</v>
      </c>
      <c r="I14" s="1625">
        <f>'不动产权证-面积指标'!J26</f>
        <v>5532.83</v>
      </c>
      <c r="J14" s="1625"/>
      <c r="K14" s="1625">
        <f>'不动产权证-面积指标'!K26</f>
        <v>7526.67</v>
      </c>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t="str">
        <f t="shared" si="6"/>
        <v>篮球公园</v>
      </c>
      <c r="AX14" s="8" t="str">
        <f t="shared" si="6"/>
        <v>2号楼-1至2层101</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25.5">
      <c r="A15" s="1051"/>
      <c r="B15" s="1051" t="str">
        <f>'不动产权证-面积指标'!L7</f>
        <v>写字楼</v>
      </c>
      <c r="C15" s="1051" t="str">
        <f>'不动产权证-面积指标'!K7</f>
        <v>10号楼-3至10层101</v>
      </c>
      <c r="D15" s="1629" t="s">
        <v>3516</v>
      </c>
      <c r="E15" s="13">
        <f>IF($C$3="是",ROUND($A$3*G15/$B$3,2),ROUND($A$3*(G15-AT15)/$B$3,2))</f>
        <v>0</v>
      </c>
      <c r="F15" s="29"/>
      <c r="G15" s="30">
        <f>H15+AC15+AT15</f>
        <v>22309.51</v>
      </c>
      <c r="H15" s="17">
        <f>SUMIF(I$12:AB$12,"总值",I15:AB15)</f>
        <v>22309.51</v>
      </c>
      <c r="I15" s="1625">
        <f>'不动产权证-面积指标'!J27</f>
        <v>17472.64</v>
      </c>
      <c r="J15" s="1625"/>
      <c r="K15" s="1625">
        <f>'不动产权证-面积指标'!K27</f>
        <v>4836.869999999999</v>
      </c>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t="str">
        <f t="shared" si="6"/>
        <v>写字楼</v>
      </c>
      <c r="AX15" s="8" t="str">
        <f t="shared" si="6"/>
        <v>10号楼-3至10层101</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t="str">
        <f>'不动产权证-面积指标'!L8</f>
        <v>写字楼</v>
      </c>
      <c r="C16" s="1051" t="str">
        <f>'不动产权证-面积指标'!K8</f>
        <v>11号楼-3至10层101</v>
      </c>
      <c r="D16" s="1629" t="s">
        <v>3516</v>
      </c>
      <c r="E16" s="13">
        <f>IF($C$3="是",ROUND($A$3*G16/$B$3,2),ROUND($A$3*(G16-AT16)/$B$3,2))</f>
        <v>0</v>
      </c>
      <c r="F16" s="29"/>
      <c r="G16" s="30">
        <f>H16+AC16+AT16</f>
        <v>20843.580000000002</v>
      </c>
      <c r="H16" s="17">
        <f>SUMIF(I$12:AB$12,"总值",I16:AB16)</f>
        <v>20843.580000000002</v>
      </c>
      <c r="I16" s="1625">
        <f>'不动产权证-面积指标'!J28</f>
        <v>16469.41</v>
      </c>
      <c r="J16" s="1625"/>
      <c r="K16" s="1625">
        <f>'不动产权证-面积指标'!K28</f>
        <v>4374.1700000000019</v>
      </c>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t="str">
        <f t="shared" si="6"/>
        <v>写字楼</v>
      </c>
      <c r="AX16" s="8" t="str">
        <f t="shared" si="6"/>
        <v>11号楼-3至10层101</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25.5">
      <c r="A17" s="1051"/>
      <c r="B17" s="1051" t="str">
        <f>'不动产权证-面积指标'!L9</f>
        <v>写字楼</v>
      </c>
      <c r="C17" s="1051" t="str">
        <f>'不动产权证-面积指标'!K9</f>
        <v>12号楼-3至4层101</v>
      </c>
      <c r="D17" s="1629" t="s">
        <v>3516</v>
      </c>
      <c r="E17" s="13">
        <f>IF($C$3="是",ROUND($A$3*G17/$B$3,2),ROUND($A$3*(G17-AT17)/$B$3,2))</f>
        <v>0</v>
      </c>
      <c r="F17" s="29"/>
      <c r="G17" s="30">
        <f>H17+AC17+AT17</f>
        <v>9955.2000000000007</v>
      </c>
      <c r="H17" s="17">
        <f>SUMIF(I$12:AB$12,"总值",I17:AB17)</f>
        <v>9955.2000000000007</v>
      </c>
      <c r="I17" s="1625">
        <f>'不动产权证-面积指标'!J29</f>
        <v>5444.2300000000005</v>
      </c>
      <c r="J17" s="1625"/>
      <c r="K17" s="1625">
        <f>'不动产权证-面积指标'!K29</f>
        <v>4510.97</v>
      </c>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t="str">
        <f t="shared" si="6"/>
        <v>写字楼</v>
      </c>
      <c r="AX17" s="8" t="str">
        <f t="shared" si="6"/>
        <v>12号楼-3至4层101</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 r="A18" s="6"/>
      <c r="B18" s="1051" t="str">
        <f>'不动产权证-面积指标'!L10</f>
        <v>西车库</v>
      </c>
      <c r="C18" s="1051" t="str">
        <f>'不动产权证-面积指标'!K10</f>
        <v>13幢-2至-1层-101</v>
      </c>
      <c r="D18" s="1629" t="s">
        <v>3516</v>
      </c>
      <c r="E18" s="32">
        <f t="shared" ref="E18:E112" si="7">IF($C$3="是",ROUND($A$3*G18/$B$3,2),ROUND($A$3*(G18-AT18)/$B$3,2))</f>
        <v>0</v>
      </c>
      <c r="F18" s="33"/>
      <c r="G18" s="34">
        <f t="shared" ref="G18:G109" si="8">H18+AC18+AT18</f>
        <v>43664</v>
      </c>
      <c r="H18" s="35">
        <f t="shared" ref="H18:H109" si="9">SUMIF(I$12:AB$12,"总值",I18:AB18)</f>
        <v>43664</v>
      </c>
      <c r="I18" s="1625">
        <f>'不动产权证-面积指标'!J30</f>
        <v>0</v>
      </c>
      <c r="J18" s="36"/>
      <c r="K18" s="1625">
        <f>'不动产权证-面积指标'!K30</f>
        <v>43664</v>
      </c>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3">
        <f t="shared" ref="AV18:AV112" si="11">A18</f>
        <v>0</v>
      </c>
      <c r="AW18" s="1343" t="str">
        <f t="shared" ref="AW18:AW112" si="12">B18</f>
        <v>西车库</v>
      </c>
      <c r="AX18" s="1343" t="str">
        <f t="shared" ref="AX18:AX112" si="13">C18</f>
        <v>13幢-2至-1层-101</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28.5">
      <c r="A19" s="6"/>
      <c r="B19" s="1051" t="str">
        <f>'不动产权证-面积指标'!L11</f>
        <v>南区商业</v>
      </c>
      <c r="C19" s="1051" t="str">
        <f>'不动产权证-面积指标'!K11</f>
        <v>16幢-1层-101</v>
      </c>
      <c r="D19" s="1629" t="s">
        <v>3516</v>
      </c>
      <c r="E19" s="32">
        <f t="shared" si="7"/>
        <v>0</v>
      </c>
      <c r="F19" s="33"/>
      <c r="G19" s="34">
        <f t="shared" si="8"/>
        <v>53404.31</v>
      </c>
      <c r="H19" s="35">
        <f t="shared" si="9"/>
        <v>53404.31</v>
      </c>
      <c r="I19" s="1625">
        <f>'不动产权证-面积指标'!J31</f>
        <v>0</v>
      </c>
      <c r="J19" s="36"/>
      <c r="K19" s="1625">
        <f>'不动产权证-面积指标'!K31</f>
        <v>53404.31</v>
      </c>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3">
        <f t="shared" si="11"/>
        <v>0</v>
      </c>
      <c r="AW19" s="1343" t="str">
        <f t="shared" si="12"/>
        <v>南区商业</v>
      </c>
      <c r="AX19" s="1343" t="str">
        <f t="shared" si="13"/>
        <v>16幢-1层-101</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28.5">
      <c r="A20" s="6"/>
      <c r="B20" s="1051" t="str">
        <f>'不动产权证-面积指标'!L12</f>
        <v>冰上运动</v>
      </c>
      <c r="C20" s="1051" t="str">
        <f>'不动产权证-面积指标'!K12</f>
        <v>13号楼-2至2层101</v>
      </c>
      <c r="D20" s="1629" t="s">
        <v>3516</v>
      </c>
      <c r="E20" s="32">
        <f t="shared" si="7"/>
        <v>0</v>
      </c>
      <c r="F20" s="33"/>
      <c r="G20" s="34">
        <f t="shared" si="8"/>
        <v>39266.81</v>
      </c>
      <c r="H20" s="35">
        <f t="shared" si="9"/>
        <v>39266.81</v>
      </c>
      <c r="I20" s="1625">
        <f>'不动产权证-面积指标'!J32</f>
        <v>16529.150000000001</v>
      </c>
      <c r="J20" s="36"/>
      <c r="K20" s="1625">
        <f>'不动产权证-面积指标'!K32</f>
        <v>22737.659999999996</v>
      </c>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3">
        <f t="shared" si="11"/>
        <v>0</v>
      </c>
      <c r="AW20" s="1343" t="str">
        <f t="shared" si="12"/>
        <v>冰上运动</v>
      </c>
      <c r="AX20" s="1343" t="str">
        <f t="shared" si="13"/>
        <v>13号楼-2至2层101</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5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6"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1123</v>
      </c>
      <c r="B1" s="1139"/>
      <c r="C1" s="1139"/>
      <c r="D1" s="1139"/>
      <c r="E1" s="1139"/>
      <c r="F1" s="1139"/>
      <c r="G1" s="1139"/>
      <c r="H1" s="1139"/>
      <c r="I1" s="1139"/>
      <c r="J1" s="1139"/>
      <c r="K1" s="1139"/>
      <c r="L1" s="1139"/>
      <c r="M1" s="1139"/>
      <c r="N1" s="1139"/>
      <c r="O1" s="1139"/>
      <c r="P1" s="1139"/>
    </row>
    <row r="2" spans="1:16" ht="15">
      <c r="A2" s="3583" t="s">
        <v>1124</v>
      </c>
      <c r="B2" s="3583"/>
      <c r="C2" s="3583"/>
      <c r="D2" s="796" t="s">
        <v>1100</v>
      </c>
      <c r="E2" s="1638" t="s">
        <v>1101</v>
      </c>
      <c r="F2" s="2656"/>
      <c r="G2" s="2647"/>
      <c r="H2" s="2648"/>
      <c r="I2" s="2324" t="s">
        <v>1125</v>
      </c>
      <c r="J2" s="2656"/>
      <c r="K2" s="2656"/>
      <c r="L2" s="2656"/>
      <c r="M2" s="2656"/>
      <c r="N2" s="2658"/>
      <c r="O2" s="2656"/>
      <c r="P2" s="2656"/>
    </row>
    <row r="3" spans="1:16" ht="15.75" thickBot="1">
      <c r="A3" s="3584" t="s">
        <v>1098</v>
      </c>
      <c r="B3" s="3584"/>
      <c r="C3" s="3584"/>
      <c r="D3" s="43">
        <f>'数据-基础表'!AY6</f>
        <v>0</v>
      </c>
      <c r="E3" s="43">
        <f>'数据-基础表'!AZ5</f>
        <v>63063.880000000005</v>
      </c>
      <c r="F3" s="2656"/>
      <c r="G3" s="1145"/>
      <c r="H3" s="1026" t="s">
        <v>1099</v>
      </c>
      <c r="I3" s="855" t="e">
        <f>ROUND('数据-基础表'!B3/'数据-基础表'!A3,2)</f>
        <v>#DIV/0!</v>
      </c>
      <c r="J3" s="2656"/>
      <c r="K3" s="2656"/>
      <c r="L3" s="2656"/>
      <c r="M3" s="2656"/>
      <c r="N3" s="2658"/>
      <c r="O3" s="2656"/>
      <c r="P3" s="2656"/>
    </row>
    <row r="4" spans="1:16" ht="15">
      <c r="A4" s="3585"/>
      <c r="B4" s="3586"/>
      <c r="C4" s="3587"/>
      <c r="D4" s="1640" t="s">
        <v>1100</v>
      </c>
      <c r="E4" s="1641" t="s">
        <v>1101</v>
      </c>
      <c r="F4" s="2656"/>
      <c r="G4" s="2649" t="s">
        <v>1126</v>
      </c>
      <c r="H4" s="1026" t="s">
        <v>1106</v>
      </c>
      <c r="I4" s="855" t="e">
        <f>ROUND(SUMIF('数据-基础表'!I9:AS9,"地上",'数据-基础表'!I5:AS5)/'数据-基础表'!A3,2)</f>
        <v>#DIV/0!</v>
      </c>
      <c r="J4" s="2656"/>
      <c r="K4" s="2656"/>
      <c r="L4" s="2656"/>
      <c r="M4" s="2656"/>
      <c r="N4" s="2658"/>
      <c r="O4" s="2656"/>
      <c r="P4" s="2656"/>
    </row>
    <row r="5" spans="1:16">
      <c r="A5" s="44" t="s">
        <v>1102</v>
      </c>
      <c r="B5" s="3588" t="s">
        <v>1103</v>
      </c>
      <c r="C5" s="3588"/>
      <c r="D5" s="45">
        <f>ROUND($D$3*E5/$E$3,2)</f>
        <v>0</v>
      </c>
      <c r="E5" s="46">
        <f>SUMIF('数据-基础表'!$11:$11,"住宅",'数据-基础表'!$5:$5)</f>
        <v>0</v>
      </c>
      <c r="F5" s="2656"/>
      <c r="G5" s="1145"/>
      <c r="H5" s="1026" t="s">
        <v>1099</v>
      </c>
      <c r="I5" s="855" t="e">
        <f>ROUND(E31/D31,2)</f>
        <v>#DIV/0!</v>
      </c>
      <c r="J5" s="2656"/>
      <c r="K5" s="2656"/>
      <c r="L5" s="2656"/>
      <c r="M5" s="2656"/>
      <c r="N5" s="2656"/>
      <c r="O5" s="2656"/>
      <c r="P5" s="2656"/>
    </row>
    <row r="6" spans="1:16" ht="15" thickBot="1">
      <c r="A6" s="1643"/>
      <c r="B6" s="3588" t="s">
        <v>1104</v>
      </c>
      <c r="C6" s="3588"/>
      <c r="D6" s="45">
        <f>ROUND($D$3*E6/$E$3,2)</f>
        <v>0</v>
      </c>
      <c r="E6" s="46">
        <f>E3-E5</f>
        <v>63063.880000000005</v>
      </c>
      <c r="F6" s="2656"/>
      <c r="G6" s="2650" t="s">
        <v>1105</v>
      </c>
      <c r="H6" s="1146" t="s">
        <v>1106</v>
      </c>
      <c r="I6" s="2651" t="e">
        <f>ROUND(F31/D31,2)</f>
        <v>#DIV/0!</v>
      </c>
      <c r="J6" s="2656"/>
      <c r="K6" s="2656"/>
      <c r="L6" s="2656"/>
      <c r="M6" s="2656"/>
      <c r="N6" s="2656"/>
      <c r="O6" s="2656"/>
      <c r="P6" s="2656"/>
    </row>
    <row r="7" spans="1:16" ht="15.75" thickBot="1">
      <c r="A7" s="3580"/>
      <c r="B7" s="3581"/>
      <c r="C7" s="3582"/>
      <c r="D7" s="1640" t="s">
        <v>1100</v>
      </c>
      <c r="E7" s="1644" t="s">
        <v>1107</v>
      </c>
      <c r="F7" s="2656"/>
      <c r="G7" s="2652" t="s">
        <v>1108</v>
      </c>
      <c r="H7" s="2653"/>
      <c r="I7" s="2654">
        <v>1</v>
      </c>
      <c r="J7" s="2656"/>
      <c r="K7" s="2656"/>
      <c r="L7" s="2656"/>
      <c r="M7" s="2656"/>
      <c r="N7" s="2656"/>
      <c r="O7" s="2656"/>
      <c r="P7" s="2656"/>
    </row>
    <row r="8" spans="1:16">
      <c r="A8" s="44" t="s">
        <v>1109</v>
      </c>
      <c r="B8" s="47" t="s">
        <v>1110</v>
      </c>
      <c r="C8" s="45" t="s">
        <v>1111</v>
      </c>
      <c r="D8" s="45">
        <f t="shared" ref="D8:D15" si="0">ROUND($D$3*E8/$E$3,2)</f>
        <v>0</v>
      </c>
      <c r="E8" s="48">
        <f>SUMIF('数据-基础表'!BB10:BK10,"地上",'数据-基础表'!BB5:BK5)</f>
        <v>55413.87</v>
      </c>
      <c r="F8" s="2656"/>
      <c r="G8" s="2657"/>
      <c r="H8" s="2657"/>
      <c r="I8" s="2656"/>
      <c r="J8" s="2656"/>
      <c r="K8" s="2656"/>
      <c r="L8" s="2656"/>
      <c r="M8" s="2656"/>
      <c r="N8" s="2656"/>
      <c r="O8" s="2656"/>
      <c r="P8" s="2656"/>
    </row>
    <row r="9" spans="1:16">
      <c r="A9" s="1645"/>
      <c r="B9" s="1646"/>
      <c r="C9" s="45" t="s">
        <v>1112</v>
      </c>
      <c r="D9" s="45">
        <f t="shared" si="0"/>
        <v>0</v>
      </c>
      <c r="E9" s="49">
        <v>0</v>
      </c>
      <c r="F9" s="2656"/>
      <c r="G9" s="2657"/>
      <c r="H9" s="2657"/>
      <c r="I9" s="2656"/>
      <c r="J9" s="2656"/>
      <c r="K9" s="2656"/>
      <c r="L9" s="2656"/>
      <c r="M9" s="2656"/>
      <c r="N9" s="2656"/>
      <c r="O9" s="2656"/>
      <c r="P9" s="2656"/>
    </row>
    <row r="10" spans="1:16">
      <c r="A10" s="1645"/>
      <c r="B10" s="1646"/>
      <c r="C10" s="45" t="s">
        <v>1121</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5"/>
      <c r="B11" s="1646"/>
      <c r="C11" s="45" t="s">
        <v>1113</v>
      </c>
      <c r="D11" s="45">
        <f t="shared" si="0"/>
        <v>0</v>
      </c>
      <c r="E11" s="48">
        <f>SUMPRODUCT(('数据-基础表'!BB10:BK10="地下")*('数据-基础表'!BB11:BK11="办公")*('数据-基础表'!BB5:BK5))+'数据-基础表'!BP5</f>
        <v>7650.01</v>
      </c>
      <c r="F11" s="2656"/>
      <c r="G11" s="2657"/>
      <c r="H11" s="2657"/>
      <c r="I11" s="2656"/>
      <c r="J11" s="2656"/>
      <c r="K11" s="2656"/>
      <c r="L11" s="2656"/>
      <c r="M11" s="2656"/>
      <c r="N11" s="2656"/>
      <c r="O11" s="2656"/>
      <c r="P11" s="2656"/>
    </row>
    <row r="12" spans="1:16">
      <c r="A12" s="1645"/>
      <c r="B12" s="1646"/>
      <c r="C12" s="45" t="s">
        <v>1114</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5"/>
      <c r="B13" s="1646"/>
      <c r="C13" s="45" t="s">
        <v>1115</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5"/>
      <c r="B14" s="1646"/>
      <c r="C14" s="45" t="s">
        <v>1127</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1122</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3"/>
      <c r="B16" s="1646"/>
      <c r="C16" s="47" t="s">
        <v>1116</v>
      </c>
      <c r="D16" s="47">
        <f>SUM(D8:D15)</f>
        <v>0</v>
      </c>
      <c r="E16" s="50">
        <f>SUM(E8:E15)</f>
        <v>63063.880000000005</v>
      </c>
      <c r="F16" s="2656"/>
      <c r="G16" s="2657"/>
      <c r="H16" s="1647" t="s">
        <v>1128</v>
      </c>
      <c r="I16" s="1648"/>
      <c r="J16" s="1139"/>
      <c r="K16" s="3577" t="s">
        <v>1128</v>
      </c>
      <c r="L16" s="3578"/>
      <c r="M16" s="3578"/>
      <c r="N16" s="3578"/>
      <c r="O16" s="3578"/>
      <c r="P16" s="3579"/>
    </row>
    <row r="17" spans="1:19" ht="15">
      <c r="A17" s="1649" t="s">
        <v>1129</v>
      </c>
      <c r="B17" s="1650" t="s">
        <v>1130</v>
      </c>
      <c r="C17" s="1651" t="s">
        <v>1131</v>
      </c>
      <c r="D17" s="1652" t="s">
        <v>1119</v>
      </c>
      <c r="E17" s="1653" t="s">
        <v>1120</v>
      </c>
      <c r="F17" s="1654"/>
      <c r="G17" s="1655"/>
      <c r="H17" s="1656" t="s">
        <v>1132</v>
      </c>
      <c r="I17" s="1657" t="s">
        <v>1117</v>
      </c>
      <c r="J17" s="1139"/>
      <c r="K17" s="3574" t="s">
        <v>1133</v>
      </c>
      <c r="L17" s="3575"/>
      <c r="M17" s="3576"/>
      <c r="N17" s="3574" t="s">
        <v>1134</v>
      </c>
      <c r="O17" s="3575"/>
      <c r="P17" s="3576"/>
      <c r="R17" s="1639" t="s">
        <v>1135</v>
      </c>
      <c r="S17" s="56"/>
    </row>
    <row r="18" spans="1:19" ht="15">
      <c r="A18" s="1645"/>
      <c r="B18" s="1658"/>
      <c r="C18" s="1659"/>
      <c r="D18" s="1660"/>
      <c r="E18" s="1661" t="s">
        <v>1136</v>
      </c>
      <c r="F18" s="1662" t="s">
        <v>1137</v>
      </c>
      <c r="G18" s="1663" t="s">
        <v>1138</v>
      </c>
      <c r="H18" s="1041" t="s">
        <v>1139</v>
      </c>
      <c r="I18" s="1664" t="s">
        <v>1140</v>
      </c>
      <c r="J18" s="1139"/>
      <c r="K18" s="1041" t="s">
        <v>1141</v>
      </c>
      <c r="L18" s="1665" t="s">
        <v>1142</v>
      </c>
      <c r="M18" s="855" t="s">
        <v>1143</v>
      </c>
      <c r="N18" s="1041" t="s">
        <v>1141</v>
      </c>
      <c r="O18" s="1665" t="s">
        <v>1142</v>
      </c>
      <c r="P18" s="855" t="s">
        <v>1143</v>
      </c>
      <c r="R18" s="1026" t="s">
        <v>1144</v>
      </c>
      <c r="S18" s="1026" t="s">
        <v>1145</v>
      </c>
    </row>
    <row r="19" spans="1:19">
      <c r="A19" s="1666"/>
      <c r="B19" s="47" t="s">
        <v>1118</v>
      </c>
      <c r="C19" s="3412" t="s">
        <v>3375</v>
      </c>
      <c r="D19" s="45">
        <f>ROUND($D$3*E19/$E$3,2)</f>
        <v>0</v>
      </c>
      <c r="E19" s="53">
        <f t="shared" ref="E19:E26" si="1">SUM(F19:G19)</f>
        <v>63063.880000000005</v>
      </c>
      <c r="F19" s="2792">
        <f>'数据-基础表'!BB5</f>
        <v>55413.87</v>
      </c>
      <c r="G19" s="2793">
        <f>'数据-基础表'!BC5</f>
        <v>7650.01</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63063.880000000005</v>
      </c>
    </row>
    <row r="20" spans="1:19">
      <c r="A20" s="1669"/>
      <c r="B20" s="47" t="s">
        <v>1146</v>
      </c>
      <c r="C20" s="3412"/>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1146</v>
      </c>
      <c r="C21" s="3412"/>
      <c r="D21" s="45">
        <f t="shared" si="6"/>
        <v>0</v>
      </c>
      <c r="E21" s="53">
        <f t="shared" si="1"/>
        <v>0</v>
      </c>
      <c r="F21" s="2792"/>
      <c r="G21" s="2793"/>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1146</v>
      </c>
      <c r="C22" s="3413"/>
      <c r="D22" s="45">
        <f t="shared" si="6"/>
        <v>0</v>
      </c>
      <c r="E22" s="53">
        <f t="shared" si="1"/>
        <v>0</v>
      </c>
      <c r="F22" s="2794"/>
      <c r="G22" s="2795"/>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1146</v>
      </c>
      <c r="C23" s="3413"/>
      <c r="D23" s="45">
        <f>ROUND($D$3*E23/$E$3,2)</f>
        <v>0</v>
      </c>
      <c r="E23" s="53">
        <f>SUM(F23:G23)</f>
        <v>0</v>
      </c>
      <c r="F23" s="2794"/>
      <c r="G23" s="2795"/>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1146</v>
      </c>
      <c r="C24" s="3413"/>
      <c r="D24" s="45">
        <f>ROUND($D$3*E24/$E$3,2)</f>
        <v>0</v>
      </c>
      <c r="E24" s="53">
        <f>SUM(F24:G24)</f>
        <v>0</v>
      </c>
      <c r="F24" s="2794"/>
      <c r="G24" s="2795"/>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1146</v>
      </c>
      <c r="C25" s="3413"/>
      <c r="D25" s="45">
        <f t="shared" si="6"/>
        <v>0</v>
      </c>
      <c r="E25" s="53">
        <f t="shared" si="1"/>
        <v>0</v>
      </c>
      <c r="F25" s="2794"/>
      <c r="G25" s="2795"/>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1146</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1147</v>
      </c>
      <c r="D27" s="1140">
        <f>SUM(D19:D26)</f>
        <v>0</v>
      </c>
      <c r="E27" s="1141">
        <f>IF(SUM(E19:E26)='数据-基础表'!BA5,SUM(E19:E26),IF(F27="地上面积有误","面积有误","地下面积有误"))</f>
        <v>63063.880000000005</v>
      </c>
      <c r="F27" s="1140">
        <f>IF(SUM(F19:F26)=E8,SUM(F19:F26),"地上面积有误")</f>
        <v>55413.87</v>
      </c>
      <c r="G27" s="1142">
        <f>SUM(G19:G26)</f>
        <v>7650.01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63063.880000000005</v>
      </c>
    </row>
    <row r="28" spans="1:19">
      <c r="A28" s="1669"/>
      <c r="B28" s="47" t="s">
        <v>1148</v>
      </c>
      <c r="C28" s="1038" t="s">
        <v>1149</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9"/>
      <c r="B29" s="47" t="s">
        <v>1148</v>
      </c>
      <c r="C29" s="1673" t="s">
        <v>1150</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9"/>
      <c r="B30" s="47"/>
      <c r="C30" s="1674" t="s">
        <v>1147</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5"/>
      <c r="B31" s="1676"/>
      <c r="C31" s="835" t="s">
        <v>1151</v>
      </c>
      <c r="D31" s="676">
        <f>D27+D30</f>
        <v>0</v>
      </c>
      <c r="E31" s="676">
        <f>E27+E30</f>
        <v>63063.880000000005</v>
      </c>
      <c r="F31" s="677">
        <f>F27+F30</f>
        <v>55413.87</v>
      </c>
      <c r="G31" s="678">
        <f>G27+G30</f>
        <v>7650.01</v>
      </c>
      <c r="H31" s="2656"/>
      <c r="I31" s="2656"/>
      <c r="J31" s="2656"/>
      <c r="K31" s="2656"/>
      <c r="L31" s="2656"/>
      <c r="M31" s="2656"/>
      <c r="N31" s="2656"/>
      <c r="O31" s="2656"/>
      <c r="P31" s="2656"/>
    </row>
    <row r="32" spans="1:19">
      <c r="A32" s="1642"/>
      <c r="B32" s="1642" t="s">
        <v>1152</v>
      </c>
      <c r="C32" s="1642"/>
      <c r="D32" s="1642"/>
      <c r="E32" s="1053">
        <f>SUMIF(C19:C26,"*住宅*",E19:E26)</f>
        <v>0</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W45" sqref="W45"/>
      <selection pane="topRight" activeCell="W45" sqref="W45"/>
      <selection pane="bottomLeft" activeCell="W45" sqref="W45"/>
      <selection pane="bottomRight" activeCell="P29" sqref="P2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1"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1153</v>
      </c>
      <c r="B1" s="679"/>
      <c r="C1" s="1191"/>
      <c r="D1" s="1679"/>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2" t="s">
        <v>1154</v>
      </c>
      <c r="B2" s="1045">
        <f>项目基本情况!D3</f>
        <v>45352</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9" customFormat="1" ht="15" thickBot="1">
      <c r="A3" s="1557"/>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9" customFormat="1" ht="15" thickBot="1">
      <c r="A4" s="60" t="s">
        <v>1155</v>
      </c>
      <c r="B4" s="1687"/>
      <c r="C4" s="1688"/>
      <c r="D4" s="1689"/>
      <c r="E4" s="1688" t="s">
        <v>1156</v>
      </c>
      <c r="F4" s="1688"/>
      <c r="G4" s="1688"/>
      <c r="H4" s="1688"/>
      <c r="I4" s="1688"/>
      <c r="J4" s="1690"/>
      <c r="K4" s="1691"/>
      <c r="L4" s="1692"/>
      <c r="M4" s="1688"/>
      <c r="N4" s="1688" t="s">
        <v>1157</v>
      </c>
      <c r="O4" s="1688"/>
      <c r="P4" s="1688"/>
      <c r="Q4" s="1688"/>
      <c r="R4" s="1688"/>
      <c r="S4" s="1690"/>
      <c r="T4" s="2655" t="str">
        <f>'数据-汇总表'!I17</f>
        <v>按面积比例</v>
      </c>
      <c r="U4" s="1687" t="s">
        <v>1158</v>
      </c>
      <c r="V4" s="1688"/>
      <c r="W4" s="1688"/>
      <c r="X4" s="1688"/>
      <c r="Y4" s="1690"/>
      <c r="Z4" s="1651" t="s">
        <v>1159</v>
      </c>
      <c r="AA4" s="1651"/>
      <c r="AB4" s="1651"/>
      <c r="AC4" s="1651"/>
      <c r="AD4" s="1651"/>
      <c r="AE4" s="1649" t="s">
        <v>1160</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60" customFormat="1" ht="42">
      <c r="A5" s="1694" t="s">
        <v>1161</v>
      </c>
      <c r="B5" s="1695" t="s">
        <v>1162</v>
      </c>
      <c r="C5" s="1696" t="s">
        <v>1163</v>
      </c>
      <c r="D5" s="1697" t="s">
        <v>1164</v>
      </c>
      <c r="E5" s="1047" t="s">
        <v>1165</v>
      </c>
      <c r="F5" s="1698" t="s">
        <v>1166</v>
      </c>
      <c r="G5" s="1047" t="s">
        <v>1167</v>
      </c>
      <c r="H5" s="1047" t="s">
        <v>1168</v>
      </c>
      <c r="I5" s="1047" t="s">
        <v>1169</v>
      </c>
      <c r="J5" s="1699" t="s">
        <v>1170</v>
      </c>
      <c r="K5" s="1700" t="s">
        <v>1171</v>
      </c>
      <c r="L5" s="1701" t="s">
        <v>1172</v>
      </c>
      <c r="M5" s="1702" t="s">
        <v>1173</v>
      </c>
      <c r="N5" s="1703" t="s">
        <v>3390</v>
      </c>
      <c r="O5" s="1701" t="s">
        <v>1174</v>
      </c>
      <c r="P5" s="1704" t="s">
        <v>1175</v>
      </c>
      <c r="Q5" s="61" t="s">
        <v>1176</v>
      </c>
      <c r="R5" s="1705" t="s">
        <v>1177</v>
      </c>
      <c r="S5" s="1706" t="s">
        <v>1178</v>
      </c>
      <c r="T5" s="1707" t="s">
        <v>1179</v>
      </c>
      <c r="U5" s="1046" t="s">
        <v>1180</v>
      </c>
      <c r="V5" s="1047" t="s">
        <v>1181</v>
      </c>
      <c r="W5" s="1047" t="s">
        <v>1182</v>
      </c>
      <c r="X5" s="63"/>
      <c r="Y5" s="62" t="s">
        <v>1183</v>
      </c>
      <c r="Z5" s="1708" t="s">
        <v>1180</v>
      </c>
      <c r="AA5" s="1047" t="s">
        <v>1181</v>
      </c>
      <c r="AB5" s="1047" t="s">
        <v>1182</v>
      </c>
      <c r="AC5" s="63"/>
      <c r="AD5" s="63" t="s">
        <v>1183</v>
      </c>
      <c r="AE5" s="1046" t="s">
        <v>1184</v>
      </c>
      <c r="AF5" s="1047" t="s">
        <v>1185</v>
      </c>
      <c r="AG5" s="62" t="s">
        <v>1186</v>
      </c>
      <c r="AH5" s="1046" t="s">
        <v>1187</v>
      </c>
      <c r="AI5" s="1708" t="s">
        <v>1188</v>
      </c>
      <c r="AJ5" s="1708" t="s">
        <v>1189</v>
      </c>
      <c r="AK5" s="1047" t="s">
        <v>1190</v>
      </c>
      <c r="AL5" s="1047" t="s">
        <v>1191</v>
      </c>
      <c r="AM5" s="62" t="s">
        <v>1192</v>
      </c>
      <c r="AN5" s="1709" t="s">
        <v>1193</v>
      </c>
      <c r="AO5" s="1562" t="s">
        <v>1194</v>
      </c>
      <c r="AP5" s="1028" t="s">
        <v>1195</v>
      </c>
      <c r="AQ5" s="1710" t="s">
        <v>1196</v>
      </c>
      <c r="AR5" s="1710" t="s">
        <v>1197</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1" t="str">
        <f>'数据-汇总表'!C19</f>
        <v>体育场馆</v>
      </c>
      <c r="B6" s="1712" t="str">
        <f>IF(A6=0,"","经营性")</f>
        <v>经营性</v>
      </c>
      <c r="C6" s="1713" t="s">
        <v>3389</v>
      </c>
      <c r="D6" s="858">
        <f>SUMIF(项目基本情况!C$12:I$12,C6,项目基本情况!C$14:I$14)</f>
        <v>50</v>
      </c>
      <c r="E6" s="857">
        <f>IF(B6="","",SUMIF(项目基本情况!C$12:I$12,C6,项目基本情况!C$13:I$13))</f>
        <v>56854</v>
      </c>
      <c r="F6" s="64">
        <f>SUMIF(项目基本情况!C$12:I$12,C6,项目基本情况!C$15:I$15)</f>
        <v>31.51</v>
      </c>
      <c r="G6" s="65">
        <f>IF(ISERROR(ROUND(POWER(1+H6,D6-F6)*(POWER(1+H6,F6)-1)/(POWER(1+H6,D6)-1),3)),0,ROUND(POWER(1+H6,D6-F6)*(POWER(1+H6,F6)-1)/(POWER(1+H6,D6)-1),3))</f>
        <v>0.86</v>
      </c>
      <c r="H6" s="732">
        <v>0.05</v>
      </c>
      <c r="I6" s="732">
        <v>5.5E-2</v>
      </c>
      <c r="J6" s="66">
        <v>7.0000000000000007E-2</v>
      </c>
      <c r="K6" s="1030">
        <f>SUMIF('数据-汇总表'!C$19:C$33,A6,'数据-汇总表'!E$19:E$33)</f>
        <v>63063.880000000005</v>
      </c>
      <c r="L6" s="733">
        <v>8000</v>
      </c>
      <c r="M6" s="67">
        <f t="shared" ref="M6:M14" si="0">ROUND(K6*L6/10000,0)</f>
        <v>50451</v>
      </c>
      <c r="N6" s="731">
        <v>0.8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3"/>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4"/>
      <c r="AO6" s="52" t="e">
        <f ca="1">SUMIF(INDIRECT("'"&amp;AN6&amp;"'"&amp;"!A:A"),"总价",INDIRECT("'"&amp;AN6&amp;"'"&amp;"!B:B"))</f>
        <v>#REF!</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9"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9"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9"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9"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9"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9"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9"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9" customFormat="1" ht="14.25">
      <c r="A14" s="1716" t="s">
        <v>1198</v>
      </c>
      <c r="B14" s="1712" t="s">
        <v>1199</v>
      </c>
      <c r="C14" s="1717" t="s">
        <v>1198</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9" customFormat="1" ht="27">
      <c r="A15" s="1716" t="s">
        <v>1200</v>
      </c>
      <c r="B15" s="1712" t="s">
        <v>1199</v>
      </c>
      <c r="C15" s="1717" t="s">
        <v>1201</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9" customFormat="1" ht="15.75" thickBot="1">
      <c r="A16" s="1718" t="s">
        <v>1202</v>
      </c>
      <c r="B16" s="88"/>
      <c r="C16" s="833"/>
      <c r="D16" s="1719"/>
      <c r="E16" s="88"/>
      <c r="F16" s="88"/>
      <c r="G16" s="89">
        <f>ROUND(SUMPRODUCT(G6:G13,K6:K13)/SUMPRODUCT((G6:G13&gt;0)*(K6:K13)),3)</f>
        <v>0.86</v>
      </c>
      <c r="H16" s="90">
        <f>ROUND(SUMPRODUCT(H6:H13,K6:K13)/SUMPRODUCT((H6:H13&gt;0)*(K6:K13)),3)</f>
        <v>0.05</v>
      </c>
      <c r="I16" s="91"/>
      <c r="J16" s="91"/>
      <c r="K16" s="92">
        <f>SUM(K6:K15)</f>
        <v>63063.880000000005</v>
      </c>
      <c r="L16" s="93">
        <f>ROUND(M16*10000/SUM(K6:K14),0)</f>
        <v>8000</v>
      </c>
      <c r="M16" s="93">
        <f>SUM(M6:M14)</f>
        <v>50451</v>
      </c>
      <c r="N16" s="94">
        <f>ROUND(SUMPRODUCT(M6:M14,N6:N14)/M16,3)</f>
        <v>0.8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1203</v>
      </c>
      <c r="B18" s="2682"/>
      <c r="C18" s="2670"/>
      <c r="D18" s="2673"/>
      <c r="E18" s="2670"/>
      <c r="F18" s="2670"/>
      <c r="G18" s="2670"/>
      <c r="H18" s="2670"/>
      <c r="I18" s="2670"/>
      <c r="J18" s="2670"/>
      <c r="K18" s="2669"/>
      <c r="L18" s="2669"/>
      <c r="M18" s="3444" t="s">
        <v>3391</v>
      </c>
      <c r="N18" s="2668">
        <v>2008</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1204</v>
      </c>
      <c r="B19" s="103">
        <v>0</v>
      </c>
      <c r="C19" s="2796" t="s">
        <v>2291</v>
      </c>
      <c r="D19" s="2673"/>
      <c r="E19" s="2670"/>
      <c r="F19" s="2670"/>
      <c r="G19" s="2670"/>
      <c r="H19" s="2670"/>
      <c r="I19" s="2670"/>
      <c r="J19" s="2670"/>
      <c r="K19" s="2669"/>
      <c r="L19" s="2669"/>
      <c r="M19" s="3444" t="s">
        <v>3392</v>
      </c>
      <c r="N19" s="2668">
        <f>ROUND(1-(1-0%)*(2024-N18)/60,3)</f>
        <v>0.73299999999999998</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1205</v>
      </c>
      <c r="B20" s="104">
        <v>3</v>
      </c>
      <c r="C20" s="2797" t="s">
        <v>2289</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3" t="s">
        <v>1206</v>
      </c>
      <c r="B21" s="104">
        <f>B20</f>
        <v>3</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2" t="s">
        <v>1207</v>
      </c>
      <c r="B22" s="105">
        <f>B19+B20</f>
        <v>3</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3" t="s">
        <v>1208</v>
      </c>
      <c r="B23" s="105">
        <f>B19+B21</f>
        <v>3</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1209</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6"/>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1210</v>
      </c>
      <c r="B26" s="1725" t="s">
        <v>1211</v>
      </c>
      <c r="C26" s="2674" t="s">
        <v>1212</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1213</v>
      </c>
      <c r="B27" s="107">
        <v>160</v>
      </c>
      <c r="C27" s="2798" t="s">
        <v>2293</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1214</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1215</v>
      </c>
      <c r="B29" s="112">
        <f ca="1">成本法!C10</f>
        <v>1261</v>
      </c>
      <c r="C29" s="2799" t="s">
        <v>2280</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1216</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1217</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1218</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1219</v>
      </c>
      <c r="B33" s="673">
        <v>0.05</v>
      </c>
      <c r="C33" s="2800" t="s">
        <v>2281</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1220</v>
      </c>
      <c r="B34" s="113">
        <v>0</v>
      </c>
      <c r="C34" s="2800" t="s">
        <v>2282</v>
      </c>
      <c r="D34" s="2681" t="s">
        <v>2290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1221</v>
      </c>
      <c r="B35" s="110">
        <f>B30</f>
        <v>200</v>
      </c>
      <c r="C35" s="2800" t="s">
        <v>2283</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1222</v>
      </c>
      <c r="B36" s="114">
        <v>0.02</v>
      </c>
      <c r="C36" s="2800" t="s">
        <v>2284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1223</v>
      </c>
      <c r="B37" s="115">
        <v>0.03</v>
      </c>
      <c r="C37" s="2800" t="s">
        <v>2285</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1224</v>
      </c>
      <c r="B38" s="113">
        <v>0.03</v>
      </c>
      <c r="C38" s="2800" t="s">
        <v>2285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1225</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2300</v>
      </c>
      <c r="B40" s="1078">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1226</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1227</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1228</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1229</v>
      </c>
      <c r="B44" s="119">
        <v>7.0000000000000007E-2</v>
      </c>
      <c r="C44" s="2800" t="s">
        <v>2294</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1230</v>
      </c>
      <c r="B45" s="117">
        <v>0.03</v>
      </c>
      <c r="C45" s="2799" t="s">
        <v>2286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1231</v>
      </c>
      <c r="B46" s="117">
        <v>0.02</v>
      </c>
      <c r="C46" s="2799" t="s">
        <v>2287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1232</v>
      </c>
      <c r="B47" s="120">
        <v>0</v>
      </c>
      <c r="C47" s="2802" t="s">
        <v>2295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1233</v>
      </c>
      <c r="B48" s="121">
        <v>0.03</v>
      </c>
      <c r="C48" s="2799" t="s">
        <v>2286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1234</v>
      </c>
      <c r="B49" s="117">
        <v>5.0000000000000001E-4</v>
      </c>
      <c r="C49" s="2799" t="s">
        <v>2288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1235</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1236</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1237</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1238</v>
      </c>
      <c r="B53" s="1737"/>
      <c r="C53" s="2658" t="s">
        <v>1239</v>
      </c>
      <c r="D53" s="2801" t="s">
        <v>2292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1240</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1241</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1242</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1243</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1244</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1245</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1246</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1247</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1248</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1249</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W45" sqref="W45"/>
      <selection pane="topRight" activeCell="W45" sqref="W45"/>
      <selection pane="bottomLeft" activeCell="W45" sqref="W45"/>
      <selection pane="bottomRight" activeCell="C10" sqref="C10"/>
    </sheetView>
  </sheetViews>
  <sheetFormatPr defaultColWidth="9" defaultRowHeight="14.25"/>
  <cols>
    <col min="1" max="1" width="9.5" style="1685"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5"/>
  </cols>
  <sheetData>
    <row r="1" spans="1:29" s="2456" customFormat="1" ht="18.75" thickBot="1">
      <c r="A1" s="3589" t="s">
        <v>2272</v>
      </c>
      <c r="B1" s="3590"/>
      <c r="C1" s="3590"/>
      <c r="D1" s="3590"/>
      <c r="E1" s="3590"/>
      <c r="F1" s="3590"/>
      <c r="G1" s="359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2268</v>
      </c>
      <c r="D2" s="2460"/>
      <c r="E2" s="2457"/>
      <c r="F2" s="2461"/>
      <c r="G2" s="2459" t="s">
        <v>2269</v>
      </c>
      <c r="H2" s="799"/>
      <c r="I2" s="799"/>
      <c r="J2" s="799"/>
      <c r="K2" s="799"/>
      <c r="L2" s="799"/>
      <c r="M2" s="799"/>
      <c r="N2" s="799"/>
      <c r="O2" s="799"/>
      <c r="P2" s="799"/>
      <c r="Q2" s="799"/>
      <c r="R2" s="799"/>
    </row>
    <row r="3" spans="1:29" ht="25.5">
      <c r="A3" s="2440" t="s">
        <v>2270</v>
      </c>
      <c r="B3" s="2462" t="s">
        <v>2242</v>
      </c>
      <c r="C3" s="3498" t="s">
        <v>3636</v>
      </c>
      <c r="D3" s="2463"/>
      <c r="E3" s="2441" t="s">
        <v>2270</v>
      </c>
      <c r="F3" s="2464" t="s">
        <v>2243</v>
      </c>
      <c r="G3" s="2465" t="s">
        <v>2271</v>
      </c>
      <c r="H3" s="799"/>
      <c r="I3" s="799"/>
      <c r="J3" s="799"/>
      <c r="K3" s="799"/>
      <c r="L3" s="799"/>
      <c r="M3" s="799"/>
      <c r="N3" s="799"/>
      <c r="O3" s="799"/>
      <c r="P3" s="799"/>
      <c r="Q3" s="799"/>
      <c r="R3" s="799"/>
    </row>
    <row r="4" spans="1:29" ht="36">
      <c r="A4" s="2441"/>
      <c r="B4" s="323" t="s">
        <v>2244</v>
      </c>
      <c r="C4" s="3499" t="s">
        <v>3637</v>
      </c>
      <c r="D4" s="2463"/>
      <c r="E4" s="2466"/>
      <c r="F4" s="1373" t="s">
        <v>2245</v>
      </c>
      <c r="G4" s="2467" t="s">
        <v>2246</v>
      </c>
      <c r="H4" s="799"/>
      <c r="I4" s="799"/>
      <c r="J4" s="799"/>
      <c r="K4" s="799"/>
      <c r="L4" s="799"/>
      <c r="M4" s="799"/>
      <c r="N4" s="799"/>
      <c r="O4" s="799"/>
      <c r="P4" s="799"/>
      <c r="Q4" s="799"/>
      <c r="R4" s="799"/>
    </row>
    <row r="5" spans="1:29" ht="24">
      <c r="A5" s="2441"/>
      <c r="B5" s="323" t="s">
        <v>2247</v>
      </c>
      <c r="C5" s="3499" t="s">
        <v>3637</v>
      </c>
      <c r="D5" s="2463"/>
      <c r="E5" s="2466"/>
      <c r="F5" s="323" t="s">
        <v>2248</v>
      </c>
      <c r="G5" s="2467" t="s">
        <v>2249</v>
      </c>
      <c r="H5" s="799"/>
      <c r="I5" s="799"/>
      <c r="J5" s="799"/>
      <c r="K5" s="799"/>
      <c r="L5" s="799"/>
      <c r="M5" s="799"/>
      <c r="N5" s="799"/>
      <c r="O5" s="799"/>
      <c r="P5" s="799"/>
      <c r="Q5" s="799"/>
      <c r="R5" s="799"/>
    </row>
    <row r="6" spans="1:29">
      <c r="A6" s="2441"/>
      <c r="B6" s="323" t="s">
        <v>2250</v>
      </c>
      <c r="C6" s="3500" t="s">
        <v>3638</v>
      </c>
      <c r="D6" s="2463"/>
      <c r="E6" s="2466"/>
      <c r="F6" s="323" t="s">
        <v>2251</v>
      </c>
      <c r="G6" s="2467" t="s">
        <v>2252</v>
      </c>
      <c r="H6" s="799"/>
      <c r="I6" s="799"/>
      <c r="J6" s="799"/>
      <c r="K6" s="799"/>
      <c r="L6" s="799"/>
      <c r="M6" s="799"/>
      <c r="N6" s="799"/>
      <c r="O6" s="799"/>
      <c r="P6" s="799"/>
      <c r="Q6" s="799"/>
      <c r="R6" s="799"/>
    </row>
    <row r="7" spans="1:29" ht="24.75" thickBot="1">
      <c r="A7" s="2441"/>
      <c r="B7" s="323" t="s">
        <v>2248</v>
      </c>
      <c r="C7" s="3500" t="s">
        <v>3638</v>
      </c>
      <c r="D7" s="2468"/>
      <c r="E7" s="2469"/>
      <c r="F7" s="2470" t="s">
        <v>2253</v>
      </c>
      <c r="G7" s="2471" t="s">
        <v>2254</v>
      </c>
      <c r="H7" s="799"/>
      <c r="I7" s="799"/>
      <c r="J7" s="799"/>
      <c r="K7" s="799"/>
      <c r="L7" s="799"/>
      <c r="M7" s="799"/>
      <c r="N7" s="799"/>
      <c r="O7" s="799"/>
      <c r="P7" s="799"/>
      <c r="Q7" s="799"/>
      <c r="R7" s="799"/>
    </row>
    <row r="8" spans="1:29">
      <c r="A8" s="2441"/>
      <c r="B8" s="323" t="s">
        <v>2251</v>
      </c>
      <c r="C8" s="3500" t="s">
        <v>3639</v>
      </c>
      <c r="D8" s="2468"/>
      <c r="E8" s="2468"/>
      <c r="F8" s="2472"/>
      <c r="G8" s="2472"/>
      <c r="H8" s="799"/>
      <c r="I8" s="799"/>
      <c r="J8" s="799"/>
      <c r="K8" s="799"/>
      <c r="L8" s="799"/>
      <c r="M8" s="799"/>
      <c r="N8" s="799"/>
      <c r="O8" s="799"/>
      <c r="P8" s="799"/>
      <c r="Q8" s="799"/>
      <c r="R8" s="799"/>
    </row>
    <row r="9" spans="1:29">
      <c r="A9" s="2441"/>
      <c r="B9" s="323" t="s">
        <v>2255</v>
      </c>
      <c r="C9" s="3499" t="s">
        <v>3638</v>
      </c>
      <c r="D9" s="2463"/>
      <c r="E9" s="2468"/>
      <c r="F9" s="2472"/>
      <c r="G9" s="2472"/>
      <c r="H9" s="799"/>
      <c r="I9" s="799"/>
      <c r="J9" s="799"/>
      <c r="K9" s="799"/>
      <c r="L9" s="799"/>
      <c r="M9" s="799"/>
      <c r="N9" s="799"/>
      <c r="O9" s="799"/>
      <c r="P9" s="799"/>
      <c r="Q9" s="799"/>
      <c r="R9" s="799"/>
    </row>
    <row r="10" spans="1:29" s="2478" customFormat="1" ht="15" thickBot="1">
      <c r="A10" s="2442"/>
      <c r="B10" s="2473" t="s">
        <v>2256</v>
      </c>
      <c r="C10" s="2474"/>
      <c r="D10" s="2463"/>
      <c r="E10" s="2463"/>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3"/>
      <c r="D11" s="2463"/>
      <c r="E11" s="2463"/>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8">
      <c r="A12" s="2479"/>
      <c r="B12" s="2468"/>
      <c r="C12" s="2463"/>
      <c r="D12" s="2481"/>
      <c r="E12" s="2463"/>
      <c r="F12" s="2468"/>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75" thickBot="1">
      <c r="A13" s="2487" t="s">
        <v>2273</v>
      </c>
      <c r="B13" s="2481"/>
      <c r="C13" s="2481"/>
      <c r="D13" s="2479"/>
      <c r="E13" s="2481"/>
      <c r="F13" s="2481"/>
      <c r="G13" s="2481"/>
    </row>
    <row r="14" spans="1:29" ht="15" thickBot="1">
      <c r="A14" s="2491"/>
      <c r="B14" s="2491"/>
      <c r="C14" s="2492" t="s">
        <v>2257</v>
      </c>
      <c r="D14" s="2463"/>
      <c r="E14" s="2493"/>
      <c r="F14" s="2493"/>
      <c r="G14" s="2459" t="s">
        <v>2258</v>
      </c>
    </row>
    <row r="15" spans="1:29" ht="25.5">
      <c r="A15" s="2443" t="s">
        <v>2259</v>
      </c>
      <c r="B15" s="2494" t="s">
        <v>2242</v>
      </c>
      <c r="C15" s="2495" t="str">
        <f>C3</f>
        <v>较好</v>
      </c>
      <c r="D15" s="2463"/>
      <c r="E15" s="2444" t="s">
        <v>2260</v>
      </c>
      <c r="F15" s="2494" t="s">
        <v>2261</v>
      </c>
      <c r="G15" s="2496" t="str">
        <f>G3</f>
        <v>估价对象位于XX开发区，园区建设成熟度XX，产业集聚程度XX</v>
      </c>
    </row>
    <row r="16" spans="1:29" ht="38.25">
      <c r="A16" s="2445"/>
      <c r="B16" s="2497" t="s">
        <v>2244</v>
      </c>
      <c r="C16" s="2498" t="str">
        <f>C4</f>
        <v>较好</v>
      </c>
      <c r="D16" s="2463"/>
      <c r="E16" s="2446"/>
      <c r="F16" s="2499" t="s">
        <v>2245</v>
      </c>
      <c r="G16" s="2500" t="str">
        <f>G4</f>
        <v>估价对象周边道路状况、公共交通通达情况、停车便捷程度，综合评价交通便捷度较好</v>
      </c>
    </row>
    <row r="17" spans="1:18">
      <c r="A17" s="2445"/>
      <c r="B17" s="2497" t="s">
        <v>2247</v>
      </c>
      <c r="C17" s="2498" t="str">
        <f>C5</f>
        <v>较好</v>
      </c>
      <c r="D17" s="2468"/>
      <c r="E17" s="2446"/>
      <c r="F17" s="2499" t="s">
        <v>2262</v>
      </c>
      <c r="G17" s="2501"/>
    </row>
    <row r="18" spans="1:18" ht="25.5">
      <c r="A18" s="2445"/>
      <c r="B18" s="2499" t="s">
        <v>2250</v>
      </c>
      <c r="C18" s="2500" t="str">
        <f>C6</f>
        <v>较好</v>
      </c>
      <c r="D18" s="2468"/>
      <c r="E18" s="2446"/>
      <c r="F18" s="2499" t="s">
        <v>2253</v>
      </c>
      <c r="G18" s="2500" t="str">
        <f>G7</f>
        <v>该园区内是否有污染型企业，绿化情况，卫生条件，整体环境状况判断</v>
      </c>
    </row>
    <row r="19" spans="1:18" ht="25.5">
      <c r="A19" s="2445"/>
      <c r="B19" s="2499" t="s">
        <v>2263</v>
      </c>
      <c r="C19" s="2501"/>
      <c r="D19" s="2463"/>
      <c r="E19" s="2446"/>
      <c r="F19" s="323" t="s">
        <v>2248</v>
      </c>
      <c r="G19" s="2500" t="str">
        <f>G5</f>
        <v>估价对象所在区域公共配套设施齐备情况</v>
      </c>
    </row>
    <row r="20" spans="1:18">
      <c r="A20" s="2445"/>
      <c r="B20" s="2499" t="s">
        <v>2264</v>
      </c>
      <c r="C20" s="2498" t="str">
        <f>C9</f>
        <v>较好</v>
      </c>
      <c r="D20" s="2468"/>
      <c r="E20" s="2446"/>
      <c r="F20" s="323" t="s">
        <v>2251</v>
      </c>
      <c r="G20" s="2500" t="str">
        <f>G6</f>
        <v>估价对象所在区域基础设施水平</v>
      </c>
    </row>
    <row r="21" spans="1:18">
      <c r="A21" s="2445"/>
      <c r="B21" s="323" t="s">
        <v>2248</v>
      </c>
      <c r="C21" s="2500" t="str">
        <f>C7</f>
        <v>较好</v>
      </c>
      <c r="D21" s="2463"/>
      <c r="E21" s="2446"/>
      <c r="F21" s="2499" t="s">
        <v>2265</v>
      </c>
      <c r="G21" s="2502"/>
    </row>
    <row r="22" spans="1:18" ht="13.5" customHeight="1">
      <c r="A22" s="2445"/>
      <c r="B22" s="323" t="s">
        <v>2251</v>
      </c>
      <c r="C22" s="2500" t="str">
        <f>C8</f>
        <v>七通</v>
      </c>
      <c r="D22" s="2463"/>
      <c r="E22" s="2446"/>
      <c r="F22" s="2499" t="s">
        <v>2256</v>
      </c>
      <c r="G22" s="2501"/>
    </row>
    <row r="23" spans="1:18" s="799" customFormat="1" ht="15" thickBot="1">
      <c r="A23" s="2445"/>
      <c r="B23" s="2499" t="s">
        <v>2265</v>
      </c>
      <c r="C23" s="2502"/>
      <c r="D23" s="1740"/>
      <c r="E23" s="2447"/>
      <c r="F23" s="2503" t="s">
        <v>2266</v>
      </c>
      <c r="G23" s="2504"/>
      <c r="H23" s="2488"/>
      <c r="I23" s="2489"/>
      <c r="J23" s="2488"/>
      <c r="K23" s="2488"/>
      <c r="L23" s="2489"/>
      <c r="M23" s="2488"/>
      <c r="N23" s="2488"/>
      <c r="O23" s="2489"/>
      <c r="P23" s="2488"/>
      <c r="Q23" s="2488"/>
      <c r="R23" s="2490"/>
    </row>
    <row r="24" spans="1:18" s="799" customFormat="1" ht="15" thickBot="1">
      <c r="A24" s="2448"/>
      <c r="B24" s="2503" t="s">
        <v>2267</v>
      </c>
      <c r="C24" s="2505">
        <f>C10</f>
        <v>0</v>
      </c>
      <c r="D24" s="1740"/>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M19" sqref="M19"/>
    </sheetView>
  </sheetViews>
  <sheetFormatPr defaultColWidth="9" defaultRowHeight="13.5"/>
  <cols>
    <col min="1" max="1" width="25" style="2510" customWidth="1"/>
    <col min="2" max="9" width="15.75" style="2510" customWidth="1"/>
    <col min="10" max="16384" width="9" style="2510"/>
  </cols>
  <sheetData>
    <row r="1" spans="1:11" ht="16.5">
      <c r="A1" s="2509" t="s">
        <v>660</v>
      </c>
      <c r="B1" s="2509">
        <f>SUM(B14:B23)</f>
        <v>265566.78999999998</v>
      </c>
      <c r="C1" s="2683"/>
      <c r="D1" s="2683"/>
      <c r="E1" s="2683"/>
      <c r="F1" s="2683"/>
      <c r="G1" s="2684"/>
      <c r="H1" s="2685"/>
      <c r="I1" s="2685"/>
      <c r="J1" s="2685"/>
      <c r="K1" s="2685"/>
    </row>
    <row r="2" spans="1:11" ht="16.5">
      <c r="A2" s="2509" t="s">
        <v>648</v>
      </c>
      <c r="B2" s="2509">
        <f>SUM(C14:C23)</f>
        <v>0</v>
      </c>
      <c r="C2" s="2683"/>
      <c r="D2" s="2683"/>
      <c r="E2" s="2683"/>
      <c r="F2" s="2683"/>
      <c r="G2" s="2684"/>
      <c r="H2" s="2685"/>
      <c r="I2" s="2685"/>
      <c r="J2" s="2685"/>
      <c r="K2" s="2685"/>
    </row>
    <row r="3" spans="1:11" ht="16.5">
      <c r="A3" s="2509" t="s">
        <v>657</v>
      </c>
      <c r="B3" s="2511">
        <f>项目基本情况!D3</f>
        <v>45352</v>
      </c>
      <c r="C3" s="2683"/>
      <c r="D3" s="2683"/>
      <c r="E3" s="2683"/>
      <c r="F3" s="2683"/>
      <c r="G3" s="2684"/>
      <c r="H3" s="2685"/>
      <c r="I3" s="2685"/>
      <c r="J3" s="2685"/>
      <c r="K3" s="2685"/>
    </row>
    <row r="4" spans="1:11" ht="33">
      <c r="A4" s="2509" t="s">
        <v>656</v>
      </c>
      <c r="B4" s="2509" t="s">
        <v>655</v>
      </c>
      <c r="C4" s="2509" t="s">
        <v>654</v>
      </c>
      <c r="D4" s="2509" t="s">
        <v>653</v>
      </c>
      <c r="E4" s="2683"/>
      <c r="F4" s="2684"/>
      <c r="G4" s="2684"/>
      <c r="H4" s="2685"/>
      <c r="I4" s="2685"/>
      <c r="J4" s="2685"/>
      <c r="K4" s="2685"/>
    </row>
    <row r="5" spans="1:11" ht="16.5">
      <c r="A5" s="2509" t="s">
        <v>652</v>
      </c>
      <c r="B5" s="2509">
        <f ca="1">SUM(D14:D23)</f>
        <v>779602</v>
      </c>
      <c r="C5" s="2509">
        <f ca="1">IF(B5=D14,结果表!H102,ROUND(B5*10000/$B$1,0))</f>
        <v>29356</v>
      </c>
      <c r="D5" s="2509" t="e">
        <f ca="1">ROUND(B5*10000/$B$2,0)</f>
        <v>#DIV/0!</v>
      </c>
      <c r="E5" s="2683"/>
      <c r="F5" s="2684"/>
      <c r="G5" s="2684"/>
      <c r="H5" s="2685"/>
      <c r="I5" s="2685"/>
      <c r="J5" s="2685"/>
      <c r="K5" s="2685"/>
    </row>
    <row r="6" spans="1:11" ht="16.5">
      <c r="A6" s="2509" t="s">
        <v>651</v>
      </c>
      <c r="B6" s="2509">
        <f ca="1">SUM(G14:G23)</f>
        <v>779602</v>
      </c>
      <c r="C6" s="2509">
        <f ca="1">IF(B6=G14,结果表!H108,ROUND(B6*10000/$B$1,0))</f>
        <v>29356</v>
      </c>
      <c r="D6" s="2509" t="e">
        <f ca="1">ROUND(B6*10000/$B$2,0)</f>
        <v>#DIV/0!</v>
      </c>
      <c r="E6" s="2683"/>
      <c r="F6" s="2684"/>
      <c r="G6" s="2684"/>
      <c r="H6" s="2685"/>
      <c r="I6" s="2685"/>
      <c r="J6" s="2685"/>
      <c r="K6" s="2685"/>
    </row>
    <row r="7" spans="1:11" ht="16.5">
      <c r="A7" s="2509" t="s">
        <v>659</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 ca="1">SUM(I14:I23)</f>
        <v>698055</v>
      </c>
      <c r="C8" s="2509">
        <f ca="1">IF(B8=I14,结果表!H112,ROUND(B8*10000/$B$1,0))</f>
        <v>26285</v>
      </c>
      <c r="D8" s="2509" t="e">
        <f ca="1">ROUND(B8*10000/$B$2,0)</f>
        <v>#DIV/0!</v>
      </c>
      <c r="E8" s="2683"/>
      <c r="F8" s="2684"/>
      <c r="G8" s="2684"/>
      <c r="H8" s="2685"/>
      <c r="I8" s="2685"/>
      <c r="J8" s="2685"/>
      <c r="K8" s="2685"/>
    </row>
    <row r="9" spans="1:11" ht="16.5">
      <c r="A9" s="2509" t="s">
        <v>650</v>
      </c>
      <c r="B9" s="2517"/>
      <c r="C9" s="2683"/>
      <c r="D9" s="2683"/>
      <c r="E9" s="2683"/>
      <c r="F9" s="2684"/>
      <c r="G9" s="2684"/>
      <c r="H9" s="2685"/>
      <c r="I9" s="2685"/>
      <c r="J9" s="2685" t="s">
        <v>3655</v>
      </c>
      <c r="K9" s="2685"/>
    </row>
    <row r="10" spans="1:11" ht="16.5">
      <c r="A10" s="2509" t="s">
        <v>649</v>
      </c>
      <c r="B10" s="2509">
        <f>IF(E10="",0,ROUND(B1*(E10*365/G10)/10000,0))</f>
        <v>0</v>
      </c>
      <c r="C10" s="2509" t="s">
        <v>3344</v>
      </c>
      <c r="D10" s="2509" t="s">
        <v>3345</v>
      </c>
      <c r="E10" s="3436"/>
      <c r="F10" s="3440" t="s">
        <v>3346</v>
      </c>
      <c r="G10" s="3437"/>
      <c r="H10" s="2685"/>
      <c r="I10" s="2685"/>
      <c r="J10" s="2685"/>
      <c r="K10" s="2685"/>
    </row>
    <row r="11" spans="1:11" ht="16.5">
      <c r="A11" s="2509" t="s">
        <v>665</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664</v>
      </c>
      <c r="B13" s="2513" t="s">
        <v>661</v>
      </c>
      <c r="C13" s="2513" t="s">
        <v>663</v>
      </c>
      <c r="D13" s="2513" t="s">
        <v>662</v>
      </c>
      <c r="E13" s="2509" t="s">
        <v>654</v>
      </c>
      <c r="F13" s="2509" t="s">
        <v>653</v>
      </c>
      <c r="G13" s="2513" t="s">
        <v>647</v>
      </c>
      <c r="H13" s="2513" t="s">
        <v>658</v>
      </c>
      <c r="I13" s="2513" t="s">
        <v>646</v>
      </c>
      <c r="J13" s="2684"/>
      <c r="K13" s="2685"/>
    </row>
    <row r="14" spans="1:11" ht="16.5">
      <c r="A14" s="2514" t="s">
        <v>645</v>
      </c>
      <c r="B14" s="2515">
        <f>结果表!B118</f>
        <v>63063.880000000005</v>
      </c>
      <c r="C14" s="2515">
        <f>结果表!C118</f>
        <v>0</v>
      </c>
      <c r="D14" s="2515">
        <f ca="1">结果表!H101</f>
        <v>117030</v>
      </c>
      <c r="E14" s="2515">
        <f ca="1">ROUND(D14*10000/B14,0)</f>
        <v>18557</v>
      </c>
      <c r="F14" s="2515" t="e">
        <f ca="1">ROUND(D14*10000/C14,0)</f>
        <v>#DIV/0!</v>
      </c>
      <c r="G14" s="2515">
        <f ca="1">结果表!H107</f>
        <v>117030</v>
      </c>
      <c r="H14" s="2515"/>
      <c r="I14" s="2515">
        <f ca="1">结果表!H111</f>
        <v>113502</v>
      </c>
      <c r="J14" s="2684"/>
      <c r="K14" s="2685"/>
    </row>
    <row r="15" spans="1:11" ht="16.5">
      <c r="A15" s="2514" t="s">
        <v>3650</v>
      </c>
      <c r="B15" s="2516">
        <f>[6]系统读取表!B14</f>
        <v>39266.81</v>
      </c>
      <c r="C15" s="2516">
        <f>[6]系统读取表!C14</f>
        <v>0</v>
      </c>
      <c r="D15" s="2516">
        <f ca="1">[6]系统读取表!D14</f>
        <v>104395</v>
      </c>
      <c r="E15" s="2515">
        <f t="shared" ref="E15:E23" ca="1" si="0">ROUND(D15*10000/B15,0)</f>
        <v>26586</v>
      </c>
      <c r="F15" s="2515" t="e">
        <f t="shared" ref="F15:F23" ca="1" si="1">ROUND(D15*10000/C15,0)</f>
        <v>#DIV/0!</v>
      </c>
      <c r="G15" s="2516">
        <f ca="1">[6]系统读取表!G14</f>
        <v>104395</v>
      </c>
      <c r="H15" s="1331"/>
      <c r="I15" s="2516">
        <f ca="1">[6]系统读取表!I14</f>
        <v>99325</v>
      </c>
      <c r="J15" s="2684"/>
      <c r="K15" s="2685"/>
    </row>
    <row r="16" spans="1:11" ht="16.5">
      <c r="A16" s="2514" t="s">
        <v>3651</v>
      </c>
      <c r="B16" s="2516">
        <f>[7]系统读取表!B14</f>
        <v>13059.5</v>
      </c>
      <c r="C16" s="2516">
        <f>[7]系统读取表!C14</f>
        <v>0</v>
      </c>
      <c r="D16" s="2516">
        <f ca="1">[7]系统读取表!D14</f>
        <v>37425</v>
      </c>
      <c r="E16" s="2515">
        <f t="shared" ca="1" si="0"/>
        <v>28657</v>
      </c>
      <c r="F16" s="2515" t="e">
        <f t="shared" ca="1" si="1"/>
        <v>#DIV/0!</v>
      </c>
      <c r="G16" s="2516">
        <f ca="1">[7]系统读取表!G14</f>
        <v>37425</v>
      </c>
      <c r="H16" s="1331"/>
      <c r="I16" s="2516">
        <f ca="1">[7]系统读取表!I14</f>
        <v>34682</v>
      </c>
      <c r="J16" s="2685"/>
      <c r="K16" s="2685"/>
    </row>
    <row r="17" spans="1:11" ht="16.5">
      <c r="A17" s="2514" t="s">
        <v>3652</v>
      </c>
      <c r="B17" s="2516">
        <f>[8]系统读取表!B14</f>
        <v>53108.289999999994</v>
      </c>
      <c r="C17" s="2516">
        <f>[8]系统读取表!C14</f>
        <v>0</v>
      </c>
      <c r="D17" s="2516">
        <f ca="1">[8]系统读取表!D14</f>
        <v>218030</v>
      </c>
      <c r="E17" s="2515">
        <f t="shared" ca="1" si="0"/>
        <v>41054</v>
      </c>
      <c r="F17" s="2515" t="e">
        <f t="shared" ca="1" si="1"/>
        <v>#DIV/0!</v>
      </c>
      <c r="G17" s="2516">
        <f ca="1">[8]系统读取表!G14</f>
        <v>218030</v>
      </c>
      <c r="H17" s="1331"/>
      <c r="I17" s="2516">
        <f ca="1">[8]系统读取表!I14</f>
        <v>191716</v>
      </c>
      <c r="J17" s="2685"/>
      <c r="K17" s="2685"/>
    </row>
    <row r="18" spans="1:11" ht="16.5">
      <c r="A18" s="2514" t="s">
        <v>3653</v>
      </c>
      <c r="B18" s="2516">
        <f>[9]系统读取表!B14</f>
        <v>53404.31</v>
      </c>
      <c r="C18" s="2516">
        <f>[9]系统读取表!C14</f>
        <v>0</v>
      </c>
      <c r="D18" s="2516">
        <f ca="1">[9]系统读取表!D14</f>
        <v>251420</v>
      </c>
      <c r="E18" s="2515">
        <f t="shared" ca="1" si="0"/>
        <v>47079</v>
      </c>
      <c r="F18" s="2515" t="e">
        <f t="shared" ca="1" si="1"/>
        <v>#DIV/0!</v>
      </c>
      <c r="G18" s="2516">
        <f ca="1">[9]系统读取表!G14</f>
        <v>251420</v>
      </c>
      <c r="H18" s="2516"/>
      <c r="I18" s="2516">
        <f ca="1">[9]系统读取表!I14</f>
        <v>215749</v>
      </c>
      <c r="J18" s="2685"/>
      <c r="K18" s="2685"/>
    </row>
    <row r="19" spans="1:11" ht="16.5">
      <c r="A19" s="2514" t="s">
        <v>3654</v>
      </c>
      <c r="B19" s="2516">
        <f>[4]系统读取表!B14</f>
        <v>43664</v>
      </c>
      <c r="C19" s="2516">
        <f>[4]系统读取表!C14</f>
        <v>0</v>
      </c>
      <c r="D19" s="2516">
        <f ca="1">[4]系统读取表!D14</f>
        <v>51302</v>
      </c>
      <c r="E19" s="2515">
        <f t="shared" ca="1" si="0"/>
        <v>11749</v>
      </c>
      <c r="F19" s="2515" t="e">
        <f t="shared" ca="1" si="1"/>
        <v>#DIV/0!</v>
      </c>
      <c r="G19" s="2516">
        <f ca="1">[4]系统读取表!G14</f>
        <v>51302</v>
      </c>
      <c r="H19" s="2516"/>
      <c r="I19" s="2516">
        <f ca="1">[4]系统读取表!I14</f>
        <v>43081</v>
      </c>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2" t="str">
        <f>项目基本情况!B1</f>
        <v>北京市房地产抵押价值预评估</v>
      </c>
      <c r="C37" s="3502"/>
      <c r="D37" s="3502"/>
      <c r="E37" s="3502"/>
      <c r="F37" s="3502"/>
      <c r="G37" s="3502"/>
      <c r="H37" s="3502"/>
      <c r="I37" s="350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G19" sqref="G19"/>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1255</v>
      </c>
      <c r="B1" s="1746"/>
      <c r="C1" s="1747"/>
      <c r="D1" s="1746"/>
      <c r="E1" s="1746"/>
      <c r="F1" s="1748" t="s">
        <v>1256</v>
      </c>
      <c r="G1" s="1561" t="s">
        <v>3382</v>
      </c>
      <c r="H1" s="1749" t="str">
        <f>IF(G1="现房","——","估价对象范围")</f>
        <v>——</v>
      </c>
      <c r="I1" s="1750"/>
    </row>
    <row r="2" spans="1:12" ht="21.75" customHeight="1" thickBot="1">
      <c r="A2" s="3658" t="str">
        <f>项目基本情况!S2</f>
        <v>北京市房地产</v>
      </c>
      <c r="B2" s="3659"/>
      <c r="C2" s="3659"/>
      <c r="D2" s="3659"/>
      <c r="E2" s="3659"/>
      <c r="F2" s="3659"/>
      <c r="G2" s="3659"/>
      <c r="H2" s="3659"/>
      <c r="I2" s="3660"/>
    </row>
    <row r="3" spans="1:12" ht="12.75">
      <c r="A3" s="3662" t="s">
        <v>1257</v>
      </c>
      <c r="B3" s="3663"/>
      <c r="C3" s="3663"/>
      <c r="D3" s="3663"/>
      <c r="E3" s="3663"/>
      <c r="F3" s="3663"/>
      <c r="G3" s="3663"/>
      <c r="H3" s="3663"/>
      <c r="I3" s="3663"/>
    </row>
    <row r="4" spans="1:12" ht="14.25">
      <c r="A4" s="1753" t="s">
        <v>1258</v>
      </c>
      <c r="B4" s="1754" t="s">
        <v>1259</v>
      </c>
      <c r="C4" s="1755" t="s">
        <v>3514</v>
      </c>
      <c r="D4" s="1755" t="s">
        <v>3515</v>
      </c>
      <c r="E4" s="3667" t="s">
        <v>1260</v>
      </c>
      <c r="F4" s="3668"/>
      <c r="G4" s="3668"/>
      <c r="H4" s="3668"/>
      <c r="I4" s="366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6" t="s">
        <v>1261</v>
      </c>
      <c r="B5" s="3661">
        <v>25</v>
      </c>
      <c r="C5" s="3664"/>
      <c r="D5" s="3652"/>
      <c r="E5" s="131" t="s">
        <v>1262</v>
      </c>
      <c r="F5" s="1756"/>
      <c r="G5" s="1756"/>
      <c r="H5" s="1756"/>
      <c r="I5" s="1373"/>
    </row>
    <row r="6" spans="1:12" ht="12.75">
      <c r="A6" s="3606"/>
      <c r="B6" s="3661"/>
      <c r="C6" s="3666"/>
      <c r="D6" s="3652"/>
      <c r="E6" s="131" t="s">
        <v>1263</v>
      </c>
      <c r="F6" s="1756"/>
      <c r="G6" s="1756"/>
      <c r="H6" s="1756"/>
      <c r="I6" s="1373"/>
    </row>
    <row r="7" spans="1:12" ht="12.75">
      <c r="A7" s="3606"/>
      <c r="B7" s="3661"/>
      <c r="C7" s="3665"/>
      <c r="D7" s="3652"/>
      <c r="E7" s="131" t="s">
        <v>1264</v>
      </c>
      <c r="F7" s="1756"/>
      <c r="G7" s="1756"/>
      <c r="H7" s="1756"/>
      <c r="I7" s="1373"/>
    </row>
    <row r="8" spans="1:12" ht="12.75">
      <c r="A8" s="3606" t="s">
        <v>1265</v>
      </c>
      <c r="B8" s="3661">
        <v>15</v>
      </c>
      <c r="C8" s="3664"/>
      <c r="D8" s="3652"/>
      <c r="E8" s="131" t="s">
        <v>1266</v>
      </c>
      <c r="F8" s="1756"/>
      <c r="G8" s="1756"/>
      <c r="H8" s="1756"/>
      <c r="I8" s="1373"/>
    </row>
    <row r="9" spans="1:12" ht="12.75">
      <c r="A9" s="3606"/>
      <c r="B9" s="3661"/>
      <c r="C9" s="3665"/>
      <c r="D9" s="3652"/>
      <c r="E9" s="131" t="s">
        <v>1267</v>
      </c>
      <c r="F9" s="1756"/>
      <c r="G9" s="1756"/>
      <c r="H9" s="1756"/>
      <c r="I9" s="1373"/>
    </row>
    <row r="10" spans="1:12" ht="12.75">
      <c r="A10" s="3606" t="s">
        <v>1268</v>
      </c>
      <c r="B10" s="3661">
        <v>15</v>
      </c>
      <c r="C10" s="3664"/>
      <c r="D10" s="3652"/>
      <c r="E10" s="131" t="s">
        <v>1269</v>
      </c>
      <c r="F10" s="1756"/>
      <c r="G10" s="1756"/>
      <c r="H10" s="1756"/>
      <c r="I10" s="1373"/>
    </row>
    <row r="11" spans="1:12" ht="12.75">
      <c r="A11" s="3606"/>
      <c r="B11" s="3661"/>
      <c r="C11" s="3665"/>
      <c r="D11" s="3652"/>
      <c r="E11" s="131" t="s">
        <v>1270</v>
      </c>
      <c r="F11" s="1756"/>
      <c r="G11" s="1756"/>
      <c r="H11" s="1756"/>
      <c r="I11" s="1373"/>
    </row>
    <row r="12" spans="1:12" ht="12.75">
      <c r="A12" s="3606" t="s">
        <v>1271</v>
      </c>
      <c r="B12" s="3661">
        <v>15</v>
      </c>
      <c r="C12" s="3664"/>
      <c r="D12" s="3652"/>
      <c r="E12" s="131" t="s">
        <v>1272</v>
      </c>
      <c r="F12" s="1756"/>
      <c r="G12" s="1756"/>
      <c r="H12" s="1756"/>
      <c r="I12" s="1373"/>
    </row>
    <row r="13" spans="1:12" ht="12.75">
      <c r="A13" s="3606"/>
      <c r="B13" s="3661"/>
      <c r="C13" s="3665"/>
      <c r="D13" s="3652"/>
      <c r="E13" s="131" t="s">
        <v>1273</v>
      </c>
      <c r="F13" s="1756"/>
      <c r="G13" s="1756"/>
      <c r="H13" s="1756"/>
      <c r="I13" s="1373"/>
    </row>
    <row r="14" spans="1:12" ht="12.75">
      <c r="A14" s="3606" t="s">
        <v>1274</v>
      </c>
      <c r="B14" s="3661">
        <v>30</v>
      </c>
      <c r="C14" s="3664">
        <v>3</v>
      </c>
      <c r="D14" s="3652">
        <f>10-C14</f>
        <v>7</v>
      </c>
      <c r="E14" s="131" t="s">
        <v>1275</v>
      </c>
      <c r="F14" s="1756"/>
      <c r="G14" s="1756"/>
      <c r="H14" s="1756"/>
      <c r="I14" s="1373"/>
    </row>
    <row r="15" spans="1:12" ht="12.75">
      <c r="A15" s="3606"/>
      <c r="B15" s="3661"/>
      <c r="C15" s="3666"/>
      <c r="D15" s="3652"/>
      <c r="E15" s="131" t="s">
        <v>1276</v>
      </c>
      <c r="F15" s="1756"/>
      <c r="G15" s="1756"/>
      <c r="H15" s="1756"/>
      <c r="I15" s="1373"/>
    </row>
    <row r="16" spans="1:12" ht="12.75">
      <c r="A16" s="3606"/>
      <c r="B16" s="3661"/>
      <c r="C16" s="3665"/>
      <c r="D16" s="3652"/>
      <c r="E16" s="131" t="s">
        <v>1277</v>
      </c>
      <c r="F16" s="1756"/>
      <c r="G16" s="1756"/>
      <c r="H16" s="1756"/>
      <c r="I16" s="1373"/>
    </row>
    <row r="17" spans="1:36" ht="15">
      <c r="A17" s="1757" t="s">
        <v>1278</v>
      </c>
      <c r="B17" s="56"/>
      <c r="C17" s="132">
        <f>SUM(C5:C16)</f>
        <v>3</v>
      </c>
      <c r="D17" s="132">
        <f>SUM(D5:D16)</f>
        <v>7</v>
      </c>
      <c r="E17" s="129"/>
      <c r="F17" s="129"/>
      <c r="G17" s="129"/>
      <c r="H17" s="129"/>
      <c r="I17" s="129"/>
      <c r="K17" s="302"/>
      <c r="L17" s="302" t="s">
        <v>1279</v>
      </c>
      <c r="M17" s="302" t="s">
        <v>1280</v>
      </c>
    </row>
    <row r="18" spans="1:36" ht="31.9" customHeight="1" thickBot="1">
      <c r="A18" s="1758" t="s">
        <v>1281</v>
      </c>
      <c r="B18" s="1759"/>
      <c r="C18" s="133">
        <f>ROUND(C17/SUM(C17:D17),2)</f>
        <v>0.3</v>
      </c>
      <c r="D18" s="133">
        <f>1-C18</f>
        <v>0.7</v>
      </c>
      <c r="E18" s="3683" t="s">
        <v>2124</v>
      </c>
      <c r="F18" s="3684"/>
      <c r="G18" s="3684"/>
      <c r="H18" s="3684"/>
      <c r="I18" s="3684"/>
      <c r="K18" s="302" t="s">
        <v>1282</v>
      </c>
      <c r="L18" s="302">
        <f>IF(C1="",'数据-汇总表'!E3,SUMIF(项目类型,C1,'数据-汇总表'!E17:E26)+SUMIF(项目类型,C1,'数据-汇总表'!I17:I26))</f>
        <v>63063.880000000005</v>
      </c>
      <c r="M18" s="302">
        <f>IF(C1="",'数据-汇总表'!E3,SUMIF(项目类型,C1,'数据-汇总表'!E17:E26))</f>
        <v>63063.880000000005</v>
      </c>
    </row>
    <row r="19" spans="1:36" ht="15">
      <c r="A19" s="1760" t="s">
        <v>1283</v>
      </c>
      <c r="B19" s="1761" t="s">
        <v>1284</v>
      </c>
      <c r="C19" s="134">
        <f ca="1">SUMIF(INDIRECT("'"&amp;C4&amp;"'"&amp;"!A:A"),结果表!B19,INDIRECT("'"&amp;C4&amp;"'"&amp;"!B:B"))</f>
        <v>145320</v>
      </c>
      <c r="D19" s="135">
        <f ca="1">SUMIF(INDIRECT("'"&amp;D4&amp;"'"&amp;"!A:A"),结果表!B19,INDIRECT("'"&amp;D4&amp;"'"&amp;"!B:B"))</f>
        <v>104905</v>
      </c>
      <c r="E19" s="1760" t="s">
        <v>1285</v>
      </c>
      <c r="F19" s="1761" t="s">
        <v>1284</v>
      </c>
      <c r="G19" s="136">
        <f ca="1">ROUND(C19*$C$18+D19*$D$18,0)</f>
        <v>117030</v>
      </c>
      <c r="H19" s="1762" t="s">
        <v>1286</v>
      </c>
      <c r="I19" s="129"/>
      <c r="J19" s="3501" t="s">
        <v>3656</v>
      </c>
      <c r="K19" s="302" t="s">
        <v>1287</v>
      </c>
      <c r="L19" s="302">
        <f>IF(C1="",'数据-汇总表'!D3,SUMIF(项目类型,C1,'数据-汇总表'!D17:D26)+SUMIF(项目类型,C1,'数据-汇总表'!H17:H27))</f>
        <v>0</v>
      </c>
      <c r="M19" s="302">
        <f>IF(C1="",'数据-汇总表'!D3,SUMIF(项目类型,C1,'数据-汇总表'!D17:D26))</f>
        <v>0</v>
      </c>
    </row>
    <row r="20" spans="1:36" ht="15">
      <c r="A20" s="1763"/>
      <c r="B20" s="1026" t="s">
        <v>1288</v>
      </c>
      <c r="C20" s="137">
        <f ca="1">SUMIF(INDIRECT("'"&amp;C4&amp;"'"&amp;"!A:A"),结果表!B20,INDIRECT("'"&amp;C4&amp;"'"&amp;"!B:B"))</f>
        <v>23043</v>
      </c>
      <c r="D20" s="138">
        <f ca="1">SUMIF(INDIRECT("'"&amp;D4&amp;"'"&amp;"!A:A"),结果表!B20,INDIRECT("'"&amp;D4&amp;"'"&amp;"!B:B"))</f>
        <v>16635</v>
      </c>
      <c r="E20" s="1763"/>
      <c r="F20" s="1026" t="s">
        <v>1288</v>
      </c>
      <c r="G20" s="139">
        <f ca="1">ROUND(C20*$C$18+D20*$D$18,0)</f>
        <v>18557</v>
      </c>
      <c r="H20" s="808" t="s">
        <v>1289</v>
      </c>
      <c r="I20" s="129"/>
      <c r="J20" s="725">
        <v>212533</v>
      </c>
    </row>
    <row r="21" spans="1:36" ht="15" customHeight="1" thickBot="1">
      <c r="A21" s="828"/>
      <c r="B21" s="1764" t="s">
        <v>1290</v>
      </c>
      <c r="C21" s="719" t="e">
        <f ca="1">ROUND(C19*10000/L19,0)</f>
        <v>#DIV/0!</v>
      </c>
      <c r="D21" s="720" t="e">
        <f ca="1">ROUND(D19*10000/L19,0)</f>
        <v>#DIV/0!</v>
      </c>
      <c r="E21" s="828"/>
      <c r="F21" s="1764" t="s">
        <v>1290</v>
      </c>
      <c r="G21" s="140" t="e">
        <f ca="1">ROUND(G19*10000/L19,0)</f>
        <v>#DIV/0!</v>
      </c>
      <c r="H21" s="1765" t="s">
        <v>1289</v>
      </c>
      <c r="I21" s="129"/>
    </row>
    <row r="22" spans="1:36" ht="15" thickBot="1">
      <c r="A22" s="1687" t="s">
        <v>1291</v>
      </c>
      <c r="B22" s="1766"/>
      <c r="C22" s="1767"/>
      <c r="D22" s="721">
        <f ca="1">IF(C19&lt;D19,D19/C19-1,C19/D19-1)</f>
        <v>0.38525332443639493</v>
      </c>
      <c r="E22" s="129"/>
      <c r="F22" s="129"/>
      <c r="G22" s="129"/>
      <c r="H22" s="129"/>
      <c r="I22" s="129"/>
    </row>
    <row r="23" spans="1:36" ht="13.5" thickBot="1">
      <c r="A23" s="1746"/>
      <c r="B23" s="1746"/>
      <c r="C23" s="1746"/>
      <c r="D23" s="1746"/>
      <c r="E23" s="129"/>
      <c r="F23" s="129"/>
      <c r="G23" s="129"/>
      <c r="H23" s="129"/>
      <c r="I23" s="129"/>
    </row>
    <row r="24" spans="1:36" ht="14.25">
      <c r="A24" s="3676" t="s">
        <v>1292</v>
      </c>
      <c r="B24" s="1761" t="s">
        <v>1284</v>
      </c>
      <c r="C24" s="136">
        <f>IF(B30=0,0,D30)</f>
        <v>0</v>
      </c>
      <c r="D24" s="1768"/>
      <c r="E24" s="129"/>
      <c r="F24" s="129"/>
      <c r="G24" s="129"/>
      <c r="H24" s="129"/>
      <c r="I24" s="129"/>
    </row>
    <row r="25" spans="1:36" ht="14.25">
      <c r="A25" s="3677"/>
      <c r="B25" s="1026" t="s">
        <v>1288</v>
      </c>
      <c r="C25" s="141">
        <f>IF(B30=0,0,C30)</f>
        <v>0</v>
      </c>
      <c r="D25" s="1769"/>
      <c r="E25" s="129"/>
      <c r="F25" s="129"/>
      <c r="G25" s="129"/>
      <c r="H25" s="129"/>
      <c r="I25" s="129"/>
    </row>
    <row r="26" spans="1:36" ht="13.5" customHeight="1">
      <c r="A26" s="1770" t="s">
        <v>1293</v>
      </c>
      <c r="B26" s="142" t="s">
        <v>1294</v>
      </c>
      <c r="C26" s="142" t="s">
        <v>1295</v>
      </c>
      <c r="D26" s="143" t="s">
        <v>1296</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1297</v>
      </c>
      <c r="B30" s="142"/>
      <c r="C30" s="142"/>
      <c r="D30" s="142"/>
      <c r="E30" s="2302" t="s">
        <v>2125</v>
      </c>
      <c r="F30" s="129"/>
      <c r="G30" s="129"/>
      <c r="H30" s="129"/>
      <c r="I30" s="129"/>
    </row>
    <row r="31" spans="1:36" s="2308" customFormat="1" ht="26.45" customHeight="1" thickTop="1" thickBot="1">
      <c r="A31" s="2303"/>
      <c r="B31" s="2304"/>
      <c r="C31" s="2304"/>
      <c r="D31" s="2304"/>
      <c r="E31" s="2304"/>
      <c r="F31" s="2304"/>
      <c r="G31" s="2304"/>
      <c r="H31" s="2304"/>
      <c r="I31" s="2305" t="s">
        <v>2126</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1298</v>
      </c>
      <c r="B32" s="1773"/>
      <c r="C32" s="144">
        <f ca="1">IF(D32="总价",G19-C24,G20-C25)</f>
        <v>117030</v>
      </c>
      <c r="D32" s="1774" t="s">
        <v>3513</v>
      </c>
      <c r="E32" s="129"/>
      <c r="F32" s="129"/>
      <c r="G32" s="129"/>
      <c r="H32" s="129"/>
      <c r="I32" s="129"/>
    </row>
    <row r="33" spans="1:15" ht="15">
      <c r="A33" s="786" t="s">
        <v>1299</v>
      </c>
      <c r="B33" s="1775"/>
      <c r="C33" s="1776" t="s">
        <v>3640</v>
      </c>
      <c r="D33" s="1777" t="s">
        <v>3514</v>
      </c>
      <c r="E33" s="1778" t="s">
        <v>1300</v>
      </c>
      <c r="F33" s="1779" t="str">
        <f>IF(D32="楼面单价","取值（单价）","取值（总价）")</f>
        <v>取值（总价）</v>
      </c>
      <c r="G33" s="129"/>
      <c r="H33" s="129"/>
      <c r="I33" s="129"/>
    </row>
    <row r="34" spans="1:15" ht="15">
      <c r="A34" s="1780"/>
      <c r="B34" s="1781" t="s">
        <v>1301</v>
      </c>
      <c r="C34" s="148">
        <f ca="1">IF(C33="自定义",F34,C32-C35)</f>
        <v>66590</v>
      </c>
      <c r="D34" s="861">
        <f ca="1">IF(C33="自定义",ROUND(C34/C32,3),IF(C33="收益比率",SUMIF(INDIRECT("'"&amp;D33&amp;"'"&amp;"!b:b"),"土地收益比率",INDIRECT("'"&amp;D33&amp;"'"&amp;"!c:c")),SUMIF(INDIRECT("'"&amp;D33&amp;"'"&amp;"!b:b"),"土地成本比率",INDIRECT("'"&amp;D33&amp;"'"&amp;"!c:c"))))</f>
        <v>0.56899999999999995</v>
      </c>
      <c r="E34" s="1782" t="s">
        <v>1302</v>
      </c>
      <c r="F34" s="1330"/>
      <c r="G34" s="129"/>
      <c r="H34" s="129"/>
      <c r="I34" s="129"/>
    </row>
    <row r="35" spans="1:15" ht="15.75" thickBot="1">
      <c r="A35" s="1783"/>
      <c r="B35" s="1784" t="s">
        <v>1303</v>
      </c>
      <c r="C35" s="1170">
        <f ca="1">IF(C33="自定义",F35,ROUND(C32*D35,0))</f>
        <v>50440</v>
      </c>
      <c r="D35" s="1171">
        <f ca="1">IF(C33="自定义",ROUND(C35/C32,3),IF(C33="收益比率",SUMIF(INDIRECT("'"&amp;D33&amp;"'"&amp;"!b:b"),"建筑物收益比率",INDIRECT("'"&amp;D33&amp;"'"&amp;"!c:c")),SUMIF(INDIRECT("'"&amp;D33&amp;"'"&amp;"!b:b"),"建筑物成本比率",INDIRECT("'"&amp;D33&amp;"'"&amp;"!c:c"))))</f>
        <v>0.43099999999999999</v>
      </c>
      <c r="E35" s="1785" t="s">
        <v>1304</v>
      </c>
      <c r="F35" s="154"/>
      <c r="G35" s="129"/>
      <c r="H35" s="129"/>
      <c r="I35" s="129"/>
    </row>
    <row r="36" spans="1:15" ht="15.75" thickBot="1">
      <c r="A36" s="3653" t="s">
        <v>1305</v>
      </c>
      <c r="B36" s="1786" t="s">
        <v>1306</v>
      </c>
      <c r="C36" s="145"/>
      <c r="D36" s="1787"/>
      <c r="E36" s="1788"/>
      <c r="F36" s="1789"/>
      <c r="G36" s="129"/>
      <c r="H36" s="129"/>
      <c r="I36" s="129"/>
    </row>
    <row r="37" spans="1:15" ht="15.75" thickBot="1">
      <c r="A37" s="3654"/>
      <c r="B37" s="1673" t="s">
        <v>1307</v>
      </c>
      <c r="C37" s="147"/>
      <c r="D37" s="1139"/>
      <c r="E37" s="1139"/>
      <c r="F37" s="1789"/>
      <c r="G37" s="129"/>
      <c r="H37" s="129"/>
      <c r="I37" s="129"/>
    </row>
    <row r="38" spans="1:15" ht="15.75" thickBot="1">
      <c r="A38" s="3655"/>
      <c r="B38" s="1790" t="s">
        <v>1308</v>
      </c>
      <c r="C38" s="674"/>
      <c r="D38" s="1791" t="s">
        <v>1309</v>
      </c>
      <c r="E38" s="1139"/>
      <c r="F38" s="1789"/>
      <c r="G38" s="129"/>
      <c r="H38" s="129"/>
      <c r="I38" s="129"/>
    </row>
    <row r="39" spans="1:15" ht="15">
      <c r="A39" s="1763" t="s">
        <v>1310</v>
      </c>
      <c r="B39" s="1792" t="s">
        <v>1311</v>
      </c>
      <c r="C39" s="1793" t="s">
        <v>1312</v>
      </c>
      <c r="D39" s="1793" t="s">
        <v>1313</v>
      </c>
      <c r="E39" s="1794" t="s">
        <v>1314</v>
      </c>
      <c r="F39" s="1789"/>
      <c r="G39" s="129"/>
      <c r="H39" s="129"/>
      <c r="I39" s="129"/>
    </row>
    <row r="40" spans="1:15" ht="14.25">
      <c r="A40" s="1795" t="s">
        <v>1315</v>
      </c>
      <c r="B40" s="149"/>
      <c r="C40" s="150"/>
      <c r="D40" s="150"/>
      <c r="E40" s="151"/>
      <c r="F40" s="1789"/>
      <c r="G40" s="129"/>
      <c r="H40" s="129"/>
      <c r="I40" s="129"/>
    </row>
    <row r="41" spans="1:15" ht="14.25">
      <c r="A41" s="1795" t="s">
        <v>1316</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7"/>
      <c r="B43" s="1577"/>
      <c r="C43" s="1577"/>
      <c r="D43" s="1577"/>
      <c r="E43" s="1577"/>
      <c r="F43" s="1797"/>
      <c r="G43" s="1797"/>
      <c r="H43" s="1797"/>
      <c r="I43" s="1798"/>
    </row>
    <row r="44" spans="1:15" ht="18.75">
      <c r="A44" s="1799" t="s">
        <v>1317</v>
      </c>
      <c r="B44" s="1800"/>
      <c r="C44" s="1800"/>
      <c r="D44" s="1801"/>
      <c r="E44" s="1801"/>
      <c r="F44" s="1802"/>
      <c r="G44" s="1802"/>
      <c r="H44" s="1802"/>
      <c r="I44" s="1802"/>
      <c r="J44" s="1803" t="s">
        <v>1318</v>
      </c>
      <c r="K44" s="1804"/>
      <c r="L44" s="1804"/>
      <c r="M44" s="1804"/>
      <c r="N44" s="1804"/>
      <c r="O44" s="1804"/>
    </row>
    <row r="45" spans="1:15" ht="14.25" customHeight="1" thickBot="1">
      <c r="A45" s="3673" t="s">
        <v>1319</v>
      </c>
      <c r="B45" s="3674"/>
      <c r="C45" s="3675"/>
      <c r="D45" s="155">
        <f ca="1">ROUND(H101*F45,0)</f>
        <v>65537</v>
      </c>
      <c r="E45" s="156" t="s">
        <v>1320</v>
      </c>
      <c r="F45" s="157">
        <v>0.56000000000000005</v>
      </c>
      <c r="G45" s="158" t="s">
        <v>1321</v>
      </c>
      <c r="H45" s="129"/>
      <c r="I45" s="129"/>
      <c r="J45" s="3593" t="s">
        <v>1322</v>
      </c>
      <c r="K45" s="3593"/>
      <c r="L45" s="3593"/>
      <c r="M45" s="3593"/>
      <c r="N45" s="3593"/>
      <c r="O45" s="3593"/>
    </row>
    <row r="46" spans="1:15" ht="14.25" customHeight="1">
      <c r="A46" s="3670" t="s">
        <v>1323</v>
      </c>
      <c r="B46" s="3671"/>
      <c r="C46" s="3671"/>
      <c r="D46" s="3671"/>
      <c r="E46" s="3671"/>
      <c r="F46" s="3671"/>
      <c r="G46" s="3672"/>
      <c r="H46" s="1805"/>
      <c r="I46" s="159"/>
      <c r="J46" s="2520">
        <v>1</v>
      </c>
      <c r="K46" s="3594" t="s">
        <v>1324</v>
      </c>
      <c r="L46" s="3594"/>
      <c r="M46" s="3595"/>
      <c r="N46" s="3595"/>
      <c r="O46" s="3595"/>
    </row>
    <row r="47" spans="1:15" ht="12" customHeight="1">
      <c r="A47" s="160" t="s">
        <v>1325</v>
      </c>
      <c r="B47" s="161"/>
      <c r="C47" s="162"/>
      <c r="D47" s="1087" t="s">
        <v>1326</v>
      </c>
      <c r="E47" s="302" t="s">
        <v>1327</v>
      </c>
      <c r="F47" s="163" t="s">
        <v>1328</v>
      </c>
      <c r="G47" s="2543" t="s">
        <v>1329</v>
      </c>
      <c r="H47" s="2544"/>
      <c r="I47" s="159"/>
      <c r="J47" s="2520">
        <v>2</v>
      </c>
      <c r="K47" s="3594" t="s">
        <v>1330</v>
      </c>
      <c r="L47" s="3594"/>
      <c r="M47" s="3596">
        <f>'数据-取费表'!B2</f>
        <v>45352</v>
      </c>
      <c r="N47" s="3596"/>
      <c r="O47" s="3596"/>
    </row>
    <row r="48" spans="1:15" ht="25.5">
      <c r="A48" s="3656" t="s">
        <v>1331</v>
      </c>
      <c r="B48" s="3657"/>
      <c r="C48" s="3657"/>
      <c r="D48" s="2323">
        <f ca="1">IF(H48="情况1",0,IF(H48="情况2",D52,IF(H48="情况3",D53,IF(H48="情况4",D54))))</f>
        <v>3495</v>
      </c>
      <c r="E48" s="2333" t="str">
        <f>IF(H48="情况4","(销售额-原购置价)×税（费）率","销售额×税（费）率")</f>
        <v>销售额×税（费）率</v>
      </c>
      <c r="F48" s="2545">
        <f>IF(H48="情况1","免征",'数据-取费表'!B41)</f>
        <v>5.6000000000000001E-2</v>
      </c>
      <c r="G48" s="2546" t="s">
        <v>1332</v>
      </c>
      <c r="H48" s="2547" t="s">
        <v>3642</v>
      </c>
      <c r="I48" s="1805"/>
      <c r="J48" s="2520">
        <v>3</v>
      </c>
      <c r="K48" s="3594" t="s">
        <v>1333</v>
      </c>
      <c r="L48" s="3594"/>
      <c r="M48" s="3597">
        <f ca="1">H101</f>
        <v>117030</v>
      </c>
      <c r="N48" s="3597"/>
      <c r="O48" s="3597"/>
    </row>
    <row r="49" spans="1:35" ht="25.5" customHeight="1">
      <c r="A49" s="2332" t="s">
        <v>1334</v>
      </c>
      <c r="B49" s="3642" t="s">
        <v>1335</v>
      </c>
      <c r="C49" s="3642"/>
      <c r="D49" s="1590">
        <v>0</v>
      </c>
      <c r="E49" s="324" t="s">
        <v>1336</v>
      </c>
      <c r="F49" s="2423" t="s">
        <v>28</v>
      </c>
      <c r="G49" s="3625"/>
      <c r="H49" s="2309" t="s">
        <v>2127</v>
      </c>
      <c r="I49" s="2310"/>
      <c r="J49" s="2520">
        <v>4</v>
      </c>
      <c r="K49" s="3594" t="str">
        <f>IF(项目基本情况!E8="房地产抵押价值","房地产抵押价值","抵押担保权已注销时的房地产抵押价值")</f>
        <v>房地产抵押价值</v>
      </c>
      <c r="L49" s="3594"/>
      <c r="M49" s="3597">
        <f ca="1">IF(项目基本情况!E8="房地产抵押价值",H107,H109)</f>
        <v>117030</v>
      </c>
      <c r="N49" s="3597"/>
      <c r="O49" s="3597"/>
    </row>
    <row r="50" spans="1:35" ht="25.5" customHeight="1">
      <c r="A50" s="2548"/>
      <c r="B50" s="3642" t="s">
        <v>1337</v>
      </c>
      <c r="C50" s="3642"/>
      <c r="D50" s="2549"/>
      <c r="E50" s="332"/>
      <c r="F50" s="2423"/>
      <c r="G50" s="3626"/>
      <c r="H50" s="2311" t="s">
        <v>2128</v>
      </c>
      <c r="I50" s="2310"/>
      <c r="J50" s="3593" t="s">
        <v>1338</v>
      </c>
      <c r="K50" s="3593"/>
      <c r="L50" s="3593"/>
      <c r="M50" s="3593"/>
      <c r="N50" s="3593"/>
      <c r="O50" s="3593"/>
    </row>
    <row r="51" spans="1:35" ht="20.45" customHeight="1">
      <c r="A51" s="2550"/>
      <c r="B51" s="3642" t="s">
        <v>1339</v>
      </c>
      <c r="C51" s="3642"/>
      <c r="D51" s="1087"/>
      <c r="E51" s="327"/>
      <c r="F51" s="2423"/>
      <c r="G51" s="3627"/>
      <c r="H51" s="2311" t="s">
        <v>2129</v>
      </c>
      <c r="I51" s="2310"/>
      <c r="J51" s="2521" t="s">
        <v>1340</v>
      </c>
      <c r="K51" s="3594" t="s">
        <v>1341</v>
      </c>
      <c r="L51" s="3594"/>
      <c r="M51" s="2521" t="s">
        <v>1342</v>
      </c>
      <c r="N51" s="2521" t="s">
        <v>1343</v>
      </c>
      <c r="O51" s="2521" t="s">
        <v>1344</v>
      </c>
    </row>
    <row r="52" spans="1:35" ht="24" customHeight="1">
      <c r="A52" s="2334" t="s">
        <v>1345</v>
      </c>
      <c r="B52" s="3642" t="s">
        <v>1346</v>
      </c>
      <c r="C52" s="3642"/>
      <c r="D52" s="1087">
        <f ca="1">ROUND(D45*'数据-取费表'!B41/(1+'数据-取费表'!C42),0)</f>
        <v>3495</v>
      </c>
      <c r="E52" s="2333" t="s">
        <v>1347</v>
      </c>
      <c r="F52" s="2551">
        <f>'数据-取费表'!B41</f>
        <v>5.6000000000000001E-2</v>
      </c>
      <c r="G52" s="2552"/>
      <c r="H52" s="2541"/>
      <c r="I52" s="1806"/>
      <c r="J52" s="2520">
        <v>1</v>
      </c>
      <c r="K52" s="3619" t="s">
        <v>1348</v>
      </c>
      <c r="L52" s="3619"/>
      <c r="M52" s="2522">
        <f ca="1">D48</f>
        <v>3495</v>
      </c>
      <c r="N52" s="2520" t="str">
        <f>E48</f>
        <v>销售额×税（费）率</v>
      </c>
      <c r="O52" s="2523">
        <f>F48</f>
        <v>5.6000000000000001E-2</v>
      </c>
    </row>
    <row r="53" spans="1:35" ht="12" customHeight="1">
      <c r="A53" s="2334" t="s">
        <v>1349</v>
      </c>
      <c r="B53" s="3643" t="s">
        <v>2277</v>
      </c>
      <c r="C53" s="3644"/>
      <c r="D53" s="1087">
        <f ca="1">ROUND(D45*'数据-取费表'!B41/(1+'数据-取费表'!C42),0)</f>
        <v>3495</v>
      </c>
      <c r="E53" s="2333" t="s">
        <v>1347</v>
      </c>
      <c r="F53" s="2551">
        <f>'数据-取费表'!B41</f>
        <v>5.6000000000000001E-2</v>
      </c>
      <c r="G53" s="2552"/>
      <c r="H53" s="2541"/>
      <c r="I53" s="1806"/>
      <c r="J53" s="2520">
        <v>2</v>
      </c>
      <c r="K53" s="3619" t="s">
        <v>1350</v>
      </c>
      <c r="L53" s="3619"/>
      <c r="M53" s="2522">
        <f t="shared" ref="M53:O54" ca="1" si="0">D55</f>
        <v>33</v>
      </c>
      <c r="N53" s="2520" t="str">
        <f t="shared" si="0"/>
        <v>销售额×税（费）率</v>
      </c>
      <c r="O53" s="2523">
        <f t="shared" si="0"/>
        <v>5.0000000000000001E-4</v>
      </c>
    </row>
    <row r="54" spans="1:35" ht="12" customHeight="1">
      <c r="A54" s="2334" t="s">
        <v>1351</v>
      </c>
      <c r="B54" s="3643" t="s">
        <v>2278</v>
      </c>
      <c r="C54" s="3644"/>
      <c r="D54" s="1087">
        <f ca="1">C68</f>
        <v>3495</v>
      </c>
      <c r="E54" s="327" t="s">
        <v>1352</v>
      </c>
      <c r="F54" s="2551">
        <f>'数据-取费表'!B41</f>
        <v>5.6000000000000001E-2</v>
      </c>
      <c r="G54" s="2552"/>
      <c r="H54" s="2553"/>
      <c r="I54" s="1806"/>
      <c r="J54" s="2520">
        <v>3</v>
      </c>
      <c r="K54" s="3619" t="s">
        <v>1353</v>
      </c>
      <c r="L54" s="3619"/>
      <c r="M54" s="2522">
        <f t="shared" ca="1" si="0"/>
        <v>0</v>
      </c>
      <c r="N54" s="2520" t="str">
        <f t="shared" si="0"/>
        <v>增值额×税（费）率</v>
      </c>
      <c r="O54" s="2524" t="str">
        <f t="shared" si="0"/>
        <v>——</v>
      </c>
    </row>
    <row r="55" spans="1:35" ht="24" customHeight="1">
      <c r="A55" s="3679" t="s">
        <v>1354</v>
      </c>
      <c r="B55" s="3657"/>
      <c r="C55" s="3657"/>
      <c r="D55" s="2323">
        <f ca="1">IF(H55="个人住宅",0,ROUND(D45*I55,0))</f>
        <v>33</v>
      </c>
      <c r="E55" s="2333" t="s">
        <v>1355</v>
      </c>
      <c r="F55" s="2551">
        <f>IF(H55="正常",I55,"免征")</f>
        <v>5.0000000000000001E-4</v>
      </c>
      <c r="G55" s="2552"/>
      <c r="H55" s="2547" t="s">
        <v>3643</v>
      </c>
      <c r="I55" s="165">
        <f>'数据-取费表'!B49</f>
        <v>5.0000000000000001E-4</v>
      </c>
      <c r="J55" s="2520" t="str">
        <f>IF(H59="非个人房产","",4)</f>
        <v/>
      </c>
      <c r="K55" s="3619" t="str">
        <f>IF(H59="非个人房产","——","个人所得税")</f>
        <v>——</v>
      </c>
      <c r="L55" s="3619"/>
      <c r="M55" s="2525" t="str">
        <f>D59</f>
        <v>——</v>
      </c>
      <c r="N55" s="2039" t="str">
        <f>E59</f>
        <v>——</v>
      </c>
      <c r="O55" s="2526" t="str">
        <f>F59</f>
        <v>——</v>
      </c>
    </row>
    <row r="56" spans="1:35" ht="24.75">
      <c r="A56" s="3679" t="s">
        <v>1356</v>
      </c>
      <c r="B56" s="3657"/>
      <c r="C56" s="3657"/>
      <c r="D56" s="2323">
        <f ca="1">IF(H56="个人住宅",D57,D58)</f>
        <v>0</v>
      </c>
      <c r="E56" s="2333" t="s">
        <v>1357</v>
      </c>
      <c r="F56" s="2551" t="str">
        <f>IF(H56="正常",F58,"免征")</f>
        <v>——</v>
      </c>
      <c r="G56" s="2554" t="s">
        <v>1358</v>
      </c>
      <c r="H56" s="2555" t="s">
        <v>3643</v>
      </c>
      <c r="I56" s="1807"/>
      <c r="J56" s="2520" t="str">
        <f>IF(项目基本情况!K6="上海银行",IF(J55="",4,J55+1),"")</f>
        <v/>
      </c>
      <c r="K56" s="3600" t="str">
        <f>IF(项目基本情况!K6="上海银行","其他处置费用","")</f>
        <v/>
      </c>
      <c r="L56" s="3601"/>
      <c r="M56" s="2522" t="str">
        <f>IF(项目基本情况!K6="上海银行",M69,"")</f>
        <v/>
      </c>
      <c r="N56" s="3600" t="str">
        <f>IF(项目基本情况!K6="上海银行","包含处置中涉及的律师、诉讼、拍卖、评估等费用","")</f>
        <v/>
      </c>
      <c r="O56" s="3603"/>
    </row>
    <row r="57" spans="1:35" ht="12.75">
      <c r="A57" s="2334" t="s">
        <v>1334</v>
      </c>
      <c r="B57" s="3643" t="s">
        <v>1359</v>
      </c>
      <c r="C57" s="3644"/>
      <c r="D57" s="1590">
        <v>0</v>
      </c>
      <c r="E57" s="324" t="s">
        <v>1336</v>
      </c>
      <c r="F57" s="302"/>
      <c r="G57" s="2552"/>
      <c r="H57" s="2556"/>
      <c r="I57" s="1807"/>
      <c r="J57" s="3619">
        <f>IF(AND(J55="",J56=""),4,IF(项目基本情况!K6="上海银行",结果表!J56+1,结果表!J55+1))</f>
        <v>4</v>
      </c>
      <c r="K57" s="3619" t="s">
        <v>1360</v>
      </c>
      <c r="L57" s="2527" t="s">
        <v>1361</v>
      </c>
      <c r="M57" s="2528"/>
      <c r="N57" s="2529">
        <f ca="1">SUMIF(M52:M56,"&lt;9e307")</f>
        <v>3528</v>
      </c>
      <c r="O57" s="2530"/>
      <c r="P57" s="2687">
        <f ca="1">N57/M49</f>
        <v>3.014611638041528E-2</v>
      </c>
    </row>
    <row r="58" spans="1:35" ht="24.75">
      <c r="A58" s="2334" t="s">
        <v>1345</v>
      </c>
      <c r="B58" s="3643" t="s">
        <v>1362</v>
      </c>
      <c r="C58" s="3642"/>
      <c r="D58" s="2323">
        <f ca="1">IF(H58="转让取得",C81,C97)</f>
        <v>0</v>
      </c>
      <c r="E58" s="2333" t="s">
        <v>1357</v>
      </c>
      <c r="F58" s="302" t="s">
        <v>28</v>
      </c>
      <c r="G58" s="2552"/>
      <c r="H58" s="2555" t="s">
        <v>3644</v>
      </c>
      <c r="I58" s="1807"/>
      <c r="J58" s="3619"/>
      <c r="K58" s="3619"/>
      <c r="L58" s="2527" t="s">
        <v>1363</v>
      </c>
      <c r="M58" s="2531"/>
      <c r="N58" s="2532" t="str">
        <f ca="1">NUMBERSTRING(INT(N57*10000),2)&amp;"元整"</f>
        <v>叁仟伍佰贰拾捌万元整</v>
      </c>
      <c r="O58" s="2533"/>
    </row>
    <row r="59" spans="1:35" ht="24.75" thickBot="1">
      <c r="A59" s="3623" t="s">
        <v>1364</v>
      </c>
      <c r="B59" s="3624"/>
      <c r="C59" s="3624"/>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1358</v>
      </c>
      <c r="H59" s="2313" t="s">
        <v>3645</v>
      </c>
      <c r="I59" s="2312" t="s">
        <v>2130</v>
      </c>
      <c r="J59" s="3621">
        <f>J57+1</f>
        <v>5</v>
      </c>
      <c r="K59" s="3619" t="s">
        <v>1365</v>
      </c>
      <c r="L59" s="2520" t="s">
        <v>1361</v>
      </c>
      <c r="M59" s="2534"/>
      <c r="N59" s="2535">
        <f ca="1">M49-N57</f>
        <v>113502</v>
      </c>
      <c r="O59" s="2536"/>
    </row>
    <row r="60" spans="1:35" ht="12" customHeight="1">
      <c r="A60" s="1808"/>
      <c r="B60" s="1746"/>
      <c r="C60" s="1746"/>
      <c r="D60" s="1746"/>
      <c r="E60" s="1578"/>
      <c r="F60" s="1807"/>
      <c r="G60" s="1807"/>
      <c r="H60" s="1809"/>
      <c r="I60" s="129"/>
      <c r="J60" s="3622"/>
      <c r="K60" s="3619"/>
      <c r="L60" s="2527" t="s">
        <v>1363</v>
      </c>
      <c r="M60" s="2531"/>
      <c r="N60" s="2532" t="str">
        <f ca="1">NUMBERSTRING(INT(N59*10000),2)&amp;"元整"</f>
        <v>壹拾壹亿叁仟伍佰零贰万元整</v>
      </c>
      <c r="O60" s="2533"/>
    </row>
    <row r="61" spans="1:35" ht="13.5" thickBot="1">
      <c r="A61" s="3678" t="s">
        <v>1366</v>
      </c>
      <c r="B61" s="3678"/>
      <c r="C61" s="3678"/>
      <c r="D61" s="3678"/>
      <c r="E61" s="3678"/>
      <c r="F61" s="1807"/>
      <c r="G61" s="1807"/>
      <c r="H61" s="1809"/>
      <c r="I61" s="129"/>
      <c r="J61" s="2520">
        <f>J59+1</f>
        <v>6</v>
      </c>
      <c r="K61" s="3619" t="s">
        <v>1367</v>
      </c>
      <c r="L61" s="3619"/>
      <c r="M61" s="2537"/>
      <c r="N61" s="2538">
        <f ca="1">ROUND(N59*10000/'数据-汇总表'!E3,0)</f>
        <v>17998</v>
      </c>
      <c r="O61" s="2539"/>
    </row>
    <row r="62" spans="1:35" ht="12.75">
      <c r="A62" s="3638" t="s">
        <v>1368</v>
      </c>
      <c r="B62" s="3639"/>
      <c r="C62" s="2020"/>
      <c r="D62" s="2020" t="s">
        <v>1369</v>
      </c>
      <c r="E62" s="166" t="s">
        <v>1370</v>
      </c>
      <c r="F62" s="1807"/>
      <c r="G62" s="1807"/>
      <c r="H62" s="1809"/>
      <c r="I62" s="129"/>
    </row>
    <row r="63" spans="1:35" ht="12.75">
      <c r="A63" s="173" t="s">
        <v>330</v>
      </c>
      <c r="B63" s="167" t="s">
        <v>1371</v>
      </c>
      <c r="C63" s="2561">
        <f ca="1">ROUND((C64+C65)/(1+'数据-取费表'!C42),0)</f>
        <v>62416</v>
      </c>
      <c r="D63" s="167"/>
      <c r="E63" s="168"/>
      <c r="F63" s="1807"/>
      <c r="G63" s="1807"/>
      <c r="H63" s="1809"/>
      <c r="I63" s="129"/>
      <c r="J63" s="3602" t="s">
        <v>1372</v>
      </c>
      <c r="K63" s="1332" t="s">
        <v>1373</v>
      </c>
      <c r="L63" s="1332">
        <f ca="1">IF(M49&gt;10000,M49*0.5%,IF(AND(M49&gt;1000,M49&lt;=10000),M49*1%,IF(AND(M49&gt;100,M49&lt;=1000),M49*3%,IF(AND(M49&gt;10,M49&lt;=100),M49*5%,M49*8%))))</f>
        <v>585.15</v>
      </c>
      <c r="M63" s="302">
        <f ca="1">ROUND(L63,1)</f>
        <v>585.20000000000005</v>
      </c>
      <c r="N63" s="2540"/>
      <c r="Z63" s="1751"/>
      <c r="AI63" s="1752"/>
    </row>
    <row r="64" spans="1:35" ht="14.25" customHeight="1">
      <c r="A64" s="169" t="s">
        <v>325</v>
      </c>
      <c r="B64" s="170" t="s">
        <v>1374</v>
      </c>
      <c r="C64" s="2562">
        <f ca="1">D45</f>
        <v>65537</v>
      </c>
      <c r="D64" s="170" t="s">
        <v>26</v>
      </c>
      <c r="E64" s="172"/>
      <c r="F64" s="1807"/>
      <c r="G64" s="1807"/>
      <c r="H64" s="1809"/>
      <c r="I64" s="129"/>
      <c r="J64" s="3602"/>
      <c r="K64" s="1332" t="s">
        <v>1375</v>
      </c>
      <c r="L64" s="1332">
        <f ca="1">IF(M49&gt;2000,M49*0.5%,IF(AND(M49&gt;1000,M49&lt;=2000),M49*0.6%,IF(AND(M49&gt;500,M49&lt;=1000),M49*0.7%,IF(AND(M49&gt;200,M49&lt;=500),M49*0.8%,IF(AND(M49&gt;100,M49&lt;=200),M49*0.9%,IF(AND(M49&gt;50,M49&lt;=100),M49*1%,IF(AND(M49&gt;20,M49&lt;=50),M49*1.5%,IF(AND(M49&gt;10,M49&lt;=20),M49*2%,IF(AND(M49&gt;1,M49&lt;=10),M49*2.5%)))))))))</f>
        <v>585.15</v>
      </c>
      <c r="M64" s="302">
        <f t="shared" ref="M64:M65" ca="1" si="1">ROUND(L64,1)</f>
        <v>585.20000000000005</v>
      </c>
      <c r="N64" s="2541" t="s">
        <v>1376</v>
      </c>
      <c r="Z64" s="1751"/>
      <c r="AI64" s="1752"/>
    </row>
    <row r="65" spans="1:35" ht="14.25" customHeight="1">
      <c r="A65" s="169" t="s">
        <v>326</v>
      </c>
      <c r="B65" s="170" t="s">
        <v>1377</v>
      </c>
      <c r="C65" s="2563"/>
      <c r="D65" s="170"/>
      <c r="E65" s="172"/>
      <c r="F65" s="1807"/>
      <c r="G65" s="1807"/>
      <c r="H65" s="1809"/>
      <c r="I65" s="129"/>
      <c r="J65" s="3602"/>
      <c r="K65" s="1332" t="s">
        <v>1378</v>
      </c>
      <c r="L65" s="1332">
        <f ca="1">IF(M49&gt;1000,M49*0.1%,IF(AND(M49&gt;500,M49&lt;=1000),M49*0.5%,IF(AND(M49&gt;50,M49&lt;=500),M49*1%,IF(AND(M49&gt;1,M49&lt;=50),M49*1.5%))))</f>
        <v>117.03</v>
      </c>
      <c r="M65" s="302">
        <f t="shared" ca="1" si="1"/>
        <v>117</v>
      </c>
      <c r="N65" s="2541" t="s">
        <v>1376</v>
      </c>
      <c r="Z65" s="1751"/>
      <c r="AI65" s="1752"/>
    </row>
    <row r="66" spans="1:35" ht="14.25" customHeight="1">
      <c r="A66" s="173" t="s">
        <v>327</v>
      </c>
      <c r="B66" s="174" t="s">
        <v>1379</v>
      </c>
      <c r="C66" s="2564"/>
      <c r="D66" s="174" t="s">
        <v>26</v>
      </c>
      <c r="E66" s="1338" t="s">
        <v>666</v>
      </c>
      <c r="F66" s="1807"/>
      <c r="G66" s="1807"/>
      <c r="H66" s="1809"/>
      <c r="I66" s="129"/>
      <c r="J66" s="3602"/>
      <c r="K66" s="1332" t="s">
        <v>1380</v>
      </c>
      <c r="L66" s="1332">
        <f ca="1">M49*0.5%</f>
        <v>585.15</v>
      </c>
      <c r="M66" s="302">
        <f ca="1">IF(L66&gt;0.5,0.5,ROUND(L66,0))</f>
        <v>0.5</v>
      </c>
      <c r="N66" s="2541" t="s">
        <v>1381</v>
      </c>
      <c r="Z66" s="1751"/>
      <c r="AI66" s="1752"/>
    </row>
    <row r="67" spans="1:35" ht="14.25" customHeight="1">
      <c r="A67" s="173" t="s">
        <v>328</v>
      </c>
      <c r="B67" s="174" t="s">
        <v>1382</v>
      </c>
      <c r="C67" s="2565">
        <f ca="1">C63-C66</f>
        <v>62416</v>
      </c>
      <c r="D67" s="170" t="s">
        <v>26</v>
      </c>
      <c r="E67" s="172"/>
      <c r="F67" s="1807"/>
      <c r="G67" s="1807"/>
      <c r="H67" s="1809"/>
      <c r="I67" s="129"/>
      <c r="J67" s="3602"/>
      <c r="K67" s="1332" t="s">
        <v>1383</v>
      </c>
      <c r="L67" s="1332">
        <f ca="1">IF(M49&gt;=10000,(8.25+(M49-10000)*0.01%),IF(AND(M49&gt;=8000,M49&lt;10000),(7.85+(M49-8000)*0.02%),IF(AND(M49&gt;=5000,M49&lt;8000),(6.65+(M49-5000)*0.04%),IF(AND(M49&gt;=2000,M49&lt;5000),(4.25+(PM49-2000)*0.08%),IF(AND(M49&gt;=1000,M49&lt;2000),(2.75+(M49-1000)*0.15%),IF(AND(M49&gt;=100,M49&lt;1000),(0.5+(M49-100)*0.25%),IF(AND(M49&gt;0,M49&lt;100),M49*0.5%)))))))</f>
        <v>18.953000000000003</v>
      </c>
      <c r="M67" s="302">
        <f ca="1">ROUND(L67*0.9,1)</f>
        <v>17.100000000000001</v>
      </c>
      <c r="N67" s="2540"/>
      <c r="Z67" s="1751"/>
      <c r="AI67" s="1752"/>
    </row>
    <row r="68" spans="1:35" ht="14.25" customHeight="1" thickBot="1">
      <c r="A68" s="176" t="s">
        <v>329</v>
      </c>
      <c r="B68" s="177" t="s">
        <v>1384</v>
      </c>
      <c r="C68" s="2566">
        <f ca="1">IF(C67&lt;=0,0,ROUND(C67*D68,0))</f>
        <v>3495</v>
      </c>
      <c r="D68" s="2567">
        <f>'数据-取费表'!B41</f>
        <v>5.6000000000000001E-2</v>
      </c>
      <c r="E68" s="178"/>
      <c r="F68" s="1807"/>
      <c r="G68" s="1807"/>
      <c r="H68" s="1809"/>
      <c r="I68" s="129"/>
      <c r="J68" s="3602"/>
      <c r="K68" s="1332" t="s">
        <v>1385</v>
      </c>
      <c r="L68" s="1332">
        <f ca="1">IF(M49&gt;10000,M49*0.5%,IF(AND(M49&gt;5000,M49&lt;=10000),M49*1%,IF(AND(M49&gt;1000,M49&lt;=5000),M49*2%,IF(AND(M49&gt;200,M49&lt;=1000),M49*3%,M49*5%))))</f>
        <v>585.15</v>
      </c>
      <c r="M68" s="302">
        <f ca="1">ROUND(L68,1)</f>
        <v>585.20000000000005</v>
      </c>
      <c r="N68" s="2540"/>
      <c r="Z68" s="1751"/>
      <c r="AI68" s="1752"/>
    </row>
    <row r="69" spans="1:35" s="1771" customFormat="1" ht="16.5" customHeight="1">
      <c r="A69" s="1810"/>
      <c r="B69" s="1811"/>
      <c r="C69" s="1812"/>
      <c r="D69" s="1813"/>
      <c r="E69" s="1814"/>
      <c r="F69" s="1578"/>
      <c r="G69" s="1578"/>
      <c r="H69" s="1577"/>
      <c r="I69" s="1746"/>
      <c r="J69" s="3602"/>
      <c r="K69" s="1332" t="s">
        <v>1386</v>
      </c>
      <c r="L69" s="1332"/>
      <c r="M69" s="302">
        <f ca="1">ROUND(SUM(M63:M68),0)</f>
        <v>1890</v>
      </c>
      <c r="N69" s="2542">
        <f ca="1">M69/M49</f>
        <v>1.6149705203793899E-2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hidden="1" thickBot="1">
      <c r="A70" s="3646" t="s">
        <v>1387</v>
      </c>
      <c r="B70" s="3647"/>
      <c r="C70" s="3647"/>
      <c r="D70" s="3647"/>
      <c r="E70" s="3647"/>
      <c r="F70" s="3647"/>
      <c r="G70" s="3647"/>
      <c r="H70" s="3647"/>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638" t="s">
        <v>1368</v>
      </c>
      <c r="B71" s="3639"/>
      <c r="C71" s="2020"/>
      <c r="D71" s="2020" t="s">
        <v>1369</v>
      </c>
      <c r="E71" s="179" t="s">
        <v>1370</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1388</v>
      </c>
      <c r="C72" s="2565">
        <f ca="1">ROUND(D45/(1+'数据-取费表'!C42),0)</f>
        <v>62416</v>
      </c>
      <c r="D72" s="170" t="s">
        <v>26</v>
      </c>
      <c r="E72" s="2330"/>
      <c r="F72" s="2329"/>
      <c r="G72" s="2329"/>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1389</v>
      </c>
      <c r="C73" s="2565">
        <f ca="1">C74+C78</f>
        <v>374</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1390</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1391</v>
      </c>
      <c r="C75" s="2568"/>
      <c r="D75" s="170" t="s">
        <v>26</v>
      </c>
      <c r="E75" s="184" t="s">
        <v>1392</v>
      </c>
      <c r="F75" s="2569"/>
      <c r="G75" s="184" t="s">
        <v>1393</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1394</v>
      </c>
      <c r="C76" s="170">
        <f>IF(F75="购房发票",ROUND(C75*H75*D76,0),0)</f>
        <v>0</v>
      </c>
      <c r="D76" s="2571">
        <v>0.05</v>
      </c>
      <c r="E76" s="3643" t="s">
        <v>1395</v>
      </c>
      <c r="F76" s="3642"/>
      <c r="G76" s="3642"/>
      <c r="H76" s="364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1396</v>
      </c>
      <c r="C77" s="170">
        <f>ROUND(IF(G77="个人住宅",0,IF(G77="2016年5月1日前购买",C75*D77,C75*D77/(1+'数据-取费表'!C42))),0)</f>
        <v>0</v>
      </c>
      <c r="D77" s="2572">
        <f>'数据-取费表'!B48+'数据-取费表'!B49</f>
        <v>3.0499999999999999E-2</v>
      </c>
      <c r="E77" s="2323" t="s">
        <v>1397</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1398</v>
      </c>
      <c r="C78" s="2573">
        <f ca="1">ROUND(D45*D78/(1+'数据-取费表'!C42),0)</f>
        <v>374</v>
      </c>
      <c r="D78" s="2574">
        <f>'数据-取费表'!B43</f>
        <v>6.000000000000001E-3</v>
      </c>
      <c r="E78" s="3635" t="s">
        <v>1399</v>
      </c>
      <c r="F78" s="3636"/>
      <c r="G78" s="3636"/>
      <c r="H78" s="363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334</v>
      </c>
      <c r="B79" s="174" t="s">
        <v>1400</v>
      </c>
      <c r="C79" s="2565">
        <f ca="1">C72-C73</f>
        <v>62042</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1401</v>
      </c>
      <c r="C80" s="2575">
        <f ca="1">IF(C79&lt;=0,0,C79/C73)</f>
        <v>165.88770053475935</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1402</v>
      </c>
      <c r="C81" s="2576">
        <f ca="1">ROUND(IF(C79&lt;=0,0,IF(C80&gt;=200%,C79*60%-C73*35%,IF(C80&gt;=100%,C79*50%-C73*15%,IF(C80&gt;=50%,C79*40%-C73*5%,IF(C80&lt;50%,C79*30%,0))))),0)</f>
        <v>37094</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46" t="s">
        <v>1403</v>
      </c>
      <c r="B83" s="3647"/>
      <c r="C83" s="3647"/>
      <c r="D83" s="3647"/>
      <c r="E83" s="3647"/>
      <c r="F83" s="3647"/>
      <c r="G83" s="3647"/>
      <c r="H83" s="3647"/>
      <c r="I83" s="1820"/>
      <c r="J83" s="1817" t="s">
        <v>3646</v>
      </c>
      <c r="K83" s="1817" t="s">
        <v>3647</v>
      </c>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38" t="s">
        <v>1368</v>
      </c>
      <c r="B84" s="3639"/>
      <c r="C84" s="2020"/>
      <c r="D84" s="2020" t="s">
        <v>1369</v>
      </c>
      <c r="E84" s="179" t="s">
        <v>1370</v>
      </c>
      <c r="F84" s="180"/>
      <c r="G84" s="180"/>
      <c r="H84" s="191"/>
      <c r="I84" s="1820"/>
      <c r="J84" s="1817">
        <v>552013.17999999993</v>
      </c>
      <c r="K84" s="1817">
        <f>'数据-汇总表'!E3</f>
        <v>63063.880000000005</v>
      </c>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1388</v>
      </c>
      <c r="C85" s="2565">
        <f ca="1">ROUND(D45/(1+'数据-取费表'!C42),0)</f>
        <v>62416</v>
      </c>
      <c r="D85" s="170" t="s">
        <v>26</v>
      </c>
      <c r="E85" s="2330"/>
      <c r="F85" s="2329"/>
      <c r="G85" s="2329"/>
      <c r="H85" s="192"/>
      <c r="I85" s="1820"/>
      <c r="J85" s="1817" t="s">
        <v>3648</v>
      </c>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1389</v>
      </c>
      <c r="C86" s="2565">
        <f ca="1">IF(H88="仅含出让金",C87+C90+C91+C92+C93+C94,C87+C91+C92+C93+C94)</f>
        <v>92120.72</v>
      </c>
      <c r="D86" s="2578"/>
      <c r="E86" s="2330"/>
      <c r="F86" s="2329"/>
      <c r="G86" s="2329"/>
      <c r="H86" s="192"/>
      <c r="I86" s="1820"/>
      <c r="J86" s="1817">
        <v>130219.4376</v>
      </c>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1404</v>
      </c>
      <c r="C87" s="2573">
        <f>C88+C89</f>
        <v>15330.72</v>
      </c>
      <c r="D87" s="2574"/>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1405</v>
      </c>
      <c r="C88" s="2579">
        <f>ROUND(K84/J84*J86,2)</f>
        <v>14876.72</v>
      </c>
      <c r="D88" s="2574"/>
      <c r="E88" s="193" t="s">
        <v>1406</v>
      </c>
      <c r="F88" s="2326"/>
      <c r="G88" s="194" t="s">
        <v>1407</v>
      </c>
      <c r="H88" s="1823" t="s">
        <v>3649</v>
      </c>
      <c r="I88" s="1820"/>
      <c r="J88" s="2518" t="s">
        <v>2274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1396</v>
      </c>
      <c r="C89" s="2573">
        <f>ROUND(C88*D89,0)</f>
        <v>454</v>
      </c>
      <c r="D89" s="2574">
        <f>'数据-取费表'!B48+'数据-取费表'!B49</f>
        <v>3.0499999999999999E-2</v>
      </c>
      <c r="E89" s="193" t="s">
        <v>1408</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1409</v>
      </c>
      <c r="C90" s="2579"/>
      <c r="D90" s="2574"/>
      <c r="E90" s="193" t="str">
        <f>IF(H88="-","土地取得成本中已包含该笔费用"," ")</f>
        <v xml:space="preserve"> </v>
      </c>
      <c r="F90" s="2326"/>
      <c r="G90" s="3604" t="s">
        <v>2122</v>
      </c>
      <c r="H90" s="3605"/>
      <c r="I90" s="1820"/>
      <c r="J90" s="2518" t="s">
        <v>2275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1410</v>
      </c>
      <c r="B91" s="170" t="s">
        <v>1411</v>
      </c>
      <c r="C91" s="2573">
        <f ca="1">IF(H91="——",成本法!C33,I91)</f>
        <v>55244</v>
      </c>
      <c r="D91" s="2574"/>
      <c r="E91" s="3635" t="s">
        <v>1412</v>
      </c>
      <c r="F91" s="3636"/>
      <c r="G91" s="3636"/>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1413</v>
      </c>
      <c r="B92" s="170" t="s">
        <v>1414</v>
      </c>
      <c r="C92" s="2573">
        <f ca="1">ROUND((C87+C90+C91)*D92,0)</f>
        <v>7057</v>
      </c>
      <c r="D92" s="2580">
        <v>0.1</v>
      </c>
      <c r="E92" s="3635" t="s">
        <v>1415</v>
      </c>
      <c r="F92" s="3636"/>
      <c r="G92" s="3636"/>
      <c r="H92" s="3637"/>
      <c r="I92" s="1820"/>
      <c r="J92" s="2519" t="s">
        <v>2276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1416</v>
      </c>
      <c r="B93" s="170" t="s">
        <v>1398</v>
      </c>
      <c r="C93" s="2573">
        <f ca="1">ROUND(D45*D93/(1+'数据-取费表'!C42),0)</f>
        <v>374</v>
      </c>
      <c r="D93" s="2574">
        <f>'数据-取费表'!B43</f>
        <v>6.000000000000001E-3</v>
      </c>
      <c r="E93" s="3635" t="s">
        <v>1399</v>
      </c>
      <c r="F93" s="3636"/>
      <c r="G93" s="3636"/>
      <c r="H93" s="363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1417</v>
      </c>
      <c r="B94" s="170" t="s">
        <v>1418</v>
      </c>
      <c r="C94" s="2579">
        <f ca="1">ROUND((C87+C90+C91)*D94,0)</f>
        <v>14115</v>
      </c>
      <c r="D94" s="2574">
        <v>0.2</v>
      </c>
      <c r="E94" s="3680" t="s">
        <v>1419</v>
      </c>
      <c r="F94" s="3681"/>
      <c r="G94" s="3681"/>
      <c r="H94" s="3682"/>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1400</v>
      </c>
      <c r="C95" s="2565">
        <f ca="1">ROUND(C85-C86,0)</f>
        <v>-29705</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1401</v>
      </c>
      <c r="C96" s="2575">
        <f ca="1">IF(C95&lt;=0,0,C95/C86)</f>
        <v>0</v>
      </c>
      <c r="D96" s="170" t="s">
        <v>26</v>
      </c>
      <c r="E96" s="2323" t="str">
        <f ca="1">IF(C96&gt;=200%,"增值额超过扣除项目金额200%",IF(C96&gt;=100%,"增值额超过扣除项目金额100%，未超过200%",IF(C96&gt;=50%,"增值额超过扣除项目金额50%，未超过100%",IF(C96&lt;50%,"增值额未超过扣除项目金额50%"))))</f>
        <v>增值额未超过扣除项目金额50%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1402</v>
      </c>
      <c r="C97" s="2576">
        <f ca="1">ROUND(IF(C95&lt;=0,0,IF(C96&gt;=200%,C95*60%-C86*35%,IF(C96&gt;=100%,C95*50%-C86*15%,IF(C96&gt;=50%,C95*40%-C86*5%,IF(C96&lt;50%,C95*30%,0))))),0)</f>
        <v>0</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8"/>
      <c r="F98" s="1578"/>
      <c r="G98" s="1578"/>
      <c r="H98" s="1577"/>
      <c r="I98" s="129"/>
    </row>
    <row r="99" spans="1:35" ht="21.75" customHeight="1" thickBot="1">
      <c r="A99" s="1799" t="s">
        <v>1420</v>
      </c>
      <c r="B99" s="1746"/>
      <c r="C99" s="1746"/>
      <c r="D99" s="1746"/>
      <c r="E99" s="1578"/>
      <c r="F99" s="1578"/>
      <c r="G99" s="1578"/>
      <c r="H99" s="1577"/>
      <c r="I99" s="129"/>
    </row>
    <row r="100" spans="1:35" ht="18.75" customHeight="1">
      <c r="A100" s="3585" t="s">
        <v>1421</v>
      </c>
      <c r="B100" s="3586"/>
      <c r="C100" s="3586"/>
      <c r="D100" s="3620"/>
      <c r="E100" s="3586" t="s">
        <v>1422</v>
      </c>
      <c r="F100" s="3586"/>
      <c r="G100" s="3586"/>
      <c r="H100" s="3620"/>
      <c r="I100" s="129"/>
    </row>
    <row r="101" spans="1:35" ht="18.75" customHeight="1">
      <c r="A101" s="3628" t="s">
        <v>1423</v>
      </c>
      <c r="B101" s="3629"/>
      <c r="C101" s="2582" t="str">
        <f>C4</f>
        <v>成本法</v>
      </c>
      <c r="D101" s="2583" t="str">
        <f>D4</f>
        <v>收益法-酒店模型</v>
      </c>
      <c r="E101" s="3598" t="s">
        <v>1424</v>
      </c>
      <c r="F101" s="3599"/>
      <c r="G101" s="1826" t="s">
        <v>1425</v>
      </c>
      <c r="H101" s="2592">
        <f ca="1">H118</f>
        <v>117030</v>
      </c>
      <c r="I101" s="129"/>
    </row>
    <row r="102" spans="1:35" ht="18.75" customHeight="1">
      <c r="A102" s="3630" t="s">
        <v>1426</v>
      </c>
      <c r="B102" s="2581" t="s">
        <v>1425</v>
      </c>
      <c r="C102" s="2582">
        <f ca="1">IF(D32="楼面单价",ROUND(C19,0),C19)</f>
        <v>145320</v>
      </c>
      <c r="D102" s="2583">
        <f ca="1">IF(D32="楼面单价",ROUND(D19,0),D19)</f>
        <v>104905</v>
      </c>
      <c r="E102" s="3598"/>
      <c r="F102" s="3599"/>
      <c r="G102" s="1826" t="s">
        <v>1427</v>
      </c>
      <c r="H102" s="2552">
        <f ca="1">I118</f>
        <v>18557</v>
      </c>
      <c r="I102" s="129"/>
    </row>
    <row r="103" spans="1:35" ht="42.75" customHeight="1">
      <c r="A103" s="3630"/>
      <c r="B103" s="2581" t="s">
        <v>1427</v>
      </c>
      <c r="C103" s="2584">
        <f ca="1">C20</f>
        <v>23043</v>
      </c>
      <c r="D103" s="2585">
        <f ca="1">D20</f>
        <v>16635</v>
      </c>
      <c r="E103" s="3591" t="s">
        <v>1428</v>
      </c>
      <c r="F103" s="3592"/>
      <c r="G103" s="1827" t="s">
        <v>1429</v>
      </c>
      <c r="H103" s="2592">
        <f>IF(D36="正常操作",H104+H105+H106,H105+H106)</f>
        <v>0</v>
      </c>
      <c r="I103" s="129"/>
    </row>
    <row r="104" spans="1:35" ht="18.75" customHeight="1">
      <c r="A104" s="3630" t="s">
        <v>1430</v>
      </c>
      <c r="B104" s="2586" t="s">
        <v>1425</v>
      </c>
      <c r="C104" s="2587">
        <f ca="1">H118</f>
        <v>117030</v>
      </c>
      <c r="D104" s="2588"/>
      <c r="E104" s="1673" t="s">
        <v>1431</v>
      </c>
      <c r="F104" s="1665"/>
      <c r="G104" s="1827" t="s">
        <v>1429</v>
      </c>
      <c r="H104" s="2593">
        <f>IF(D36="同一抵押权人同一抵押物续贷",C36&amp;"（续贷，未扣减，详见特别提示）",C36)</f>
        <v>0</v>
      </c>
      <c r="I104" s="129"/>
    </row>
    <row r="105" spans="1:35" ht="18.75" customHeight="1" thickBot="1">
      <c r="A105" s="3640"/>
      <c r="B105" s="2589" t="s">
        <v>1427</v>
      </c>
      <c r="C105" s="2590">
        <f ca="1">I118</f>
        <v>18557</v>
      </c>
      <c r="D105" s="2591"/>
      <c r="E105" s="1673" t="s">
        <v>1432</v>
      </c>
      <c r="F105" s="1665"/>
      <c r="G105" s="1827" t="s">
        <v>1429</v>
      </c>
      <c r="H105" s="2594">
        <f>C37</f>
        <v>0</v>
      </c>
      <c r="I105" s="129"/>
    </row>
    <row r="106" spans="1:35" ht="18.75" customHeight="1">
      <c r="A106" s="1746" t="s">
        <v>1433</v>
      </c>
      <c r="B106" s="1746"/>
      <c r="C106" s="1746"/>
      <c r="D106" s="1746"/>
      <c r="E106" s="1828" t="s">
        <v>1434</v>
      </c>
      <c r="F106" s="1665"/>
      <c r="G106" s="1827" t="s">
        <v>1429</v>
      </c>
      <c r="H106" s="2594">
        <f>C38</f>
        <v>0</v>
      </c>
      <c r="I106" s="129"/>
    </row>
    <row r="107" spans="1:35" ht="18.75" customHeight="1">
      <c r="A107" s="129"/>
      <c r="B107" s="129"/>
      <c r="C107" s="129"/>
      <c r="D107" s="129"/>
      <c r="E107" s="3631" t="str">
        <f>IF(项目基本情况!E8="已注销","——","3.房地产抵押价值")</f>
        <v>3.房地产抵押价值</v>
      </c>
      <c r="F107" s="3599"/>
      <c r="G107" s="1826" t="s">
        <v>1425</v>
      </c>
      <c r="H107" s="2592">
        <f ca="1">IF(E107="——","——",H101-H103)</f>
        <v>117030</v>
      </c>
      <c r="I107" s="129"/>
    </row>
    <row r="108" spans="1:35" ht="18.75" customHeight="1">
      <c r="A108" s="129"/>
      <c r="B108" s="129"/>
      <c r="C108" s="129"/>
      <c r="D108" s="129"/>
      <c r="E108" s="3631"/>
      <c r="F108" s="3599"/>
      <c r="G108" s="1826" t="s">
        <v>1427</v>
      </c>
      <c r="H108" s="2552">
        <f ca="1">IF(H107=H101,H102,ROUND(H107*10000/'数据-汇总表'!E3,0))</f>
        <v>18557</v>
      </c>
      <c r="I108" s="129"/>
    </row>
    <row r="109" spans="1:35" ht="18.75" customHeight="1">
      <c r="A109" s="129"/>
      <c r="B109" s="129"/>
      <c r="C109" s="129"/>
      <c r="D109" s="129"/>
      <c r="E109" s="3631" t="str">
        <f>IF(项目基本情况!E8="已注销及未注销","4.抵押担保权已注销时的房地产抵押价值",IF(项目基本情况!E8="已注销","3.抵押担保权已注销时的房地产抵押价值","——"))</f>
        <v>——</v>
      </c>
      <c r="F109" s="3599"/>
      <c r="G109" s="1826" t="s">
        <v>1425</v>
      </c>
      <c r="H109" s="2595" t="str">
        <f>IF(E109="——","——",H101-H105-H106)</f>
        <v>——</v>
      </c>
      <c r="I109" s="129"/>
    </row>
    <row r="110" spans="1:35" ht="18.75" customHeight="1">
      <c r="A110" s="129"/>
      <c r="B110" s="129"/>
      <c r="C110" s="129"/>
      <c r="D110" s="129"/>
      <c r="E110" s="3631"/>
      <c r="F110" s="3599"/>
      <c r="G110" s="1826" t="s">
        <v>1427</v>
      </c>
      <c r="H110" s="2552" t="str">
        <f>IF(H109="——","——",ROUND(H109*10000/'数据-汇总表'!E3,0))</f>
        <v>——</v>
      </c>
      <c r="I110" s="129"/>
    </row>
    <row r="111" spans="1:35" ht="18.75" customHeight="1">
      <c r="A111" s="129"/>
      <c r="B111" s="129"/>
      <c r="C111" s="129"/>
      <c r="D111" s="129"/>
      <c r="E111" s="3632" t="str">
        <f>IF(项目基本情况!E9="抵押净值",IF(OR(项目基本情况!E8="已注销",项目基本情况!E8="房地产抵押价值"),"4.抵押净值","5.抵押净值"),"——")</f>
        <v>4.抵押净值</v>
      </c>
      <c r="F111" s="3618"/>
      <c r="G111" s="1826" t="s">
        <v>1425</v>
      </c>
      <c r="H111" s="2592">
        <f ca="1">IF(E111="——","——",N59)</f>
        <v>113502</v>
      </c>
      <c r="I111" s="129"/>
    </row>
    <row r="112" spans="1:35" ht="18.75" customHeight="1" thickBot="1">
      <c r="A112" s="129"/>
      <c r="B112" s="129"/>
      <c r="C112" s="129"/>
      <c r="D112" s="129"/>
      <c r="E112" s="3633"/>
      <c r="F112" s="3634"/>
      <c r="G112" s="1829" t="s">
        <v>1427</v>
      </c>
      <c r="H112" s="2596">
        <f ca="1">IF(E111="——","——",N61)</f>
        <v>17998</v>
      </c>
      <c r="I112" s="129"/>
    </row>
    <row r="113" spans="1:27" ht="18.75" customHeight="1">
      <c r="A113" s="129"/>
      <c r="B113" s="129"/>
      <c r="C113" s="129"/>
      <c r="D113" s="129"/>
      <c r="E113" s="3641" t="s">
        <v>1433</v>
      </c>
      <c r="F113" s="3641"/>
      <c r="G113" s="3641"/>
      <c r="H113" s="3641"/>
      <c r="I113" s="129"/>
    </row>
    <row r="114" spans="1:27" ht="3.75" customHeight="1">
      <c r="A114" s="1746"/>
      <c r="B114" s="1746"/>
      <c r="C114" s="1746"/>
      <c r="D114" s="1746"/>
      <c r="E114" s="1808"/>
      <c r="F114" s="1808"/>
      <c r="G114" s="1808"/>
      <c r="H114" s="1808"/>
      <c r="I114" s="1746"/>
    </row>
    <row r="115" spans="1:27" ht="18.75" customHeight="1">
      <c r="A115" s="3649" t="s">
        <v>1435</v>
      </c>
      <c r="B115" s="3650"/>
      <c r="C115" s="3650"/>
      <c r="D115" s="3650"/>
      <c r="E115" s="3650"/>
      <c r="F115" s="3650"/>
      <c r="G115" s="3650"/>
      <c r="H115" s="3650"/>
      <c r="I115" s="3651"/>
    </row>
    <row r="116" spans="1:27" ht="27" customHeight="1">
      <c r="A116" s="3606" t="s">
        <v>1436</v>
      </c>
      <c r="B116" s="3610" t="s">
        <v>1437</v>
      </c>
      <c r="C116" s="3610" t="s">
        <v>1438</v>
      </c>
      <c r="D116" s="3616" t="s">
        <v>1439</v>
      </c>
      <c r="E116" s="3617"/>
      <c r="F116" s="3648" t="s">
        <v>1440</v>
      </c>
      <c r="G116" s="3648"/>
      <c r="H116" s="3606" t="s">
        <v>1441</v>
      </c>
      <c r="I116" s="3606"/>
    </row>
    <row r="117" spans="1:27" ht="18.75" customHeight="1">
      <c r="A117" s="3606"/>
      <c r="B117" s="3611"/>
      <c r="C117" s="3611"/>
      <c r="D117" s="2328" t="s">
        <v>1442</v>
      </c>
      <c r="E117" s="2328" t="s">
        <v>1443</v>
      </c>
      <c r="F117" s="2328" t="s">
        <v>1442</v>
      </c>
      <c r="G117" s="2328" t="s">
        <v>1444</v>
      </c>
      <c r="H117" s="2328" t="s">
        <v>1442</v>
      </c>
      <c r="I117" s="2328" t="s">
        <v>1444</v>
      </c>
    </row>
    <row r="118" spans="1:27" ht="24.75" customHeight="1">
      <c r="A118" s="2597" t="str">
        <f>项目基本情况!S2</f>
        <v>北京市房地产</v>
      </c>
      <c r="B118" s="2328">
        <f>M18</f>
        <v>63063.880000000005</v>
      </c>
      <c r="C118" s="2328">
        <f>M19</f>
        <v>0</v>
      </c>
      <c r="D118" s="2328">
        <f ca="1">ROUND(IF(D32="总价",C34,E118*B118/10000),0)</f>
        <v>66590</v>
      </c>
      <c r="E118" s="2328">
        <f ca="1">ROUND(IF(C33="自定义",IF(D32="楼面单价",C34,D118*10000/B118),I118-G118),0)</f>
        <v>10559</v>
      </c>
      <c r="F118" s="2328">
        <f ca="1">ROUND(IF(D32="总价",C35,G118*B118/10000),0)</f>
        <v>50440</v>
      </c>
      <c r="G118" s="2328">
        <f ca="1">ROUND(IF(D32="楼面单价",C35,F118*10000/B118),0)</f>
        <v>7998</v>
      </c>
      <c r="H118" s="2328">
        <f ca="1">ROUND(IF(D32="总价",C32,I118*B118/10000),0)</f>
        <v>117030</v>
      </c>
      <c r="I118" s="2328">
        <f ca="1">ROUND(IF(D32="楼面单价",C32,H118*10000/B118),0)</f>
        <v>18557</v>
      </c>
    </row>
    <row r="119" spans="1:27" ht="18.75" customHeight="1">
      <c r="A119" s="3606" t="s">
        <v>1445</v>
      </c>
      <c r="B119" s="3606"/>
      <c r="C119" s="3606"/>
      <c r="D119" s="3612" t="str">
        <f ca="1">NUMBERSTRING(INT(D118*10000),2)&amp;"元整"</f>
        <v>陆亿陆仟伍佰玖拾万元整</v>
      </c>
      <c r="E119" s="3613"/>
      <c r="F119" s="3612" t="str">
        <f ca="1">NUMBERSTRING(INT(F118*10000),2)&amp;"元整"</f>
        <v>伍亿零肆佰肆拾万元整</v>
      </c>
      <c r="G119" s="3613"/>
      <c r="H119" s="3612" t="str">
        <f ca="1">NUMBERSTRING(INT(H118*10000),2)&amp;"元整"</f>
        <v>壹拾壹亿柒仟零叁拾万元整</v>
      </c>
      <c r="I119" s="3613"/>
    </row>
    <row r="120" spans="1:27" ht="18.75" customHeight="1">
      <c r="A120" s="3607" t="str">
        <f>IF(项目基本情况!B9="房地产市场价值","",MID(E103,3,LEN(E103)-2))</f>
        <v>估价师知悉的法定优先受偿款</v>
      </c>
      <c r="B120" s="3608"/>
      <c r="C120" s="3609"/>
      <c r="D120" s="3607">
        <f>H103</f>
        <v>0</v>
      </c>
      <c r="E120" s="3608"/>
      <c r="F120" s="3608"/>
      <c r="G120" s="3608"/>
      <c r="H120" s="3608"/>
      <c r="I120" s="3609"/>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12" t="s">
        <v>1445</v>
      </c>
      <c r="B121" s="3614"/>
      <c r="C121" s="3613"/>
      <c r="D121" s="3612" t="str">
        <f>IF(D120=0,"零元整",NUMBERSTRING(INT(D120*10000),2)&amp;"元整")</f>
        <v>零元整</v>
      </c>
      <c r="E121" s="3614"/>
      <c r="F121" s="3614"/>
      <c r="G121" s="3614"/>
      <c r="H121" s="3614"/>
      <c r="I121" s="3613"/>
      <c r="AA121" s="725"/>
    </row>
    <row r="122" spans="1:27" ht="18.75" customHeight="1">
      <c r="A122" s="3618" t="str">
        <f>IF(项目基本情况!B9="房地产市场价值","",MID(E107,3,LEN(E107)-2))</f>
        <v>房地产抵押价值</v>
      </c>
      <c r="B122" s="3618"/>
      <c r="C122" s="3618"/>
      <c r="D122" s="3607">
        <f ca="1">H107</f>
        <v>117030</v>
      </c>
      <c r="E122" s="3608"/>
      <c r="F122" s="3608"/>
      <c r="G122" s="3608"/>
      <c r="H122" s="3608"/>
      <c r="I122" s="3609"/>
      <c r="AA122" s="725"/>
    </row>
    <row r="123" spans="1:27" ht="18.75" customHeight="1">
      <c r="A123" s="3606" t="s">
        <v>1445</v>
      </c>
      <c r="B123" s="3606"/>
      <c r="C123" s="3606"/>
      <c r="D123" s="3612" t="str">
        <f ca="1">NUMBERSTRING(INT(D122*10000),2)&amp;"元整"</f>
        <v>壹拾壹亿柒仟零叁拾万元整</v>
      </c>
      <c r="E123" s="3614"/>
      <c r="F123" s="3614"/>
      <c r="G123" s="3614"/>
      <c r="H123" s="3614"/>
      <c r="I123" s="3613"/>
      <c r="AA123" s="725"/>
    </row>
    <row r="124" spans="1:27" ht="18.75" customHeight="1">
      <c r="A124" s="3618" t="str">
        <f>IF(项目基本情况!B9="房地产市场价值","",MID(E109,3,LEN(E109)-2))</f>
        <v/>
      </c>
      <c r="B124" s="3618"/>
      <c r="C124" s="3618"/>
      <c r="D124" s="3607" t="str">
        <f>H109</f>
        <v>——</v>
      </c>
      <c r="E124" s="3608"/>
      <c r="F124" s="3608"/>
      <c r="G124" s="3608"/>
      <c r="H124" s="3608"/>
      <c r="I124" s="3609"/>
      <c r="AA124" s="725"/>
    </row>
    <row r="125" spans="1:27" ht="18.75" customHeight="1">
      <c r="A125" s="3606" t="s">
        <v>1445</v>
      </c>
      <c r="B125" s="3606"/>
      <c r="C125" s="3606"/>
      <c r="D125" s="3612" t="e">
        <f>NUMBERSTRING(INT(D124*10000),2)&amp;"元整"</f>
        <v>#VALUE!</v>
      </c>
      <c r="E125" s="3614"/>
      <c r="F125" s="3614"/>
      <c r="G125" s="3614"/>
      <c r="H125" s="3614"/>
      <c r="I125" s="3613"/>
      <c r="AA125" s="725"/>
    </row>
    <row r="126" spans="1:27" ht="18.75" customHeight="1">
      <c r="A126" s="3618" t="str">
        <f>IF(项目基本情况!B9="房地产市场价值","",MID(E111,3,LEN(E111)-2))</f>
        <v>抵押净值</v>
      </c>
      <c r="B126" s="3618"/>
      <c r="C126" s="3618"/>
      <c r="D126" s="3607">
        <f ca="1">H111</f>
        <v>113502</v>
      </c>
      <c r="E126" s="3608"/>
      <c r="F126" s="3608"/>
      <c r="G126" s="3608"/>
      <c r="H126" s="3608"/>
      <c r="I126" s="3609"/>
      <c r="AA126" s="725"/>
    </row>
    <row r="127" spans="1:27" ht="18.75" customHeight="1">
      <c r="A127" s="3606" t="s">
        <v>1445</v>
      </c>
      <c r="B127" s="3606"/>
      <c r="C127" s="3606"/>
      <c r="D127" s="3612" t="str">
        <f ca="1">NUMBERSTRING(INT(D126*10000),2)&amp;"元整"</f>
        <v>壹拾壹亿叁仟伍佰零贰万元整</v>
      </c>
      <c r="E127" s="3614"/>
      <c r="F127" s="3614"/>
      <c r="G127" s="3614"/>
      <c r="H127" s="3614"/>
      <c r="I127" s="3613"/>
      <c r="AA127" s="725"/>
    </row>
    <row r="128" spans="1:27" ht="21.75" customHeight="1">
      <c r="A128" s="3615" t="s">
        <v>1446</v>
      </c>
      <c r="B128" s="3615"/>
      <c r="C128" s="3615"/>
      <c r="D128" s="3615"/>
      <c r="E128" s="3615"/>
      <c r="F128" s="3615"/>
      <c r="G128" s="3615"/>
      <c r="H128" s="3615"/>
      <c r="I128" s="3615"/>
      <c r="AA128" s="725"/>
    </row>
    <row r="129" spans="1:35" ht="21.75" customHeight="1">
      <c r="A129" s="1830" t="s">
        <v>1447</v>
      </c>
      <c r="B129" s="1831"/>
      <c r="C129" s="1832" t="s">
        <v>1448</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1449</v>
      </c>
      <c r="G135" s="1847"/>
      <c r="H135" s="1847"/>
      <c r="I135" s="1848" t="s">
        <v>1450</v>
      </c>
    </row>
    <row r="136" spans="1:35" ht="21.75" customHeight="1">
      <c r="A136" s="725"/>
      <c r="B136" s="1849" t="s">
        <v>1451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1452</v>
      </c>
    </row>
    <row r="139" spans="1:35" ht="21.75" customHeight="1">
      <c r="A139" s="725"/>
      <c r="B139" s="1849" t="s">
        <v>1453</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1452</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3" zoomScale="90" zoomScaleNormal="70" zoomScaleSheetLayoutView="90" workbookViewId="0">
      <selection activeCell="H51" sqref="H5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1454</v>
      </c>
      <c r="B1" s="1470"/>
      <c r="C1" s="198"/>
      <c r="D1" s="198"/>
      <c r="E1" s="198"/>
      <c r="F1" s="198"/>
      <c r="G1" s="1126">
        <f>MATCH(B1,'数据-取费表'!A6:A16,0)+5</f>
        <v>7</v>
      </c>
    </row>
    <row r="2" spans="1:9" s="200" customFormat="1" ht="18" customHeight="1">
      <c r="A2" s="201" t="s">
        <v>1455</v>
      </c>
      <c r="B2" s="202">
        <f ca="1">IF(D2="——",C52,C52-E2)</f>
        <v>145320</v>
      </c>
      <c r="C2" s="199" t="s">
        <v>1456</v>
      </c>
      <c r="D2" s="1852" t="s">
        <v>43</v>
      </c>
      <c r="E2" s="1169" t="e">
        <f ca="1">SUMIF(INDIRECT("'"&amp;G2&amp;"'"&amp;"!A:A"),"承租人权益价值",INDIRECT("'"&amp;G2&amp;"'"&amp;"!c:c"))</f>
        <v>#REF!</v>
      </c>
      <c r="F2" s="1853" t="s">
        <v>1456</v>
      </c>
      <c r="G2" s="1854"/>
    </row>
    <row r="3" spans="1:9" s="200" customFormat="1" ht="18" customHeight="1" thickBot="1">
      <c r="A3" s="203" t="s">
        <v>1457</v>
      </c>
      <c r="B3" s="204">
        <f ca="1">ROUND(B2*10000/(IF(B1="",'数据-汇总表'!E3,INDIRECT("'数据-取费表'!k"&amp;$G$1))),0)</f>
        <v>23043</v>
      </c>
      <c r="C3" s="199" t="s">
        <v>1458</v>
      </c>
      <c r="D3" s="199"/>
      <c r="E3" s="199"/>
      <c r="F3" s="199"/>
      <c r="G3" s="199"/>
    </row>
    <row r="4" spans="1:9" s="208" customFormat="1" ht="15.75">
      <c r="A4" s="205" t="s">
        <v>1459</v>
      </c>
      <c r="B4" s="206"/>
      <c r="C4" s="206"/>
      <c r="D4" s="206"/>
      <c r="E4" s="206"/>
      <c r="F4" s="206"/>
      <c r="G4" s="207"/>
    </row>
    <row r="5" spans="1:9" s="214" customFormat="1" ht="13.5" customHeight="1">
      <c r="A5" s="255" t="s">
        <v>1460</v>
      </c>
      <c r="B5" s="210" t="s">
        <v>1461</v>
      </c>
      <c r="C5" s="211">
        <f ca="1">C6+C7+C8</f>
        <v>55858</v>
      </c>
      <c r="D5" s="211" t="s">
        <v>1462</v>
      </c>
      <c r="E5" s="212" t="s">
        <v>1463</v>
      </c>
      <c r="F5" s="212" t="s">
        <v>1464</v>
      </c>
      <c r="G5" s="213"/>
    </row>
    <row r="6" spans="1:9" s="214" customFormat="1" ht="13.5" customHeight="1">
      <c r="A6" s="778" t="s">
        <v>1465</v>
      </c>
      <c r="B6" s="215" t="s">
        <v>1466</v>
      </c>
      <c r="C6" s="216">
        <f>基准地价修正!B2</f>
        <v>52981</v>
      </c>
      <c r="D6" s="217"/>
      <c r="E6" s="218"/>
      <c r="F6" s="218"/>
      <c r="G6" s="219"/>
    </row>
    <row r="7" spans="1:9" s="214" customFormat="1" ht="13.5" customHeight="1">
      <c r="A7" s="778" t="s">
        <v>1467</v>
      </c>
      <c r="B7" s="215" t="s">
        <v>1468</v>
      </c>
      <c r="C7" s="220">
        <f>ROUND(C6*F7,0)</f>
        <v>1616</v>
      </c>
      <c r="D7" s="220"/>
      <c r="E7" s="218"/>
      <c r="F7" s="221">
        <f>IF(项目基本情况!B8="出让",0,'数据-取费表'!B48+'数据-取费表'!B49)</f>
        <v>3.0499999999999999E-2</v>
      </c>
      <c r="G7" s="219"/>
    </row>
    <row r="8" spans="1:9" s="223" customFormat="1">
      <c r="A8" s="778" t="s">
        <v>1469</v>
      </c>
      <c r="B8" s="215" t="s">
        <v>1470</v>
      </c>
      <c r="C8" s="220">
        <f ca="1">IF(G8="已包含在土地购买价格中","0",IF(B1="",'数据-取费表'!B29,IF(G9="全部缴纳",C9+C10,H9)))</f>
        <v>1261</v>
      </c>
      <c r="D8" s="222"/>
      <c r="E8" s="220"/>
      <c r="F8" s="221"/>
      <c r="G8" s="1855" t="s">
        <v>3505</v>
      </c>
    </row>
    <row r="9" spans="1:9" s="214" customFormat="1" ht="13.5" customHeight="1">
      <c r="A9" s="779" t="s">
        <v>355</v>
      </c>
      <c r="B9" s="224" t="s">
        <v>1471</v>
      </c>
      <c r="C9" s="225">
        <f ca="1">ROUND(D9*E9/10000,0)</f>
        <v>0</v>
      </c>
      <c r="D9" s="845">
        <f ca="1">IF(B1="",'数据-汇总表'!E5,IF(INDIRECT("'数据-取费表'!c"&amp;$G$1)="住宅",INDIRECT("'数据-取费表'!k"&amp;$G$1),0))</f>
        <v>0</v>
      </c>
      <c r="E9" s="225">
        <f>'数据-取费表'!B27</f>
        <v>160</v>
      </c>
      <c r="F9" s="221"/>
      <c r="G9" s="1856"/>
      <c r="H9" s="1137"/>
      <c r="I9" s="1857" t="s">
        <v>1472</v>
      </c>
    </row>
    <row r="10" spans="1:9" s="214" customFormat="1" ht="13.5" customHeight="1">
      <c r="A10" s="779" t="s">
        <v>356</v>
      </c>
      <c r="B10" s="224" t="s">
        <v>1473</v>
      </c>
      <c r="C10" s="225">
        <f ca="1">ROUND(D10*E10/10000,0)</f>
        <v>1261</v>
      </c>
      <c r="D10" s="845">
        <f ca="1">IF(B1="",'数据-汇总表'!E6,IF(INDIRECT("'数据-取费表'!c"&amp;$G$1)="住宅",INDIRECT("'数据-取费表'!s"&amp;$G$1),INDIRECT("'数据-取费表'!k"&amp;$G$1)+INDIRECT("'数据-取费表'!s"&amp;$G$1)))</f>
        <v>63063.880000000005</v>
      </c>
      <c r="E10" s="225">
        <f>'数据-取费表'!B28</f>
        <v>200</v>
      </c>
      <c r="F10" s="221"/>
      <c r="G10" s="226"/>
    </row>
    <row r="11" spans="1:9" s="214" customFormat="1" ht="13.5" hidden="1" customHeight="1">
      <c r="A11" s="227" t="s">
        <v>4</v>
      </c>
      <c r="B11" s="215" t="s">
        <v>1474</v>
      </c>
      <c r="C11" s="211"/>
      <c r="D11" s="847"/>
      <c r="E11" s="218"/>
      <c r="F11" s="218"/>
      <c r="G11" s="219"/>
    </row>
    <row r="12" spans="1:9" s="214" customFormat="1" ht="13.5" hidden="1" customHeight="1">
      <c r="A12" s="227" t="s">
        <v>5</v>
      </c>
      <c r="B12" s="215" t="s">
        <v>1475</v>
      </c>
      <c r="C12" s="211">
        <v>0</v>
      </c>
      <c r="D12" s="847"/>
      <c r="E12" s="228"/>
      <c r="F12" s="221">
        <v>3.0499999999999999E-2</v>
      </c>
      <c r="G12" s="219"/>
    </row>
    <row r="13" spans="1:9" s="214" customFormat="1" ht="13.5" hidden="1" customHeight="1">
      <c r="A13" s="227" t="s">
        <v>6</v>
      </c>
      <c r="B13" s="215" t="s">
        <v>1476</v>
      </c>
      <c r="C13" s="211"/>
      <c r="D13" s="847"/>
      <c r="E13" s="218"/>
      <c r="F13" s="218"/>
      <c r="G13" s="219"/>
    </row>
    <row r="14" spans="1:9" s="214" customFormat="1" ht="13.5" hidden="1" customHeight="1">
      <c r="A14" s="227" t="s">
        <v>7</v>
      </c>
      <c r="B14" s="215" t="s">
        <v>1477</v>
      </c>
      <c r="C14" s="211"/>
      <c r="D14" s="847"/>
      <c r="E14" s="218"/>
      <c r="F14" s="218"/>
      <c r="G14" s="219" t="s">
        <v>1478</v>
      </c>
    </row>
    <row r="15" spans="1:9" s="214" customFormat="1" ht="13.5" hidden="1" customHeight="1">
      <c r="A15" s="227" t="s">
        <v>8</v>
      </c>
      <c r="B15" s="215" t="s">
        <v>1479</v>
      </c>
      <c r="C15" s="220"/>
      <c r="D15" s="847"/>
      <c r="E15" s="218"/>
      <c r="F15" s="218"/>
      <c r="G15" s="219" t="s">
        <v>1480</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1481</v>
      </c>
      <c r="C17" s="229"/>
      <c r="D17" s="848"/>
      <c r="E17" s="229"/>
      <c r="F17" s="229"/>
      <c r="G17" s="219" t="s">
        <v>1480</v>
      </c>
    </row>
    <row r="18" spans="1:7" s="214" customFormat="1" ht="13.5" hidden="1" customHeight="1">
      <c r="A18" s="227" t="s">
        <v>11</v>
      </c>
      <c r="B18" s="215" t="s">
        <v>1482</v>
      </c>
      <c r="C18" s="220">
        <v>0</v>
      </c>
      <c r="D18" s="847"/>
      <c r="E18" s="218"/>
      <c r="F18" s="221">
        <v>3.0499999999999999E-2</v>
      </c>
      <c r="G18" s="219" t="s">
        <v>1483</v>
      </c>
    </row>
    <row r="19" spans="1:7" s="223" customFormat="1" ht="13.5" customHeight="1">
      <c r="A19" s="255" t="s">
        <v>1484</v>
      </c>
      <c r="B19" s="210" t="s">
        <v>1485</v>
      </c>
      <c r="C19" s="211" t="str">
        <f>IF(G19="已包含在土地取得成本中","0",ROUND(D19*E19/10000,0))</f>
        <v>0</v>
      </c>
      <c r="D19" s="849">
        <f ca="1">D9+D10</f>
        <v>63063.880000000005</v>
      </c>
      <c r="E19" s="211">
        <f>'数据-取费表'!B31</f>
        <v>200</v>
      </c>
      <c r="F19" s="231"/>
      <c r="G19" s="1855" t="s">
        <v>3506</v>
      </c>
    </row>
    <row r="20" spans="1:7" s="214" customFormat="1" ht="13.5" customHeight="1">
      <c r="A20" s="255" t="s">
        <v>1486</v>
      </c>
      <c r="B20" s="210" t="s">
        <v>1487</v>
      </c>
      <c r="C20" s="232">
        <f ca="1">ROUND((C5+C19)*F20,0)</f>
        <v>1676</v>
      </c>
      <c r="D20" s="232"/>
      <c r="E20" s="232"/>
      <c r="F20" s="233">
        <f>'数据-取费表'!B37</f>
        <v>0.03</v>
      </c>
      <c r="G20" s="234" t="s">
        <v>1488</v>
      </c>
    </row>
    <row r="21" spans="1:7" s="214" customFormat="1" ht="13.5" customHeight="1">
      <c r="A21" s="255" t="s">
        <v>1489</v>
      </c>
      <c r="B21" s="210" t="s">
        <v>1490</v>
      </c>
      <c r="C21" s="235">
        <f>F21</f>
        <v>0.03</v>
      </c>
      <c r="D21" s="236" t="s">
        <v>1491</v>
      </c>
      <c r="E21" s="232"/>
      <c r="F21" s="233">
        <f>'数据-取费表'!B38</f>
        <v>0.03</v>
      </c>
      <c r="G21" s="234" t="s">
        <v>1492</v>
      </c>
    </row>
    <row r="22" spans="1:7" s="214" customFormat="1" ht="13.5" customHeight="1">
      <c r="A22" s="255" t="s">
        <v>1493</v>
      </c>
      <c r="B22" s="210" t="s">
        <v>1494</v>
      </c>
      <c r="C22" s="1104">
        <f ca="1">ROUND(SUM(C23:C25),0)</f>
        <v>6070</v>
      </c>
      <c r="D22" s="235">
        <f ca="1">C26</f>
        <v>1.6000000000000001E-3</v>
      </c>
      <c r="E22" s="236" t="s">
        <v>1491</v>
      </c>
      <c r="F22" s="237">
        <f ca="1">'数据-取费表'!B40</f>
        <v>3.4500000000000003E-2</v>
      </c>
      <c r="G22" s="234" t="str">
        <f>IF('数据-取费表'!B22&lt;=1,"单利计息","复利计息")</f>
        <v>复利计息</v>
      </c>
    </row>
    <row r="23" spans="1:7" s="214" customFormat="1" ht="13.5" customHeight="1">
      <c r="A23" s="780" t="s">
        <v>1495</v>
      </c>
      <c r="B23" s="215" t="s">
        <v>1496</v>
      </c>
      <c r="C23" s="1105">
        <f ca="1">ROUND(IF('数据-取费表'!B22&lt;=1,C5*F22*'数据-取费表'!B23,C5*(POWER((1+F22),'数据-取费表'!B23)-1)),0)</f>
        <v>5983</v>
      </c>
      <c r="D23" s="238"/>
      <c r="E23" s="238"/>
      <c r="F23" s="239"/>
      <c r="G23" s="240" t="s">
        <v>1497</v>
      </c>
    </row>
    <row r="24" spans="1:7" s="214" customFormat="1" ht="13.5" customHeight="1">
      <c r="A24" s="780" t="s">
        <v>1498</v>
      </c>
      <c r="B24" s="215" t="s">
        <v>1499</v>
      </c>
      <c r="C24" s="1105">
        <f ca="1">ROUND(IF('数据-取费表'!B22&lt;=1,C19*F22*('数据-取费表'!B19/2+'数据-取费表'!B21),C19*(POWER((1+F22),('数据-取费表'!B19/2+'数据-取费表'!B21))-1)),0)</f>
        <v>0</v>
      </c>
      <c r="D24" s="238"/>
      <c r="E24" s="238"/>
      <c r="F24" s="239"/>
      <c r="G24" s="240" t="s">
        <v>1500</v>
      </c>
    </row>
    <row r="25" spans="1:7" s="214" customFormat="1" ht="24">
      <c r="A25" s="780" t="s">
        <v>1501</v>
      </c>
      <c r="B25" s="215" t="s">
        <v>1502</v>
      </c>
      <c r="C25" s="1105">
        <f ca="1">ROUND(IF('数据-取费表'!B22&lt;=1,C20*F22*'数据-取费表'!B23/2,C20*(POWER((1+F22),'数据-取费表'!B23/2)-1)),0)</f>
        <v>87</v>
      </c>
      <c r="D25" s="238"/>
      <c r="E25" s="241"/>
      <c r="F25" s="239"/>
      <c r="G25" s="242" t="s">
        <v>1503</v>
      </c>
    </row>
    <row r="26" spans="1:7" s="214" customFormat="1">
      <c r="A26" s="780" t="s">
        <v>350</v>
      </c>
      <c r="B26" s="215" t="s">
        <v>1504</v>
      </c>
      <c r="C26" s="238">
        <f ca="1">ROUND(IF('数据-取费表'!B22&lt;=1,F21*F22*'数据-取费表'!B23/2,F21*(POWER((1+F22),'数据-取费表'!B23/2)-1)),4)</f>
        <v>1.6000000000000001E-3</v>
      </c>
      <c r="D26" s="238"/>
      <c r="E26" s="241"/>
      <c r="F26" s="239"/>
      <c r="G26" s="243"/>
    </row>
    <row r="27" spans="1:7" s="214" customFormat="1" ht="24.75">
      <c r="A27" s="255" t="s">
        <v>1505</v>
      </c>
      <c r="B27" s="244" t="s">
        <v>1506</v>
      </c>
      <c r="C27" s="245">
        <f ca="1">C28</f>
        <v>11507</v>
      </c>
      <c r="D27" s="235">
        <f ca="1">C29</f>
        <v>6.0000000000000001E-3</v>
      </c>
      <c r="E27" s="236" t="s">
        <v>1507</v>
      </c>
      <c r="F27" s="246">
        <f ca="1">IF(B1="",'数据-取费表'!Q16,INDIRECT("'数据-取费表'!q"&amp;$G$1))</f>
        <v>0.2</v>
      </c>
      <c r="G27" s="247" t="s">
        <v>1508</v>
      </c>
    </row>
    <row r="28" spans="1:7" s="214" customFormat="1" ht="13.5" customHeight="1">
      <c r="A28" s="780" t="s">
        <v>346</v>
      </c>
      <c r="B28" s="248" t="s">
        <v>1509</v>
      </c>
      <c r="C28" s="249">
        <f ca="1">ROUND((C5+C19+C20)*F27*'数据-取费表'!B21/'数据-取费表'!B20,0)</f>
        <v>11507</v>
      </c>
      <c r="D28" s="235"/>
      <c r="E28" s="236"/>
      <c r="F28" s="246"/>
      <c r="G28" s="247"/>
    </row>
    <row r="29" spans="1:7" s="214" customFormat="1" ht="13.5" customHeight="1">
      <c r="A29" s="780" t="s">
        <v>347</v>
      </c>
      <c r="B29" s="248" t="s">
        <v>1510</v>
      </c>
      <c r="C29" s="238">
        <f ca="1">ROUND(C21*F27*'数据-取费表'!B21/'数据-取费表'!B20,4)</f>
        <v>6.0000000000000001E-3</v>
      </c>
      <c r="D29" s="235"/>
      <c r="E29" s="236"/>
      <c r="F29" s="246"/>
      <c r="G29" s="247"/>
    </row>
    <row r="30" spans="1:7" s="214" customFormat="1" ht="13.5" customHeight="1">
      <c r="A30" s="255" t="s">
        <v>1511</v>
      </c>
      <c r="B30" s="210" t="s">
        <v>1512</v>
      </c>
      <c r="C30" s="235">
        <f>ROUND(F30/(1+'数据-取费表'!C42),4)</f>
        <v>5.33E-2</v>
      </c>
      <c r="D30" s="236" t="s">
        <v>1507</v>
      </c>
      <c r="E30" s="241"/>
      <c r="F30" s="237">
        <f>'数据-取费表'!B41</f>
        <v>5.6000000000000001E-2</v>
      </c>
      <c r="G30" s="234" t="s">
        <v>1513</v>
      </c>
    </row>
    <row r="31" spans="1:7" ht="16.5" customHeight="1">
      <c r="A31" s="209">
        <v>1</v>
      </c>
      <c r="B31" s="210" t="s">
        <v>1514</v>
      </c>
      <c r="C31" s="211">
        <f ca="1">ROUND((C5+C19+C20+C22+C27)/(1-C21-D22-D27-C30),0)</f>
        <v>82621</v>
      </c>
      <c r="D31" s="230"/>
      <c r="E31" s="211"/>
      <c r="F31" s="250"/>
      <c r="G31" s="234" t="s">
        <v>1515</v>
      </c>
    </row>
    <row r="32" spans="1:7" s="208" customFormat="1" ht="15.75">
      <c r="A32" s="252" t="s">
        <v>1516</v>
      </c>
      <c r="B32" s="253"/>
      <c r="C32" s="253"/>
      <c r="D32" s="253"/>
      <c r="E32" s="253"/>
      <c r="F32" s="253"/>
      <c r="G32" s="254"/>
    </row>
    <row r="33" spans="1:7" s="214" customFormat="1" ht="13.5" customHeight="1">
      <c r="A33" s="255" t="s">
        <v>337</v>
      </c>
      <c r="B33" s="210" t="s">
        <v>1517</v>
      </c>
      <c r="C33" s="256">
        <f ca="1">SUM(C34:C38)</f>
        <v>55244</v>
      </c>
      <c r="D33" s="232"/>
      <c r="E33" s="212"/>
      <c r="F33" s="241"/>
      <c r="G33" s="234"/>
    </row>
    <row r="34" spans="1:7" s="258" customFormat="1" ht="13.5" customHeight="1">
      <c r="A34" s="780" t="s">
        <v>346</v>
      </c>
      <c r="B34" s="215" t="s">
        <v>1518</v>
      </c>
      <c r="C34" s="220">
        <f ca="1">IF(B1="",IF(F34=100%,'数据-取费表'!M16,'数据-取费表'!O16),IF(F34=100%,INDIRECT("'数据-取费表'!m"&amp;$G$1)+INDIRECT("'数据-取费表'!t"&amp;$G$1),INDIRECT("'数据-取费表'!o"&amp;$G$1)+INDIRECT("'数据-取费表'!aq"&amp;$G$1)))</f>
        <v>50451</v>
      </c>
      <c r="D34" s="217"/>
      <c r="E34" s="220"/>
      <c r="F34" s="257">
        <f ca="1">IF('数据-取费表'!B24=0,1,IF(B1="",'数据-取费表'!N16,INDIRECT("'数据-取费表'!n"&amp;$G$1)))</f>
        <v>1</v>
      </c>
      <c r="G34" s="219" t="s">
        <v>1519</v>
      </c>
    </row>
    <row r="35" spans="1:7" ht="13.5" customHeight="1">
      <c r="A35" s="780" t="s">
        <v>351</v>
      </c>
      <c r="B35" s="215" t="s">
        <v>1520</v>
      </c>
      <c r="C35" s="220">
        <f ca="1">ROUND(C34*F35,0)</f>
        <v>2523</v>
      </c>
      <c r="D35" s="220"/>
      <c r="E35" s="220"/>
      <c r="F35" s="259">
        <f>'数据-取费表'!B33</f>
        <v>0.05</v>
      </c>
      <c r="G35" s="219" t="s">
        <v>1521</v>
      </c>
    </row>
    <row r="36" spans="1:7" ht="24">
      <c r="A36" s="780" t="s">
        <v>352</v>
      </c>
      <c r="B36" s="215" t="s">
        <v>1522</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1523</v>
      </c>
    </row>
    <row r="37" spans="1:7" s="258" customFormat="1" ht="13.5" customHeight="1">
      <c r="A37" s="780" t="s">
        <v>353</v>
      </c>
      <c r="B37" s="215" t="s">
        <v>1524</v>
      </c>
      <c r="C37" s="249">
        <f ca="1">ROUND(E37*D37*F34/10000,0)</f>
        <v>1261</v>
      </c>
      <c r="D37" s="217">
        <f ca="1">D19</f>
        <v>63063.880000000005</v>
      </c>
      <c r="E37" s="249">
        <f>'数据-取费表'!B35</f>
        <v>200</v>
      </c>
      <c r="F37" s="259"/>
      <c r="G37" s="261" t="s">
        <v>1525</v>
      </c>
    </row>
    <row r="38" spans="1:7" ht="13.5" customHeight="1">
      <c r="A38" s="780" t="s">
        <v>354</v>
      </c>
      <c r="B38" s="215" t="s">
        <v>1526</v>
      </c>
      <c r="C38" s="220">
        <f ca="1">ROUND(C34*F38,0)</f>
        <v>1009</v>
      </c>
      <c r="D38" s="220"/>
      <c r="E38" s="220"/>
      <c r="F38" s="259">
        <f>'数据-取费表'!B36</f>
        <v>0.02</v>
      </c>
      <c r="G38" s="219" t="s">
        <v>1521</v>
      </c>
    </row>
    <row r="39" spans="1:7" s="214" customFormat="1" ht="13.5" customHeight="1">
      <c r="A39" s="255" t="s">
        <v>1527</v>
      </c>
      <c r="B39" s="210" t="s">
        <v>1528</v>
      </c>
      <c r="C39" s="232">
        <f ca="1">ROUND(C33*F20,0)</f>
        <v>1657</v>
      </c>
      <c r="D39" s="232"/>
      <c r="E39" s="232"/>
      <c r="F39" s="233">
        <f>F20</f>
        <v>0.03</v>
      </c>
      <c r="G39" s="234" t="s">
        <v>1529</v>
      </c>
    </row>
    <row r="40" spans="1:7" s="214" customFormat="1" ht="13.5" customHeight="1">
      <c r="A40" s="255" t="s">
        <v>1530</v>
      </c>
      <c r="B40" s="210" t="s">
        <v>1531</v>
      </c>
      <c r="C40" s="1327">
        <f>F21</f>
        <v>0.03</v>
      </c>
      <c r="D40" s="236" t="s">
        <v>1532</v>
      </c>
      <c r="E40" s="232"/>
      <c r="F40" s="233">
        <f>F21</f>
        <v>0.03</v>
      </c>
      <c r="G40" s="234" t="s">
        <v>1533</v>
      </c>
    </row>
    <row r="41" spans="1:7" s="214" customFormat="1" ht="13.5" customHeight="1">
      <c r="A41" s="255" t="s">
        <v>1534</v>
      </c>
      <c r="B41" s="210" t="s">
        <v>1535</v>
      </c>
      <c r="C41" s="232">
        <f ca="1">ROUND(SUM(C42:C43),0)</f>
        <v>2969</v>
      </c>
      <c r="D41" s="235">
        <f ca="1">C44</f>
        <v>1.6000000000000001E-3</v>
      </c>
      <c r="E41" s="236" t="s">
        <v>1532</v>
      </c>
      <c r="F41" s="237">
        <f ca="1">F22</f>
        <v>3.4500000000000003E-2</v>
      </c>
      <c r="G41" s="234" t="str">
        <f>IF('数据-取费表'!B22&lt;=1,"单利计息","复利计息")</f>
        <v>复利计息</v>
      </c>
    </row>
    <row r="42" spans="1:7" ht="13.5" customHeight="1">
      <c r="A42" s="780" t="s">
        <v>346</v>
      </c>
      <c r="B42" s="215" t="s">
        <v>1536</v>
      </c>
      <c r="C42" s="238">
        <f ca="1">ROUND(IF('数据-取费表'!B22&lt;=1,C33*F22*'数据-取费表'!B21/2,C33*(POWER((1+F22),'数据-取费表'!B21/2)-1)),0)</f>
        <v>2883</v>
      </c>
      <c r="D42" s="238"/>
      <c r="E42" s="238"/>
      <c r="F42" s="239"/>
      <c r="G42" s="3685" t="s">
        <v>1537</v>
      </c>
    </row>
    <row r="43" spans="1:7" ht="13.5" customHeight="1">
      <c r="A43" s="780" t="s">
        <v>347</v>
      </c>
      <c r="B43" s="215" t="s">
        <v>1538</v>
      </c>
      <c r="C43" s="238">
        <f ca="1">ROUND(IF('数据-取费表'!B22&lt;=1,C39*F22*'数据-取费表'!B21/2,C39*(POWER((1+F22),'数据-取费表'!B21/2)-1)),0)</f>
        <v>86</v>
      </c>
      <c r="D43" s="238"/>
      <c r="E43" s="238"/>
      <c r="F43" s="239"/>
      <c r="G43" s="3686"/>
    </row>
    <row r="44" spans="1:7" ht="13.5" customHeight="1">
      <c r="A44" s="780" t="s">
        <v>348</v>
      </c>
      <c r="B44" s="215" t="s">
        <v>1539</v>
      </c>
      <c r="C44" s="238">
        <f ca="1">ROUND(IF('数据-取费表'!B22&lt;=1,C40*F22*'数据-取费表'!B21/2,C40*(POWER((1+F22),'数据-取费表'!B21/2)-1)),4)</f>
        <v>1.6000000000000001E-3</v>
      </c>
      <c r="D44" s="238"/>
      <c r="E44" s="238"/>
      <c r="F44" s="239"/>
      <c r="G44" s="3687"/>
    </row>
    <row r="45" spans="1:7" s="214" customFormat="1" ht="13.5" customHeight="1">
      <c r="A45" s="255" t="s">
        <v>1540</v>
      </c>
      <c r="B45" s="244" t="s">
        <v>1506</v>
      </c>
      <c r="C45" s="245">
        <f ca="1">C46</f>
        <v>11380</v>
      </c>
      <c r="D45" s="235">
        <f ca="1">C47</f>
        <v>6.0000000000000001E-3</v>
      </c>
      <c r="E45" s="236" t="s">
        <v>1532</v>
      </c>
      <c r="F45" s="246">
        <f ca="1">F27</f>
        <v>0.2</v>
      </c>
      <c r="G45" s="247" t="s">
        <v>1541</v>
      </c>
    </row>
    <row r="46" spans="1:7" s="214" customFormat="1" ht="13.5" customHeight="1">
      <c r="A46" s="780" t="s">
        <v>346</v>
      </c>
      <c r="B46" s="248" t="s">
        <v>1542</v>
      </c>
      <c r="C46" s="249">
        <f ca="1">ROUND((C33+C39)*F27,0)</f>
        <v>11380</v>
      </c>
      <c r="D46" s="263"/>
      <c r="E46" s="236"/>
      <c r="F46" s="246"/>
      <c r="G46" s="247"/>
    </row>
    <row r="47" spans="1:7" s="214" customFormat="1" ht="13.5" customHeight="1">
      <c r="A47" s="780" t="s">
        <v>347</v>
      </c>
      <c r="B47" s="248" t="s">
        <v>1543</v>
      </c>
      <c r="C47" s="238">
        <f ca="1">ROUND(C40*F27,4)</f>
        <v>6.0000000000000001E-3</v>
      </c>
      <c r="D47" s="263"/>
      <c r="E47" s="236"/>
      <c r="F47" s="246"/>
      <c r="G47" s="247"/>
    </row>
    <row r="48" spans="1:7" s="214" customFormat="1" ht="13.5" customHeight="1">
      <c r="A48" s="255" t="s">
        <v>1505</v>
      </c>
      <c r="B48" s="210" t="s">
        <v>1544</v>
      </c>
      <c r="C48" s="1327">
        <f>ROUND(F30/(1+'数据-取费表'!C42),4)</f>
        <v>5.33E-2</v>
      </c>
      <c r="D48" s="236" t="s">
        <v>1532</v>
      </c>
      <c r="E48" s="232"/>
      <c r="F48" s="237">
        <f>F30</f>
        <v>5.6000000000000001E-2</v>
      </c>
      <c r="G48" s="234" t="s">
        <v>1545</v>
      </c>
    </row>
    <row r="49" spans="1:7" ht="16.5" customHeight="1">
      <c r="A49" s="255" t="s">
        <v>1511</v>
      </c>
      <c r="B49" s="210" t="s">
        <v>1546</v>
      </c>
      <c r="C49" s="232">
        <f ca="1">ROUND((C33+C39+C41+C45)/(1-C40-D41-D45-C48),0)</f>
        <v>78374</v>
      </c>
      <c r="D49" s="232"/>
      <c r="E49" s="232"/>
      <c r="F49" s="264"/>
      <c r="G49" s="234" t="s">
        <v>1547</v>
      </c>
    </row>
    <row r="50" spans="1:7" s="258" customFormat="1" ht="24">
      <c r="A50" s="255" t="s">
        <v>1548</v>
      </c>
      <c r="B50" s="210" t="s">
        <v>1549</v>
      </c>
      <c r="C50" s="232"/>
      <c r="D50" s="232"/>
      <c r="E50" s="232"/>
      <c r="F50" s="264">
        <f>IF('数据-取费表'!B24=0,'数据-取费表'!N16,1)</f>
        <v>0.8</v>
      </c>
      <c r="G50" s="247" t="s">
        <v>1550</v>
      </c>
    </row>
    <row r="51" spans="1:7" ht="16.5" customHeight="1">
      <c r="A51" s="255" t="s">
        <v>1551</v>
      </c>
      <c r="B51" s="210" t="s">
        <v>1552</v>
      </c>
      <c r="C51" s="232">
        <f ca="1">ROUND(C49*F50,0)</f>
        <v>62699</v>
      </c>
      <c r="D51" s="232"/>
      <c r="E51" s="232"/>
      <c r="F51" s="264"/>
      <c r="G51" s="234" t="s">
        <v>1553</v>
      </c>
    </row>
    <row r="52" spans="1:7" s="208" customFormat="1" ht="16.5" thickBot="1">
      <c r="A52" s="265" t="s">
        <v>1554</v>
      </c>
      <c r="B52" s="266"/>
      <c r="C52" s="267">
        <f ca="1">C31+C51</f>
        <v>145320</v>
      </c>
      <c r="D52" s="266"/>
      <c r="E52" s="266"/>
      <c r="F52" s="266"/>
      <c r="G52" s="268"/>
    </row>
    <row r="55" spans="1:7" ht="15">
      <c r="B55" s="270" t="s">
        <v>1555</v>
      </c>
      <c r="C55" s="271"/>
    </row>
    <row r="56" spans="1:7">
      <c r="B56" s="273" t="s">
        <v>797</v>
      </c>
      <c r="C56" s="275">
        <f ca="1">1-C57</f>
        <v>0.56899999999999995</v>
      </c>
    </row>
    <row r="57" spans="1:7">
      <c r="B57" s="273" t="s">
        <v>798</v>
      </c>
      <c r="C57" s="274">
        <f ca="1">ROUND(C51/C52,3)</f>
        <v>0.43099999999999999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1454</v>
      </c>
      <c r="B1" s="1470"/>
      <c r="C1" s="1858" t="s">
        <v>1556</v>
      </c>
      <c r="D1" s="198"/>
      <c r="E1" s="198"/>
      <c r="F1" s="198"/>
      <c r="G1" s="1126">
        <f>MATCH(B1,'数据-取费表'!A6:A16,0)+5</f>
        <v>7</v>
      </c>
      <c r="H1" s="1061" t="str">
        <f>IF(ISERROR(FIND("住宅",B1)),"非住宅","住宅")</f>
        <v>非住宅</v>
      </c>
    </row>
    <row r="2" spans="1:8" s="200" customFormat="1" ht="18" customHeight="1">
      <c r="A2" s="201" t="s">
        <v>1455</v>
      </c>
      <c r="B2" s="3419">
        <f ca="1">ROUND(IF(D2="——",C52/10000,C52/10000-E2),4)</f>
        <v>66431.817999999999</v>
      </c>
      <c r="C2" s="199" t="s">
        <v>1456</v>
      </c>
      <c r="D2" s="1852" t="s">
        <v>43</v>
      </c>
      <c r="E2" s="1169" t="e">
        <f ca="1">SUMIF(INDIRECT("'"&amp;G2&amp;"'"&amp;"!A:A"),"承租人权益价值",INDIRECT("'"&amp;G2&amp;"'"&amp;"!c:c"))</f>
        <v>#REF!</v>
      </c>
      <c r="F2" s="1853" t="s">
        <v>1456</v>
      </c>
      <c r="G2" s="1854"/>
    </row>
    <row r="3" spans="1:8" s="200" customFormat="1" ht="18" customHeight="1" thickBot="1">
      <c r="A3" s="203" t="s">
        <v>1457</v>
      </c>
      <c r="B3" s="204">
        <f ca="1">ROUND(B2*10000/(IF(B1="",'数据-汇总表'!E3,INDIRECT("'数据-取费表'!k"&amp;$G$1))),0)</f>
        <v>10534</v>
      </c>
      <c r="C3" s="199" t="s">
        <v>1458</v>
      </c>
      <c r="D3" s="199"/>
      <c r="E3" s="199"/>
      <c r="F3" s="199"/>
      <c r="G3" s="199"/>
    </row>
    <row r="4" spans="1:8" s="208" customFormat="1" ht="15.75">
      <c r="A4" s="205" t="s">
        <v>1459</v>
      </c>
      <c r="B4" s="206"/>
      <c r="C4" s="206"/>
      <c r="D4" s="206"/>
      <c r="E4" s="206"/>
      <c r="F4" s="206"/>
      <c r="G4" s="207"/>
    </row>
    <row r="5" spans="1:8" s="214" customFormat="1" ht="13.5" customHeight="1">
      <c r="A5" s="255" t="s">
        <v>1460</v>
      </c>
      <c r="B5" s="210" t="s">
        <v>1461</v>
      </c>
      <c r="C5" s="211">
        <f ca="1">C6+C7+C8</f>
        <v>12612776</v>
      </c>
      <c r="D5" s="211" t="s">
        <v>1462</v>
      </c>
      <c r="E5" s="212" t="s">
        <v>1463</v>
      </c>
      <c r="F5" s="212" t="s">
        <v>1464</v>
      </c>
      <c r="G5" s="213"/>
    </row>
    <row r="6" spans="1:8" s="214" customFormat="1" ht="13.5" customHeight="1">
      <c r="A6" s="778" t="s">
        <v>1465</v>
      </c>
      <c r="B6" s="215" t="s">
        <v>1466</v>
      </c>
      <c r="C6" s="216"/>
      <c r="D6" s="217"/>
      <c r="E6" s="218"/>
      <c r="F6" s="218"/>
      <c r="G6" s="219"/>
    </row>
    <row r="7" spans="1:8" s="214" customFormat="1" ht="13.5" customHeight="1">
      <c r="A7" s="778" t="s">
        <v>1467</v>
      </c>
      <c r="B7" s="215" t="s">
        <v>1468</v>
      </c>
      <c r="C7" s="220">
        <f>ROUND(C6*F7,0)</f>
        <v>0</v>
      </c>
      <c r="D7" s="220"/>
      <c r="E7" s="218"/>
      <c r="F7" s="221">
        <f>IF(项目基本情况!B8="出让",0,'数据-取费表'!B48+'数据-取费表'!B49)</f>
        <v>3.0499999999999999E-2</v>
      </c>
      <c r="G7" s="219"/>
    </row>
    <row r="8" spans="1:8" s="223" customFormat="1">
      <c r="A8" s="778" t="s">
        <v>1469</v>
      </c>
      <c r="B8" s="215" t="s">
        <v>1470</v>
      </c>
      <c r="C8" s="220">
        <f ca="1">IF(G8="已包含在土地购买价格中",0,C9+C10)</f>
        <v>12612776</v>
      </c>
      <c r="D8" s="222"/>
      <c r="E8" s="220"/>
      <c r="F8" s="221"/>
      <c r="G8" s="1855"/>
    </row>
    <row r="9" spans="1:8" s="214" customFormat="1" ht="13.5" customHeight="1">
      <c r="A9" s="779" t="s">
        <v>355</v>
      </c>
      <c r="B9" s="224" t="s">
        <v>1471</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1473</v>
      </c>
      <c r="C10" s="225">
        <f ca="1">ROUND(D10*E10,0)</f>
        <v>12612776</v>
      </c>
      <c r="D10" s="845">
        <f ca="1">IF(B1="",'数据-汇总表'!E6,IF(INDIRECT("'数据-取费表'!c"&amp;$G$1)="住宅",INDIRECT("'数据-取费表'!s"&amp;$G$1),INDIRECT("'数据-取费表'!k"&amp;$G$1)+INDIRECT("'数据-取费表'!s"&amp;$G$1)))</f>
        <v>63063.880000000005</v>
      </c>
      <c r="E10" s="225">
        <f>'数据-取费表'!B28</f>
        <v>200</v>
      </c>
      <c r="F10" s="221"/>
      <c r="G10" s="226"/>
    </row>
    <row r="11" spans="1:8" s="214" customFormat="1" ht="13.5" hidden="1" customHeight="1">
      <c r="A11" s="227" t="s">
        <v>4</v>
      </c>
      <c r="B11" s="215" t="s">
        <v>1474</v>
      </c>
      <c r="C11" s="211"/>
      <c r="D11" s="847"/>
      <c r="E11" s="218"/>
      <c r="F11" s="218"/>
      <c r="G11" s="219"/>
    </row>
    <row r="12" spans="1:8" s="214" customFormat="1" ht="13.5" hidden="1" customHeight="1">
      <c r="A12" s="227" t="s">
        <v>5</v>
      </c>
      <c r="B12" s="215" t="s">
        <v>1557</v>
      </c>
      <c r="C12" s="211">
        <v>0</v>
      </c>
      <c r="D12" s="847"/>
      <c r="E12" s="228"/>
      <c r="F12" s="221">
        <v>3.0499999999999999E-2</v>
      </c>
      <c r="G12" s="219"/>
    </row>
    <row r="13" spans="1:8" s="214" customFormat="1" ht="13.5" hidden="1" customHeight="1">
      <c r="A13" s="227" t="s">
        <v>6</v>
      </c>
      <c r="B13" s="215" t="s">
        <v>1558</v>
      </c>
      <c r="C13" s="211"/>
      <c r="D13" s="847"/>
      <c r="E13" s="218"/>
      <c r="F13" s="218"/>
      <c r="G13" s="219"/>
    </row>
    <row r="14" spans="1:8" s="214" customFormat="1" ht="13.5" hidden="1" customHeight="1">
      <c r="A14" s="227" t="s">
        <v>7</v>
      </c>
      <c r="B14" s="215" t="s">
        <v>1470</v>
      </c>
      <c r="C14" s="211"/>
      <c r="D14" s="847"/>
      <c r="E14" s="218"/>
      <c r="F14" s="218"/>
      <c r="G14" s="219" t="s">
        <v>1559</v>
      </c>
    </row>
    <row r="15" spans="1:8" s="214" customFormat="1" ht="13.5" hidden="1" customHeight="1">
      <c r="A15" s="227" t="s">
        <v>8</v>
      </c>
      <c r="B15" s="215" t="s">
        <v>1560</v>
      </c>
      <c r="C15" s="220"/>
      <c r="D15" s="847"/>
      <c r="E15" s="218"/>
      <c r="F15" s="218"/>
      <c r="G15" s="219" t="s">
        <v>1561</v>
      </c>
    </row>
    <row r="16" spans="1:8" s="214" customFormat="1" ht="13.5" hidden="1" customHeight="1">
      <c r="A16" s="227" t="s">
        <v>9</v>
      </c>
      <c r="B16" s="215" t="s">
        <v>1470</v>
      </c>
      <c r="C16" s="220"/>
      <c r="D16" s="847"/>
      <c r="E16" s="218"/>
      <c r="F16" s="218"/>
      <c r="G16" s="219"/>
    </row>
    <row r="17" spans="1:7" s="214" customFormat="1" ht="13.5" hidden="1" customHeight="1">
      <c r="A17" s="227" t="s">
        <v>10</v>
      </c>
      <c r="B17" s="215" t="s">
        <v>1562</v>
      </c>
      <c r="C17" s="229"/>
      <c r="D17" s="848"/>
      <c r="E17" s="229"/>
      <c r="F17" s="229"/>
      <c r="G17" s="219" t="s">
        <v>1561</v>
      </c>
    </row>
    <row r="18" spans="1:7" s="214" customFormat="1" ht="13.5" hidden="1" customHeight="1">
      <c r="A18" s="227" t="s">
        <v>11</v>
      </c>
      <c r="B18" s="215" t="s">
        <v>1563</v>
      </c>
      <c r="C18" s="220">
        <v>0</v>
      </c>
      <c r="D18" s="847"/>
      <c r="E18" s="218"/>
      <c r="F18" s="221">
        <v>3.0499999999999999E-2</v>
      </c>
      <c r="G18" s="219" t="s">
        <v>1564</v>
      </c>
    </row>
    <row r="19" spans="1:7" s="223" customFormat="1" ht="13.5" customHeight="1">
      <c r="A19" s="255" t="s">
        <v>1565</v>
      </c>
      <c r="B19" s="210" t="s">
        <v>1566</v>
      </c>
      <c r="C19" s="211">
        <f ca="1">IF(G19="已包含在土地取得成本中","0",ROUND(D19*E19,0))</f>
        <v>12612776</v>
      </c>
      <c r="D19" s="849">
        <f ca="1">D9+D10</f>
        <v>63063.880000000005</v>
      </c>
      <c r="E19" s="211">
        <f>'数据-取费表'!B31</f>
        <v>200</v>
      </c>
      <c r="F19" s="231"/>
      <c r="G19" s="1855"/>
    </row>
    <row r="20" spans="1:7" s="214" customFormat="1" ht="13.5" customHeight="1">
      <c r="A20" s="255" t="s">
        <v>1567</v>
      </c>
      <c r="B20" s="210" t="s">
        <v>1568</v>
      </c>
      <c r="C20" s="232">
        <f ca="1">ROUND((C5+C19)*F20,0)</f>
        <v>756767</v>
      </c>
      <c r="D20" s="232"/>
      <c r="E20" s="232"/>
      <c r="F20" s="233">
        <f>'数据-取费表'!B37</f>
        <v>0.03</v>
      </c>
      <c r="G20" s="234" t="s">
        <v>1569</v>
      </c>
    </row>
    <row r="21" spans="1:7" s="214" customFormat="1" ht="13.5" customHeight="1">
      <c r="A21" s="255" t="s">
        <v>1570</v>
      </c>
      <c r="B21" s="210" t="s">
        <v>1571</v>
      </c>
      <c r="C21" s="235">
        <f>F21</f>
        <v>0.03</v>
      </c>
      <c r="D21" s="236" t="s">
        <v>1572</v>
      </c>
      <c r="E21" s="232"/>
      <c r="F21" s="233">
        <f>'数据-取费表'!B38</f>
        <v>0.03</v>
      </c>
      <c r="G21" s="234" t="s">
        <v>1573</v>
      </c>
    </row>
    <row r="22" spans="1:7" s="214" customFormat="1" ht="13.5" customHeight="1">
      <c r="A22" s="255" t="s">
        <v>1574</v>
      </c>
      <c r="B22" s="210" t="s">
        <v>1575</v>
      </c>
      <c r="C22" s="1127">
        <f ca="1">ROUND(SUM(C23:C25),0)</f>
        <v>2741453</v>
      </c>
      <c r="D22" s="235">
        <f ca="1">C26</f>
        <v>1.6000000000000001E-3</v>
      </c>
      <c r="E22" s="236" t="s">
        <v>1572</v>
      </c>
      <c r="F22" s="237">
        <f ca="1">'数据-取费表'!B40</f>
        <v>3.4500000000000003E-2</v>
      </c>
      <c r="G22" s="234" t="str">
        <f>IF('数据-取费表'!B22&lt;=1,"单利计息","复利计息")</f>
        <v>复利计息</v>
      </c>
    </row>
    <row r="23" spans="1:7" s="214" customFormat="1" ht="13.5" customHeight="1">
      <c r="A23" s="780" t="s">
        <v>1465</v>
      </c>
      <c r="B23" s="215" t="s">
        <v>1576</v>
      </c>
      <c r="C23" s="1128">
        <f ca="1">ROUND(IF('数据-取费表'!B22&lt;=1,C5*F22*'数据-取费表'!B22,C5*(POWER((1+F22),'数据-取费表'!B22)-1)),0)</f>
        <v>1350977</v>
      </c>
      <c r="D23" s="238"/>
      <c r="E23" s="238"/>
      <c r="F23" s="239"/>
      <c r="G23" s="240" t="s">
        <v>1577</v>
      </c>
    </row>
    <row r="24" spans="1:7" s="214" customFormat="1" ht="13.5" customHeight="1">
      <c r="A24" s="780" t="s">
        <v>1467</v>
      </c>
      <c r="B24" s="215" t="s">
        <v>1578</v>
      </c>
      <c r="C24" s="1128">
        <f ca="1">ROUND(IF('数据-取费表'!B22&lt;=1,C19*F22*('数据-取费表'!B19/2+'数据-取费表'!B20),C19*(POWER((1+F22),('数据-取费表'!B19/2+'数据-取费表'!B20))-1)),0)</f>
        <v>1350977</v>
      </c>
      <c r="D24" s="238"/>
      <c r="E24" s="238"/>
      <c r="F24" s="239"/>
      <c r="G24" s="240" t="s">
        <v>1579</v>
      </c>
    </row>
    <row r="25" spans="1:7" s="214" customFormat="1" ht="24">
      <c r="A25" s="780" t="s">
        <v>1469</v>
      </c>
      <c r="B25" s="215" t="s">
        <v>1580</v>
      </c>
      <c r="C25" s="1128">
        <f ca="1">ROUND(IF('数据-取费表'!B22&lt;=1,C20*F22*'数据-取费表'!B22/2,C20*(POWER((1+F22),'数据-取费表'!B22/2)-1)),0)</f>
        <v>39499</v>
      </c>
      <c r="D25" s="238"/>
      <c r="E25" s="241"/>
      <c r="F25" s="239"/>
      <c r="G25" s="242" t="s">
        <v>1581</v>
      </c>
    </row>
    <row r="26" spans="1:7" s="214" customFormat="1">
      <c r="A26" s="780" t="s">
        <v>350</v>
      </c>
      <c r="B26" s="215" t="s">
        <v>1504</v>
      </c>
      <c r="C26" s="238">
        <f ca="1">ROUND(IF('数据-取费表'!B22&lt;=1,F21*F22*'数据-取费表'!B22/2,F21*(POWER((1+F22),'数据-取费表'!B22/2)-1)),4)</f>
        <v>1.6000000000000001E-3</v>
      </c>
      <c r="D26" s="238"/>
      <c r="E26" s="241"/>
      <c r="F26" s="239"/>
      <c r="G26" s="243"/>
    </row>
    <row r="27" spans="1:7" s="214" customFormat="1" ht="24.75">
      <c r="A27" s="255" t="s">
        <v>1505</v>
      </c>
      <c r="B27" s="244" t="s">
        <v>1506</v>
      </c>
      <c r="C27" s="245">
        <f ca="1">C28</f>
        <v>5196464</v>
      </c>
      <c r="D27" s="235">
        <f ca="1">C29</f>
        <v>6.0000000000000001E-3</v>
      </c>
      <c r="E27" s="236" t="s">
        <v>1507</v>
      </c>
      <c r="F27" s="246">
        <f ca="1">IF(B1="",'数据-取费表'!Q16,INDIRECT("'数据-取费表'!q"&amp;$G$1))</f>
        <v>0.2</v>
      </c>
      <c r="G27" s="247" t="s">
        <v>1508</v>
      </c>
    </row>
    <row r="28" spans="1:7" s="214" customFormat="1" ht="13.5" customHeight="1">
      <c r="A28" s="780" t="s">
        <v>346</v>
      </c>
      <c r="B28" s="248" t="s">
        <v>1509</v>
      </c>
      <c r="C28" s="249">
        <f ca="1">ROUND((C5+C19+C20)*F27,0)</f>
        <v>5196464</v>
      </c>
      <c r="D28" s="235"/>
      <c r="E28" s="236"/>
      <c r="F28" s="246"/>
      <c r="G28" s="247"/>
    </row>
    <row r="29" spans="1:7" s="214" customFormat="1" ht="13.5" customHeight="1">
      <c r="A29" s="780" t="s">
        <v>347</v>
      </c>
      <c r="B29" s="248" t="s">
        <v>1510</v>
      </c>
      <c r="C29" s="238">
        <f ca="1">ROUND(C21*F27,4)</f>
        <v>6.0000000000000001E-3</v>
      </c>
      <c r="D29" s="235"/>
      <c r="E29" s="236"/>
      <c r="F29" s="246"/>
      <c r="G29" s="247"/>
    </row>
    <row r="30" spans="1:7" s="214" customFormat="1" ht="13.5" customHeight="1">
      <c r="A30" s="255" t="s">
        <v>1511</v>
      </c>
      <c r="B30" s="210" t="s">
        <v>1512</v>
      </c>
      <c r="C30" s="235">
        <f>ROUND(F30/(1+'数据-取费表'!C42),4)</f>
        <v>5.33E-2</v>
      </c>
      <c r="D30" s="236" t="s">
        <v>1507</v>
      </c>
      <c r="E30" s="241"/>
      <c r="F30" s="237">
        <f>'数据-取费表'!B41</f>
        <v>5.6000000000000001E-2</v>
      </c>
      <c r="G30" s="234" t="s">
        <v>1513</v>
      </c>
    </row>
    <row r="31" spans="1:7" ht="16.5" customHeight="1">
      <c r="A31" s="209">
        <v>1</v>
      </c>
      <c r="B31" s="210" t="s">
        <v>1514</v>
      </c>
      <c r="C31" s="211">
        <f ca="1">ROUND((C5+C19+C20+C22+C27)/(1-C21-D22-D27-C30),0)</f>
        <v>37311886</v>
      </c>
      <c r="D31" s="230"/>
      <c r="E31" s="211"/>
      <c r="F31" s="250"/>
      <c r="G31" s="234" t="s">
        <v>1515</v>
      </c>
    </row>
    <row r="32" spans="1:7" s="208" customFormat="1" ht="15.75">
      <c r="A32" s="252" t="s">
        <v>1582</v>
      </c>
      <c r="B32" s="253"/>
      <c r="C32" s="253"/>
      <c r="D32" s="253"/>
      <c r="E32" s="253"/>
      <c r="F32" s="253"/>
      <c r="G32" s="254"/>
    </row>
    <row r="33" spans="1:7" s="214" customFormat="1" ht="13.5" customHeight="1">
      <c r="A33" s="255" t="s">
        <v>337</v>
      </c>
      <c r="B33" s="210" t="s">
        <v>1583</v>
      </c>
      <c r="C33" s="256">
        <f ca="1">SUM(C34:C38)</f>
        <v>552439589</v>
      </c>
      <c r="D33" s="232"/>
      <c r="E33" s="212"/>
      <c r="F33" s="241"/>
      <c r="G33" s="234"/>
    </row>
    <row r="34" spans="1:7" s="258" customFormat="1" ht="13.5" customHeight="1">
      <c r="A34" s="780" t="s">
        <v>346</v>
      </c>
      <c r="B34" s="215" t="s">
        <v>1518</v>
      </c>
      <c r="C34" s="220">
        <f ca="1">ROUND(IF(B1="",SUMPRODUCT('数据-取费表'!K6:K14,'数据-取费表'!L6:L14),INDIRECT("'数据-取费表'!l"&amp;$G$1)*INDIRECT("'数据-取费表'!k"&amp;$G$1)+'数据-取费表'!L14*INDIRECT("'数据-取费表'!S"&amp;$G$1)),0)</f>
        <v>504511040</v>
      </c>
      <c r="D34" s="217"/>
      <c r="E34" s="220"/>
      <c r="F34" s="257"/>
      <c r="G34" s="219"/>
    </row>
    <row r="35" spans="1:7" ht="13.5" customHeight="1">
      <c r="A35" s="780" t="s">
        <v>351</v>
      </c>
      <c r="B35" s="215" t="s">
        <v>1520</v>
      </c>
      <c r="C35" s="220">
        <f ca="1">ROUND(C34*F35,0)</f>
        <v>25225552</v>
      </c>
      <c r="D35" s="220"/>
      <c r="E35" s="220"/>
      <c r="F35" s="259">
        <f>'数据-取费表'!B33</f>
        <v>0.05</v>
      </c>
      <c r="G35" s="219" t="s">
        <v>1521</v>
      </c>
    </row>
    <row r="36" spans="1:7" ht="24">
      <c r="A36" s="780" t="s">
        <v>352</v>
      </c>
      <c r="B36" s="215" t="s">
        <v>1522</v>
      </c>
      <c r="C36" s="220">
        <f ca="1">ROUND(IF(B1="",SUM('数据-取费表'!AP6:AP13)*F36,IF(INDIRECT("'数据-取费表'!c"&amp;$G$1)="住宅",INDIRECT("'数据-取费表'!k"&amp;$G$1)*INDIRECT("'数据-取费表'!l"&amp;$G$1)*F36,0)),0)</f>
        <v>0</v>
      </c>
      <c r="D36" s="220"/>
      <c r="E36" s="220"/>
      <c r="F36" s="259">
        <f>'数据-取费表'!B34</f>
        <v>0</v>
      </c>
      <c r="G36" s="260" t="s">
        <v>1523</v>
      </c>
    </row>
    <row r="37" spans="1:7" s="258" customFormat="1" ht="13.5" customHeight="1">
      <c r="A37" s="780" t="s">
        <v>353</v>
      </c>
      <c r="B37" s="215" t="s">
        <v>1524</v>
      </c>
      <c r="C37" s="249">
        <f ca="1">ROUND(E37*D37,0)</f>
        <v>12612776</v>
      </c>
      <c r="D37" s="217">
        <f ca="1">D19</f>
        <v>63063.880000000005</v>
      </c>
      <c r="E37" s="249">
        <f>'数据-取费表'!B35</f>
        <v>200</v>
      </c>
      <c r="F37" s="259"/>
      <c r="G37" s="261"/>
    </row>
    <row r="38" spans="1:7" ht="13.5" customHeight="1">
      <c r="A38" s="780" t="s">
        <v>354</v>
      </c>
      <c r="B38" s="215" t="s">
        <v>1526</v>
      </c>
      <c r="C38" s="220">
        <f ca="1">ROUND(C34*F38,0)</f>
        <v>10090221</v>
      </c>
      <c r="D38" s="220"/>
      <c r="E38" s="220"/>
      <c r="F38" s="259">
        <f>'数据-取费表'!B36</f>
        <v>0.02</v>
      </c>
      <c r="G38" s="219" t="s">
        <v>1521</v>
      </c>
    </row>
    <row r="39" spans="1:7" s="214" customFormat="1" ht="13.5" customHeight="1">
      <c r="A39" s="255" t="s">
        <v>1527</v>
      </c>
      <c r="B39" s="210" t="s">
        <v>1528</v>
      </c>
      <c r="C39" s="232">
        <f ca="1">ROUND(C33*F20,0)</f>
        <v>16573188</v>
      </c>
      <c r="D39" s="232"/>
      <c r="E39" s="232"/>
      <c r="F39" s="233">
        <f>F20</f>
        <v>0.03</v>
      </c>
      <c r="G39" s="234" t="s">
        <v>1529</v>
      </c>
    </row>
    <row r="40" spans="1:7" s="214" customFormat="1" ht="13.5" customHeight="1">
      <c r="A40" s="255" t="s">
        <v>1530</v>
      </c>
      <c r="B40" s="210" t="s">
        <v>1531</v>
      </c>
      <c r="C40" s="1327">
        <f>F21</f>
        <v>0.03</v>
      </c>
      <c r="D40" s="236" t="s">
        <v>1532</v>
      </c>
      <c r="E40" s="232"/>
      <c r="F40" s="233">
        <f>F21</f>
        <v>0.03</v>
      </c>
      <c r="G40" s="234" t="s">
        <v>1533</v>
      </c>
    </row>
    <row r="41" spans="1:7" s="214" customFormat="1" ht="13.5" customHeight="1">
      <c r="A41" s="255" t="s">
        <v>1534</v>
      </c>
      <c r="B41" s="210" t="s">
        <v>1535</v>
      </c>
      <c r="C41" s="232">
        <f ca="1">ROUND(SUM(C42:C43),0)</f>
        <v>29698945</v>
      </c>
      <c r="D41" s="235">
        <f ca="1">C44</f>
        <v>1.6000000000000001E-3</v>
      </c>
      <c r="E41" s="236" t="s">
        <v>1532</v>
      </c>
      <c r="F41" s="237">
        <f ca="1">F22</f>
        <v>3.4500000000000003E-2</v>
      </c>
      <c r="G41" s="234" t="str">
        <f>IF('数据-取费表'!B22&lt;=1,"单利计息","复利计息")</f>
        <v>复利计息</v>
      </c>
    </row>
    <row r="42" spans="1:7" ht="13.5" customHeight="1">
      <c r="A42" s="780" t="s">
        <v>346</v>
      </c>
      <c r="B42" s="215" t="s">
        <v>1536</v>
      </c>
      <c r="C42" s="238">
        <f ca="1">ROUND(IF('数据-取费表'!B22&lt;=1,C33*F22*'数据-取费表'!B20/2,C33*(POWER((1+F22),'数据-取费表'!B20/2)-1)),0)</f>
        <v>28833927</v>
      </c>
      <c r="D42" s="238"/>
      <c r="E42" s="238"/>
      <c r="F42" s="239"/>
      <c r="G42" s="3685" t="s">
        <v>1584</v>
      </c>
    </row>
    <row r="43" spans="1:7" ht="13.5" customHeight="1">
      <c r="A43" s="780" t="s">
        <v>347</v>
      </c>
      <c r="B43" s="215" t="s">
        <v>1538</v>
      </c>
      <c r="C43" s="238">
        <f ca="1">ROUND(IF('数据-取费表'!B22&lt;=1,C39*F22*'数据-取费表'!B20/2,C39*(POWER((1+F22),'数据-取费表'!B20/2)-1)),0)</f>
        <v>865018</v>
      </c>
      <c r="D43" s="238"/>
      <c r="E43" s="238"/>
      <c r="F43" s="239"/>
      <c r="G43" s="3686"/>
    </row>
    <row r="44" spans="1:7" ht="13.5" customHeight="1">
      <c r="A44" s="780" t="s">
        <v>348</v>
      </c>
      <c r="B44" s="215" t="s">
        <v>1539</v>
      </c>
      <c r="C44" s="238">
        <f ca="1">ROUND(IF('数据-取费表'!B22&lt;=1,C40*F22*'数据-取费表'!B20/2,C40*(POWER((1+F22),'数据-取费表'!B20/2)-1)),4)</f>
        <v>1.6000000000000001E-3</v>
      </c>
      <c r="D44" s="238"/>
      <c r="E44" s="238"/>
      <c r="F44" s="239"/>
      <c r="G44" s="3687"/>
    </row>
    <row r="45" spans="1:7" s="214" customFormat="1" ht="13.5" customHeight="1">
      <c r="A45" s="255" t="s">
        <v>1540</v>
      </c>
      <c r="B45" s="244" t="s">
        <v>1506</v>
      </c>
      <c r="C45" s="245">
        <f ca="1">C46</f>
        <v>113802555</v>
      </c>
      <c r="D45" s="235">
        <f ca="1">C47</f>
        <v>6.0000000000000001E-3</v>
      </c>
      <c r="E45" s="236" t="s">
        <v>1532</v>
      </c>
      <c r="F45" s="246">
        <f ca="1">F27</f>
        <v>0.2</v>
      </c>
      <c r="G45" s="247" t="s">
        <v>1541</v>
      </c>
    </row>
    <row r="46" spans="1:7" s="214" customFormat="1" ht="13.5" customHeight="1">
      <c r="A46" s="780" t="s">
        <v>346</v>
      </c>
      <c r="B46" s="248" t="s">
        <v>1542</v>
      </c>
      <c r="C46" s="249">
        <f ca="1">ROUND((C33+C39)*F27,0)</f>
        <v>113802555</v>
      </c>
      <c r="D46" s="263"/>
      <c r="E46" s="236"/>
      <c r="F46" s="246"/>
      <c r="G46" s="247"/>
    </row>
    <row r="47" spans="1:7" s="214" customFormat="1" ht="13.5" customHeight="1">
      <c r="A47" s="780" t="s">
        <v>347</v>
      </c>
      <c r="B47" s="248" t="s">
        <v>1543</v>
      </c>
      <c r="C47" s="238">
        <f ca="1">ROUND(C40*F27,4)</f>
        <v>6.0000000000000001E-3</v>
      </c>
      <c r="D47" s="263"/>
      <c r="E47" s="236"/>
      <c r="F47" s="246"/>
      <c r="G47" s="247"/>
    </row>
    <row r="48" spans="1:7" s="214" customFormat="1" ht="13.5" customHeight="1">
      <c r="A48" s="255" t="s">
        <v>1505</v>
      </c>
      <c r="B48" s="210" t="s">
        <v>1544</v>
      </c>
      <c r="C48" s="262">
        <f>ROUND(F30/(1+'数据-取费表'!C42),4)</f>
        <v>5.33E-2</v>
      </c>
      <c r="D48" s="236" t="s">
        <v>1532</v>
      </c>
      <c r="E48" s="232"/>
      <c r="F48" s="237">
        <f>F30</f>
        <v>5.6000000000000001E-2</v>
      </c>
      <c r="G48" s="234" t="s">
        <v>1545</v>
      </c>
    </row>
    <row r="49" spans="1:7" ht="16.5" customHeight="1">
      <c r="A49" s="255" t="s">
        <v>1511</v>
      </c>
      <c r="B49" s="210" t="s">
        <v>1585</v>
      </c>
      <c r="C49" s="232">
        <f ca="1">ROUND((C33+C39+C41+C45)/(1-C40-D41-D45-C48),0)</f>
        <v>783757867</v>
      </c>
      <c r="D49" s="232"/>
      <c r="E49" s="232"/>
      <c r="F49" s="264"/>
      <c r="G49" s="234" t="s">
        <v>1547</v>
      </c>
    </row>
    <row r="50" spans="1:7" s="258" customFormat="1">
      <c r="A50" s="255" t="s">
        <v>1548</v>
      </c>
      <c r="B50" s="210" t="s">
        <v>1549</v>
      </c>
      <c r="C50" s="232"/>
      <c r="D50" s="232"/>
      <c r="E50" s="232"/>
      <c r="F50" s="264">
        <f>IF('数据-取费表'!B24=0,'数据-取费表'!N16,1)</f>
        <v>0.8</v>
      </c>
      <c r="G50" s="247"/>
    </row>
    <row r="51" spans="1:7" ht="16.5" customHeight="1">
      <c r="A51" s="255" t="s">
        <v>1551</v>
      </c>
      <c r="B51" s="210" t="s">
        <v>1586</v>
      </c>
      <c r="C51" s="232">
        <f ca="1">ROUND(C49*F50,0)</f>
        <v>627006294</v>
      </c>
      <c r="D51" s="232"/>
      <c r="E51" s="232"/>
      <c r="F51" s="264"/>
      <c r="G51" s="234" t="s">
        <v>1553</v>
      </c>
    </row>
    <row r="52" spans="1:7" s="208" customFormat="1" ht="16.5" thickBot="1">
      <c r="A52" s="265" t="s">
        <v>1554</v>
      </c>
      <c r="B52" s="266"/>
      <c r="C52" s="267">
        <f ca="1">C31+C51</f>
        <v>664318180</v>
      </c>
      <c r="D52" s="266"/>
      <c r="E52" s="266"/>
      <c r="F52" s="266"/>
      <c r="G52" s="268"/>
    </row>
    <row r="55" spans="1:7" ht="15">
      <c r="B55" s="270" t="s">
        <v>1555</v>
      </c>
      <c r="C55" s="271"/>
    </row>
    <row r="56" spans="1:7">
      <c r="B56" s="273" t="s">
        <v>797</v>
      </c>
      <c r="C56" s="275">
        <f ca="1">1-C57</f>
        <v>5.600000000000005E-2</v>
      </c>
    </row>
    <row r="57" spans="1:7">
      <c r="B57" s="273" t="s">
        <v>798</v>
      </c>
      <c r="C57" s="274">
        <f ca="1">ROUND(C51/C52,3)</f>
        <v>0.94399999999999995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1587</v>
      </c>
      <c r="B1" s="1191"/>
      <c r="C1" s="1192"/>
      <c r="D1" s="1190"/>
      <c r="E1" s="2803"/>
      <c r="F1" s="2803"/>
      <c r="G1" s="2668"/>
      <c r="H1" s="2803"/>
      <c r="I1" s="2803"/>
      <c r="J1" s="2803"/>
      <c r="K1" s="2804">
        <f>MATCH(C1,'数据-取费表'!A6:A16,0)+5</f>
        <v>7</v>
      </c>
    </row>
    <row r="2" spans="1:33" ht="18" customHeight="1">
      <c r="A2" s="201" t="s">
        <v>1455</v>
      </c>
      <c r="B2" s="204">
        <f ca="1">C32</f>
        <v>0</v>
      </c>
      <c r="C2" s="276" t="s">
        <v>1588</v>
      </c>
      <c r="D2" s="276"/>
      <c r="E2" s="2803"/>
      <c r="F2" s="2803"/>
      <c r="G2" s="2803"/>
      <c r="H2" s="2803"/>
      <c r="I2" s="2803"/>
      <c r="J2" s="2803"/>
      <c r="K2" s="2803"/>
    </row>
    <row r="3" spans="1:33" ht="18" customHeight="1" thickBot="1">
      <c r="A3" s="203" t="s">
        <v>1457</v>
      </c>
      <c r="B3" s="204">
        <f ca="1">ROUND(B2*10000/IF(C1="",'数据-汇总表'!E3,INDIRECT("'数据-取费表'!K"&amp;$K$1)),0)</f>
        <v>0</v>
      </c>
      <c r="C3" s="276" t="s">
        <v>1589</v>
      </c>
      <c r="D3" s="276"/>
      <c r="E3" s="2803"/>
      <c r="F3" s="2803"/>
      <c r="G3" s="2803"/>
      <c r="H3" s="2803"/>
      <c r="I3" s="2803"/>
      <c r="J3" s="2803"/>
      <c r="K3" s="2803"/>
    </row>
    <row r="4" spans="1:33" s="785" customFormat="1" ht="16.5" customHeight="1">
      <c r="A4" s="782" t="s">
        <v>1590</v>
      </c>
      <c r="B4" s="783"/>
      <c r="C4" s="824">
        <f>SUM(C8:K8)</f>
        <v>0</v>
      </c>
      <c r="D4" s="783"/>
      <c r="E4" s="783"/>
      <c r="F4" s="783"/>
      <c r="G4" s="783"/>
      <c r="H4" s="783"/>
      <c r="I4" s="783"/>
      <c r="J4" s="783"/>
      <c r="K4" s="784"/>
    </row>
    <row r="5" spans="1:33" s="789" customFormat="1" ht="15">
      <c r="A5" s="786" t="s">
        <v>1591</v>
      </c>
      <c r="B5" s="787" t="s">
        <v>1592</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1593</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1594</v>
      </c>
      <c r="B7" s="131" t="s">
        <v>1595</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1596</v>
      </c>
      <c r="B8" s="164" t="s">
        <v>1597</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1598</v>
      </c>
      <c r="B9" s="783"/>
      <c r="C9" s="783"/>
      <c r="D9" s="783"/>
      <c r="E9" s="783"/>
      <c r="F9" s="783"/>
      <c r="G9" s="783"/>
      <c r="H9" s="783"/>
      <c r="I9" s="783"/>
      <c r="J9" s="783"/>
      <c r="K9" s="784"/>
    </row>
    <row r="10" spans="1:33" s="799" customFormat="1" ht="13.5" customHeight="1">
      <c r="A10" s="786" t="s">
        <v>1599</v>
      </c>
      <c r="B10" s="5" t="s">
        <v>1600</v>
      </c>
      <c r="C10" s="795" t="s">
        <v>1601</v>
      </c>
      <c r="D10" s="796" t="s">
        <v>1602</v>
      </c>
      <c r="E10" s="796" t="s">
        <v>1603</v>
      </c>
      <c r="F10" s="796" t="s">
        <v>1604</v>
      </c>
      <c r="G10" s="5"/>
      <c r="H10" s="797"/>
      <c r="I10" s="797"/>
      <c r="J10" s="797"/>
      <c r="K10" s="798"/>
    </row>
    <row r="11" spans="1:33" s="803" customFormat="1" ht="13.5" customHeight="1">
      <c r="A11" s="800" t="s">
        <v>635</v>
      </c>
      <c r="B11" s="801" t="s">
        <v>1605</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1606</v>
      </c>
      <c r="C12" s="21">
        <f ca="1">ROUND(C11*F12,0)</f>
        <v>0</v>
      </c>
      <c r="D12" s="802"/>
      <c r="E12" s="329"/>
      <c r="F12" s="812">
        <f>'数据-取费表'!B33</f>
        <v>0.05</v>
      </c>
      <c r="G12" s="5" t="s">
        <v>1607</v>
      </c>
      <c r="H12" s="797"/>
      <c r="I12" s="797"/>
      <c r="J12" s="797"/>
      <c r="K12" s="798"/>
    </row>
    <row r="13" spans="1:33" s="803" customFormat="1" ht="13.5" customHeight="1">
      <c r="A13" s="800" t="s">
        <v>637</v>
      </c>
      <c r="B13" s="801" t="s">
        <v>1608</v>
      </c>
      <c r="C13" s="21">
        <f ca="1">ROUND(IF(C1="",SUMIF('数据-取费表'!C:C,"住宅",'数据-取费表'!P:P)*F13,IF(INDIRECT("'数据-取费表'!c"&amp;$K$1)="住宅",INDIRECT("'数据-取费表'!P"&amp;$K$1)*F13,0)),0)</f>
        <v>0</v>
      </c>
      <c r="D13" s="846"/>
      <c r="E13" s="329"/>
      <c r="F13" s="812">
        <f>'数据-取费表'!B34</f>
        <v>0</v>
      </c>
      <c r="G13" s="5" t="s">
        <v>1609</v>
      </c>
      <c r="H13" s="797"/>
      <c r="I13" s="797"/>
      <c r="J13" s="797"/>
      <c r="K13" s="798"/>
    </row>
    <row r="14" spans="1:33" s="805" customFormat="1" ht="13.5" customHeight="1">
      <c r="A14" s="800" t="s">
        <v>638</v>
      </c>
      <c r="B14" s="801" t="s">
        <v>1610</v>
      </c>
      <c r="C14" s="21">
        <f ca="1">ROUND(D14*E14*F11/10000,0)</f>
        <v>0</v>
      </c>
      <c r="D14" s="846">
        <f ca="1">IF(C1="",'数据-汇总表'!E3,INDIRECT("'数据-取费表'!K"&amp;$K$1)+INDIRECT("'数据-取费表'!S"&amp;$K$1))</f>
        <v>63063.880000000005</v>
      </c>
      <c r="E14" s="21">
        <f>'数据-取费表'!B35</f>
        <v>200</v>
      </c>
      <c r="F14" s="804"/>
      <c r="G14" s="5" t="s">
        <v>1611</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1612</v>
      </c>
      <c r="C15" s="811">
        <f ca="1">ROUND(C11*F15,0)</f>
        <v>0</v>
      </c>
      <c r="D15" s="806"/>
      <c r="E15" s="811"/>
      <c r="F15" s="812">
        <f>'数据-取费表'!B36</f>
        <v>0.02</v>
      </c>
      <c r="G15" s="131" t="s">
        <v>1613</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1614</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1615</v>
      </c>
      <c r="C17" s="21">
        <f ca="1">ROUND(D17*E17/10000,0)</f>
        <v>0</v>
      </c>
      <c r="D17" s="846">
        <f ca="1">D14</f>
        <v>63063.880000000005</v>
      </c>
      <c r="E17" s="21">
        <f>'数据-取费表'!B32</f>
        <v>0</v>
      </c>
      <c r="F17" s="806"/>
      <c r="G17" s="131" t="s">
        <v>1616</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1617</v>
      </c>
      <c r="C18" s="21">
        <f ca="1">C19+C20-IF(C1="",'数据-取费表'!B29,IF(G18="已全部缴纳",C19+C20,H18))</f>
        <v>0</v>
      </c>
      <c r="D18" s="846"/>
      <c r="E18" s="21"/>
      <c r="F18" s="804"/>
      <c r="G18" s="1861"/>
      <c r="H18" s="1187"/>
      <c r="I18" s="1862" t="s">
        <v>1618</v>
      </c>
      <c r="J18" s="807"/>
      <c r="K18" s="808"/>
    </row>
    <row r="19" spans="1:33" s="803" customFormat="1" ht="13.5" customHeight="1">
      <c r="A19" s="800" t="s">
        <v>360</v>
      </c>
      <c r="B19" s="801" t="s">
        <v>1619</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1620</v>
      </c>
      <c r="C20" s="21">
        <f ca="1">ROUND(D20*E20/10000,0)</f>
        <v>1261</v>
      </c>
      <c r="D20" s="846">
        <f ca="1">IF(C1="",'数据-汇总表'!E6,IF(INDIRECT("'数据-取费表'!c"&amp;$K$1)="住宅",INDIRECT("'数据-取费表'!s"&amp;$K$1),INDIRECT("'数据-取费表'!k"&amp;$K$1)+INDIRECT("'数据-取费表'!s"&amp;$K$1)))</f>
        <v>63063.880000000005</v>
      </c>
      <c r="E20" s="21">
        <f>'数据-取费表'!B28</f>
        <v>200</v>
      </c>
      <c r="F20" s="804"/>
      <c r="G20" s="12"/>
      <c r="H20" s="809"/>
      <c r="I20" s="809"/>
      <c r="J20" s="809"/>
      <c r="K20" s="810"/>
    </row>
    <row r="21" spans="1:33" s="803" customFormat="1" ht="13.5" customHeight="1">
      <c r="A21" s="790" t="s">
        <v>357</v>
      </c>
      <c r="B21" s="813" t="s">
        <v>1621</v>
      </c>
      <c r="C21" s="814">
        <f ca="1">C16+C17+C18</f>
        <v>0</v>
      </c>
      <c r="D21" s="815"/>
      <c r="E21" s="281"/>
      <c r="F21" s="281"/>
      <c r="G21" s="131" t="s">
        <v>1622</v>
      </c>
      <c r="H21" s="807"/>
      <c r="I21" s="807"/>
      <c r="J21" s="807"/>
      <c r="K21" s="808"/>
    </row>
    <row r="22" spans="1:33" s="803" customFormat="1" ht="13.5" customHeight="1">
      <c r="A22" s="790" t="s">
        <v>1594</v>
      </c>
      <c r="B22" s="813" t="s">
        <v>1623</v>
      </c>
      <c r="C22" s="814">
        <f ca="1">ROUND(C21*F22,0)</f>
        <v>0</v>
      </c>
      <c r="D22" s="281"/>
      <c r="E22" s="281"/>
      <c r="F22" s="816">
        <f>'数据-取费表'!B37</f>
        <v>0.03</v>
      </c>
      <c r="G22" s="5" t="s">
        <v>1624</v>
      </c>
      <c r="H22" s="797"/>
      <c r="I22" s="797"/>
      <c r="J22" s="797"/>
      <c r="K22" s="798"/>
    </row>
    <row r="23" spans="1:33" s="803" customFormat="1" ht="13.5" customHeight="1">
      <c r="A23" s="790" t="s">
        <v>1596</v>
      </c>
      <c r="B23" s="813" t="s">
        <v>1625</v>
      </c>
      <c r="C23" s="814">
        <f ca="1">ROUND(C4*F23*F11,0)</f>
        <v>0</v>
      </c>
      <c r="D23" s="281"/>
      <c r="E23" s="281"/>
      <c r="F23" s="816">
        <f>'数据-取费表'!B38</f>
        <v>0.03</v>
      </c>
      <c r="G23" s="5" t="s">
        <v>1626</v>
      </c>
      <c r="H23" s="797"/>
      <c r="I23" s="797"/>
      <c r="J23" s="797"/>
      <c r="K23" s="798"/>
    </row>
    <row r="24" spans="1:33" s="803" customFormat="1" ht="13.5" customHeight="1">
      <c r="A24" s="790" t="s">
        <v>1627</v>
      </c>
      <c r="B24" s="813" t="s">
        <v>1628</v>
      </c>
      <c r="C24" s="280">
        <f>ROUND(F24/(1+'数据-取费表'!C42),4)</f>
        <v>2.9000000000000001E-2</v>
      </c>
      <c r="D24" s="281" t="s">
        <v>12</v>
      </c>
      <c r="E24" s="281"/>
      <c r="F24" s="816">
        <f>IF(项目基本情况!B8="出让",0,'数据-取费表'!B48+'数据-取费表'!B49)</f>
        <v>3.0499999999999999E-2</v>
      </c>
      <c r="G24" s="5" t="s">
        <v>1629</v>
      </c>
      <c r="H24" s="818"/>
      <c r="I24" s="818"/>
      <c r="J24" s="818"/>
      <c r="K24" s="819"/>
    </row>
    <row r="25" spans="1:33" s="803" customFormat="1" ht="13.5" customHeight="1">
      <c r="A25" s="790" t="s">
        <v>1630</v>
      </c>
      <c r="B25" s="815" t="s">
        <v>1631</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1632</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1633</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1634</v>
      </c>
      <c r="B28" s="1864" t="s">
        <v>1635</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1636</v>
      </c>
      <c r="C29" s="284">
        <f ca="1">ROUND((1+C24)*F28*'数据-取费表'!B24/'数据-取费表'!B20,4)</f>
        <v>0</v>
      </c>
      <c r="D29" s="284"/>
      <c r="E29" s="285"/>
      <c r="F29" s="290"/>
      <c r="G29" s="131" t="s">
        <v>1637</v>
      </c>
      <c r="H29" s="807"/>
      <c r="I29" s="807"/>
      <c r="J29" s="807"/>
      <c r="K29" s="808"/>
    </row>
    <row r="30" spans="1:33" s="291" customFormat="1" ht="13.5" customHeight="1">
      <c r="A30" s="800" t="s">
        <v>359</v>
      </c>
      <c r="B30" s="822" t="s">
        <v>1638</v>
      </c>
      <c r="C30" s="292">
        <f ca="1">ROUND((C21+C22+C23)*F28,0)</f>
        <v>0</v>
      </c>
      <c r="D30" s="284"/>
      <c r="E30" s="285"/>
      <c r="F30" s="290"/>
      <c r="G30" s="131"/>
      <c r="H30" s="807"/>
      <c r="I30" s="807"/>
      <c r="J30" s="807"/>
      <c r="K30" s="808"/>
    </row>
    <row r="31" spans="1:33" s="803" customFormat="1" ht="13.5" customHeight="1" thickBot="1">
      <c r="A31" s="1865" t="s">
        <v>1639</v>
      </c>
      <c r="B31" s="833" t="s">
        <v>1640</v>
      </c>
      <c r="C31" s="834">
        <f>ROUND(C4*F31/(1+'数据-取费表'!C42),0)</f>
        <v>0</v>
      </c>
      <c r="D31" s="835"/>
      <c r="E31" s="836"/>
      <c r="F31" s="837">
        <f>'数据-取费表'!B41</f>
        <v>5.6000000000000001E-2</v>
      </c>
      <c r="G31" s="838" t="s">
        <v>1641</v>
      </c>
      <c r="H31" s="839"/>
      <c r="I31" s="839"/>
      <c r="J31" s="839"/>
      <c r="K31" s="840"/>
    </row>
    <row r="32" spans="1:33" s="799" customFormat="1" ht="13.5" customHeight="1" thickBot="1">
      <c r="A32" s="828" t="s">
        <v>1642</v>
      </c>
      <c r="B32" s="829"/>
      <c r="C32" s="830">
        <f ca="1">ROUND((C4-C21-C22-C23-C25-C28-C31)/(1+C24+D25+D28),0)</f>
        <v>0</v>
      </c>
      <c r="D32" s="829"/>
      <c r="E32" s="829"/>
      <c r="F32" s="829"/>
      <c r="G32" s="831" t="s">
        <v>1643</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L28" sqref="L2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1919</v>
      </c>
      <c r="B1" s="197"/>
      <c r="C1" s="201" t="s">
        <v>1920</v>
      </c>
      <c r="D1" s="342">
        <f>SUM(D33:D34,D37:D42)</f>
        <v>63063.880000000005</v>
      </c>
      <c r="E1" s="1994"/>
      <c r="F1" s="1994"/>
      <c r="G1" s="1994"/>
      <c r="H1" s="1994"/>
      <c r="I1" s="1994"/>
      <c r="J1" s="1994"/>
      <c r="K1" s="1119"/>
      <c r="L1" s="1995" t="s">
        <v>1921</v>
      </c>
      <c r="M1" s="863">
        <f>SUMPRODUCT((区片价!B5:B9=I2)*(区片价!C3:G3=E2)*(区片价!C5:G9))</f>
        <v>0</v>
      </c>
      <c r="N1" s="866">
        <f>SUMPRODUCT((因素修正幅度!B5:B9=I2)*(因素修正幅度!C3:G3=E2)*(因素修正幅度!C5:G9))</f>
        <v>0</v>
      </c>
      <c r="O1" s="1996"/>
      <c r="P1" s="1996"/>
      <c r="Q1" s="1119"/>
      <c r="R1" s="1212" t="s">
        <v>1922</v>
      </c>
      <c r="S1" s="1212" t="s">
        <v>1923</v>
      </c>
      <c r="T1" s="1212" t="s">
        <v>1924</v>
      </c>
      <c r="U1" s="1212" t="s">
        <v>1925</v>
      </c>
      <c r="V1" s="1212" t="s">
        <v>1926</v>
      </c>
      <c r="W1" s="1216"/>
      <c r="X1" s="1216"/>
      <c r="Y1" s="1216"/>
      <c r="Z1" s="1216"/>
      <c r="AA1" s="1216"/>
      <c r="AB1" s="1216"/>
      <c r="AC1" s="1217"/>
      <c r="AD1" s="1218"/>
      <c r="AE1" s="1218"/>
      <c r="AF1" s="1218"/>
      <c r="AG1" s="1218"/>
      <c r="AH1" s="1218"/>
      <c r="AI1" s="1218"/>
      <c r="AJ1" s="1219"/>
    </row>
    <row r="2" spans="1:36" ht="15.75">
      <c r="A2" s="201" t="s">
        <v>1927</v>
      </c>
      <c r="B2" s="204">
        <f>C30</f>
        <v>52981</v>
      </c>
      <c r="C2" s="1998" t="s">
        <v>1928</v>
      </c>
      <c r="D2" s="1999" t="s">
        <v>1929</v>
      </c>
      <c r="E2" s="3417" t="s">
        <v>3389</v>
      </c>
      <c r="F2" s="1999" t="s">
        <v>1930</v>
      </c>
      <c r="G2" s="2000" t="str">
        <f>IF(E2="商业",项目基本情况!B37,IF(E2="办公",项目基本情况!C37,IF(E2="住宅",项目基本情况!D37,IF(E2="工业",项目基本情况!E37,项目基本情况!F37))))</f>
        <v>四级</v>
      </c>
      <c r="H2" s="1999" t="s">
        <v>1931</v>
      </c>
      <c r="I2" s="2000" t="str">
        <f>IF(E2="商业",项目基本情况!B38,IF(E2="办公",项目基本情况!C38,IF(E2="住宅",项目基本情况!D38,IF(E2="工业",项目基本情况!E38,项目基本情况!F38))))</f>
        <v>Ⅳ-05</v>
      </c>
      <c r="J2" s="2001"/>
      <c r="K2" s="1119"/>
      <c r="L2" s="2002" t="s">
        <v>1932</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1.5019</v>
      </c>
      <c r="T2" s="3356">
        <f t="shared" ref="T2:T16" si="0">ROUND($C$5*$C$22*$C$23*$C$24*S2*$C$28,0)</f>
        <v>12057</v>
      </c>
      <c r="U2" s="1213"/>
      <c r="V2" s="3356">
        <f>ROUND(T2*U2/10000,0)</f>
        <v>0</v>
      </c>
      <c r="W2" s="1216"/>
      <c r="X2" s="1216"/>
      <c r="Y2" s="1216"/>
      <c r="Z2" s="1216"/>
      <c r="AA2" s="1216"/>
      <c r="AB2" s="1216"/>
      <c r="AC2" s="1217"/>
      <c r="AD2" s="1218"/>
      <c r="AE2" s="1218"/>
      <c r="AF2" s="1218"/>
      <c r="AG2" s="1218"/>
      <c r="AH2" s="1218"/>
      <c r="AI2" s="1218"/>
      <c r="AJ2" s="1219"/>
    </row>
    <row r="3" spans="1:36" ht="15.75">
      <c r="A3" s="203" t="s">
        <v>1933</v>
      </c>
      <c r="B3" s="204">
        <f>ROUND(B2*10000/D1,0)</f>
        <v>8401</v>
      </c>
      <c r="C3" s="1998" t="s">
        <v>1934</v>
      </c>
      <c r="D3" s="1999" t="s">
        <v>1935</v>
      </c>
      <c r="E3" s="3415" t="s">
        <v>2454</v>
      </c>
      <c r="F3" s="2003" t="s">
        <v>3507</v>
      </c>
      <c r="G3" s="752">
        <f>IF(F3="宗地容积率",'数据-汇总表'!I4,IF(F3="估价对象容积率",'数据-汇总表'!I6,'数据-汇总表'!I7))</f>
        <v>1</v>
      </c>
      <c r="H3" s="170" t="s">
        <v>1936</v>
      </c>
      <c r="I3" s="775"/>
      <c r="J3" s="2001" t="s">
        <v>1937</v>
      </c>
      <c r="K3" s="1119"/>
      <c r="L3" s="2002" t="s">
        <v>1938</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1.1838</v>
      </c>
      <c r="T3" s="3356">
        <f t="shared" si="0"/>
        <v>9503</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695"/>
      <c r="B4" s="3696"/>
      <c r="C4" s="3696"/>
      <c r="D4" s="3697"/>
      <c r="E4" s="3697"/>
      <c r="F4" s="3697"/>
      <c r="G4" s="3697"/>
      <c r="H4" s="3697"/>
      <c r="I4" s="3697"/>
      <c r="J4" s="3698"/>
      <c r="K4" s="1119"/>
      <c r="L4" s="2002" t="s">
        <v>1939</v>
      </c>
      <c r="M4" s="864">
        <f>SUMPRODUCT((区片价!B55:B86=I2)*(区片价!C3:G3=E2)*(区片价!C55:G86))</f>
        <v>14630</v>
      </c>
      <c r="N4" s="866">
        <f>SUMPRODUCT((因素修正幅度!B55:B86=I2)*(因素修正幅度!C3:G3=E2)*(因素修正幅度!C55:G86))</f>
        <v>0.1</v>
      </c>
      <c r="O4" s="1119"/>
      <c r="P4" s="1119"/>
      <c r="Q4" s="1119"/>
      <c r="R4" s="1212">
        <v>3</v>
      </c>
      <c r="S4" s="3356">
        <f>ROUND(SUMPRODUCT((B106:B110=R4)*(C105:N105=G2)*(C106:N110)),4)</f>
        <v>1.0004999999999999</v>
      </c>
      <c r="T4" s="3356">
        <f t="shared" si="0"/>
        <v>8032</v>
      </c>
      <c r="U4" s="1213"/>
      <c r="V4" s="3356">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1940</v>
      </c>
      <c r="C5" s="753">
        <f>ROUND(IF(E2="商业",C6*C7*C17+C20,(IF(E2="住宅",C6*C13*C17+C20,IF(E2="办公",C6*C12*C17+C20,C6+C20)))),0)</f>
        <v>14612</v>
      </c>
      <c r="D5" s="1339">
        <f>ROUND(C6*C17+C20,0)</f>
        <v>14612</v>
      </c>
      <c r="E5" s="1339"/>
      <c r="F5" s="2006"/>
      <c r="G5" s="2007"/>
      <c r="H5" s="2007"/>
      <c r="I5" s="2007"/>
      <c r="J5" s="2008"/>
      <c r="K5" s="2009"/>
      <c r="L5" s="2002" t="s">
        <v>1941</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0.88239999999999996</v>
      </c>
      <c r="T5" s="3356">
        <f t="shared" si="0"/>
        <v>7084</v>
      </c>
      <c r="U5" s="1213"/>
      <c r="V5" s="3356">
        <f t="shared" si="1"/>
        <v>0</v>
      </c>
      <c r="W5" s="1216"/>
      <c r="X5" s="1216"/>
      <c r="Y5" s="1216"/>
      <c r="Z5" s="1216"/>
      <c r="AA5" s="1216"/>
      <c r="AB5" s="1216"/>
      <c r="AC5" s="2010"/>
      <c r="AD5" s="2011"/>
      <c r="AE5" s="2011"/>
      <c r="AF5" s="2011"/>
      <c r="AG5" s="2011"/>
      <c r="AH5" s="2011"/>
      <c r="AI5" s="2011"/>
      <c r="AJ5" s="2012"/>
    </row>
    <row r="6" spans="1:36" ht="15.75" thickBot="1">
      <c r="A6" s="2014" t="s">
        <v>1942</v>
      </c>
      <c r="B6" s="2015" t="s">
        <v>1943</v>
      </c>
      <c r="C6" s="754">
        <f>SUMIF(L1:L12,G2,M1:M12)</f>
        <v>14630</v>
      </c>
      <c r="D6" s="2016"/>
      <c r="E6" s="2017"/>
      <c r="F6" s="2017"/>
      <c r="G6" s="2018"/>
      <c r="H6" s="2018"/>
      <c r="I6" s="2018"/>
      <c r="J6" s="2019"/>
      <c r="K6" s="1384"/>
      <c r="L6" s="2002" t="s">
        <v>1944</v>
      </c>
      <c r="M6" s="864">
        <f>SUMPRODUCT((区片价!B127:B189=I2)*(区片价!C3:G3=E2)*(区片价!C127:G189))</f>
        <v>0</v>
      </c>
      <c r="N6" s="866">
        <f>SUMPRODUCT((因素修正幅度!B127:B189=I2)*(因素修正幅度!C3:G3=E2)*(因素修正幅度!C127:G189))</f>
        <v>0</v>
      </c>
      <c r="O6" s="1119"/>
      <c r="P6" s="1119"/>
      <c r="Q6" s="1119"/>
      <c r="R6" s="1212">
        <v>5</v>
      </c>
      <c r="S6" s="3356">
        <f>ROUND(SUMPRODUCT((B106:B110=R6)*(C105:N105=G2)*(C106:N110)),4)</f>
        <v>0.84799999999999998</v>
      </c>
      <c r="T6" s="3356">
        <f t="shared" si="0"/>
        <v>6807</v>
      </c>
      <c r="U6" s="1213"/>
      <c r="V6" s="3356">
        <f t="shared" si="1"/>
        <v>0</v>
      </c>
      <c r="W6" s="1216"/>
      <c r="X6" s="1216"/>
      <c r="Y6" s="1216"/>
      <c r="Z6" s="1216"/>
      <c r="AA6" s="1216"/>
      <c r="AB6" s="1216"/>
      <c r="AC6" s="2010"/>
      <c r="AD6" s="2011"/>
      <c r="AE6" s="2011"/>
      <c r="AF6" s="2011"/>
      <c r="AG6" s="2011"/>
      <c r="AH6" s="2011"/>
      <c r="AI6" s="2011"/>
      <c r="AJ6" s="2012"/>
    </row>
    <row r="7" spans="1:36" ht="24.75" thickBot="1">
      <c r="A7" s="3299" t="s">
        <v>3225</v>
      </c>
      <c r="B7" s="2020" t="s">
        <v>1945</v>
      </c>
      <c r="C7" s="755">
        <f>IF(C8="不临65条商业街",1,ROUND(1+(1.6*E8+1.2*E9+0.8*E10+0.4*E11)*C9,4))</f>
        <v>1</v>
      </c>
      <c r="D7" s="2021" t="s">
        <v>1946</v>
      </c>
      <c r="E7" s="776"/>
      <c r="F7" s="2022"/>
      <c r="G7" s="2023"/>
      <c r="H7" s="2023"/>
      <c r="I7" s="2023"/>
      <c r="J7" s="2024"/>
      <c r="K7" s="1384"/>
      <c r="L7" s="2002" t="s">
        <v>1947</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1948</v>
      </c>
      <c r="X7" s="1214" t="str">
        <f>G2</f>
        <v>四级</v>
      </c>
      <c r="Y7" s="1214" t="s">
        <v>1949</v>
      </c>
      <c r="Z7" s="1215">
        <f>G3</f>
        <v>1</v>
      </c>
      <c r="AA7" s="1216"/>
      <c r="AB7" s="1216"/>
      <c r="AC7" s="1217"/>
      <c r="AD7" s="1218"/>
      <c r="AE7" s="1218"/>
      <c r="AF7" s="1218"/>
      <c r="AG7" s="1218"/>
      <c r="AH7" s="1218"/>
      <c r="AI7" s="1218"/>
      <c r="AJ7" s="1219"/>
    </row>
    <row r="8" spans="1:36" ht="25.5">
      <c r="A8" s="3294"/>
      <c r="B8" s="170" t="s">
        <v>1950</v>
      </c>
      <c r="C8" s="2025" t="s">
        <v>3508</v>
      </c>
      <c r="D8" s="756" t="s">
        <v>112</v>
      </c>
      <c r="E8" s="757" t="e">
        <f>ROUND(C11/E7,4)</f>
        <v>#DIV/0!</v>
      </c>
      <c r="F8" s="2026" t="s">
        <v>1951</v>
      </c>
      <c r="G8" s="2027"/>
      <c r="H8" s="2027"/>
      <c r="I8" s="2027"/>
      <c r="J8" s="2028"/>
      <c r="K8" s="1119"/>
      <c r="L8" s="2002" t="s">
        <v>1952</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692" t="s">
        <v>1953</v>
      </c>
      <c r="X8" s="3693"/>
      <c r="Y8" s="1220" t="s">
        <v>1954</v>
      </c>
      <c r="Z8" s="1220" t="s">
        <v>1955</v>
      </c>
      <c r="AA8" s="1220" t="s">
        <v>1956</v>
      </c>
      <c r="AB8" s="1220" t="s">
        <v>1957</v>
      </c>
      <c r="AC8" s="1220" t="s">
        <v>1958</v>
      </c>
      <c r="AD8" s="1220" t="s">
        <v>1959</v>
      </c>
      <c r="AE8" s="1220" t="s">
        <v>1960</v>
      </c>
      <c r="AF8" s="1220" t="s">
        <v>1961</v>
      </c>
      <c r="AG8" s="1220" t="s">
        <v>1962</v>
      </c>
      <c r="AH8" s="1220" t="s">
        <v>1963</v>
      </c>
      <c r="AI8" s="1220" t="s">
        <v>1964</v>
      </c>
      <c r="AJ8" s="1220" t="s">
        <v>1965</v>
      </c>
    </row>
    <row r="9" spans="1:36" ht="15">
      <c r="A9" s="3294"/>
      <c r="B9" s="170" t="s">
        <v>1966</v>
      </c>
      <c r="C9" s="758">
        <f>SUMIF(修正!C71:C138,C8,修正!E71:E138)</f>
        <v>0</v>
      </c>
      <c r="D9" s="171" t="s">
        <v>113</v>
      </c>
      <c r="E9" s="171" t="e">
        <f>ROUND(C11/E7,4)</f>
        <v>#DIV/0!</v>
      </c>
      <c r="F9" s="2026" t="s">
        <v>1967</v>
      </c>
      <c r="G9" s="2027"/>
      <c r="H9" s="2027"/>
      <c r="I9" s="2027"/>
      <c r="J9" s="2028"/>
      <c r="K9" s="1119"/>
      <c r="L9" s="2002" t="s">
        <v>1968</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694"/>
      <c r="X9" s="3357" t="s">
        <v>3256</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1969</v>
      </c>
      <c r="C10" s="171">
        <f>SUMIF(修正!C71:C138,C8,修正!F71:F138)</f>
        <v>0</v>
      </c>
      <c r="D10" s="171" t="s">
        <v>114</v>
      </c>
      <c r="E10" s="171" t="e">
        <f>ROUND(C11/E7,4)</f>
        <v>#DIV/0!</v>
      </c>
      <c r="F10" s="2026" t="s">
        <v>1970</v>
      </c>
      <c r="G10" s="2027"/>
      <c r="H10" s="2027"/>
      <c r="I10" s="2027"/>
      <c r="J10" s="2028"/>
      <c r="K10" s="1119"/>
      <c r="L10" s="2002" t="s">
        <v>1971</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694"/>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9" t="s">
        <v>1972</v>
      </c>
      <c r="C11" s="759">
        <f>C10/4</f>
        <v>0</v>
      </c>
      <c r="D11" s="759" t="s">
        <v>115</v>
      </c>
      <c r="E11" s="759" t="e">
        <f>ROUND(C11/E7,4)</f>
        <v>#DIV/0!</v>
      </c>
      <c r="F11" s="2030" t="s">
        <v>1973</v>
      </c>
      <c r="G11" s="2031"/>
      <c r="H11" s="2031"/>
      <c r="I11" s="2031"/>
      <c r="J11" s="2032"/>
      <c r="K11" s="1119"/>
      <c r="L11" s="2002" t="s">
        <v>1974</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6"/>
      <c r="AE11" s="2786"/>
      <c r="AF11" s="2786"/>
      <c r="AG11" s="2786"/>
      <c r="AH11" s="2786"/>
      <c r="AI11" s="2786"/>
      <c r="AJ11" s="2787"/>
    </row>
    <row r="12" spans="1:36" ht="25.5" thickBot="1">
      <c r="A12" s="3299" t="s">
        <v>3226</v>
      </c>
      <c r="B12" s="3300" t="s">
        <v>3227</v>
      </c>
      <c r="C12" s="3301">
        <v>1</v>
      </c>
      <c r="D12" s="3302" t="s">
        <v>3228</v>
      </c>
      <c r="E12" s="3303" t="s">
        <v>3229</v>
      </c>
      <c r="F12" s="3304"/>
      <c r="G12" s="3305"/>
      <c r="H12" s="3305"/>
      <c r="I12" s="3305"/>
      <c r="J12" s="3306"/>
      <c r="K12" s="1119"/>
      <c r="L12" s="2038" t="s">
        <v>1977</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6"/>
      <c r="AE12" s="2786"/>
      <c r="AF12" s="2786"/>
      <c r="AG12" s="2786"/>
      <c r="AH12" s="2786"/>
      <c r="AI12" s="2786"/>
      <c r="AJ12" s="2787"/>
    </row>
    <row r="13" spans="1:36" ht="15.75" thickBot="1">
      <c r="A13" s="3299" t="s">
        <v>3230</v>
      </c>
      <c r="B13" s="2033" t="s">
        <v>1975</v>
      </c>
      <c r="C13" s="755">
        <f>ROUND(C16*D16*E16*F16*G16*H16*I16*J16,4)</f>
        <v>0</v>
      </c>
      <c r="D13" s="2034" t="s">
        <v>1976</v>
      </c>
      <c r="E13" s="2035"/>
      <c r="F13" s="2035"/>
      <c r="G13" s="2036"/>
      <c r="H13" s="2036"/>
      <c r="I13" s="2036"/>
      <c r="J13" s="2037"/>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6"/>
      <c r="AE13" s="2786"/>
      <c r="AF13" s="2786"/>
      <c r="AG13" s="2786"/>
      <c r="AH13" s="2786"/>
      <c r="AI13" s="2786"/>
      <c r="AJ13" s="2787"/>
    </row>
    <row r="14" spans="1:36" ht="15">
      <c r="A14" s="3293"/>
      <c r="B14" s="2039" t="s">
        <v>1978</v>
      </c>
      <c r="C14" s="2040" t="s">
        <v>1979</v>
      </c>
      <c r="D14" s="1350" t="s">
        <v>1980</v>
      </c>
      <c r="E14" s="27" t="s">
        <v>1981</v>
      </c>
      <c r="F14" s="3307" t="s">
        <v>3231</v>
      </c>
      <c r="G14" s="3307" t="s">
        <v>3231</v>
      </c>
      <c r="H14" s="3307" t="s">
        <v>3231</v>
      </c>
      <c r="I14" s="3307" t="s">
        <v>3231</v>
      </c>
      <c r="J14" s="3307" t="s">
        <v>3231</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6"/>
      <c r="AE14" s="2786"/>
      <c r="AF14" s="2786"/>
      <c r="AG14" s="2786"/>
      <c r="AH14" s="2786"/>
      <c r="AI14" s="2786"/>
      <c r="AJ14" s="2787"/>
    </row>
    <row r="15" spans="1:36" ht="15">
      <c r="A15" s="3293"/>
      <c r="B15" s="2041"/>
      <c r="C15" s="2042"/>
      <c r="D15" s="2043"/>
      <c r="E15" s="2044"/>
      <c r="F15" s="3308" t="s">
        <v>3232</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6"/>
      <c r="AE15" s="2786"/>
      <c r="AF15" s="2786"/>
      <c r="AG15" s="2786"/>
      <c r="AH15" s="2786"/>
      <c r="AI15" s="2786"/>
      <c r="AJ15" s="2787"/>
    </row>
    <row r="16" spans="1:36" ht="15.75" thickBot="1">
      <c r="A16" s="3293"/>
      <c r="B16" s="3315" t="s">
        <v>1982</v>
      </c>
      <c r="C16" s="3313"/>
      <c r="D16" s="3313"/>
      <c r="E16" s="3313"/>
      <c r="F16" s="3313">
        <v>1</v>
      </c>
      <c r="G16" s="3313">
        <v>1</v>
      </c>
      <c r="H16" s="3313">
        <v>1</v>
      </c>
      <c r="I16" s="3313">
        <v>1</v>
      </c>
      <c r="J16" s="3314">
        <v>1</v>
      </c>
      <c r="K16" s="1119"/>
      <c r="L16" s="1996"/>
      <c r="M16" s="1996"/>
      <c r="N16" s="1996"/>
      <c r="O16" s="1996"/>
      <c r="P16" s="1996"/>
      <c r="Q16" s="1119"/>
      <c r="R16" s="1212">
        <v>15</v>
      </c>
      <c r="S16" s="1213"/>
      <c r="T16" s="3356">
        <f t="shared" si="0"/>
        <v>0</v>
      </c>
      <c r="U16" s="1213"/>
      <c r="V16" s="3356">
        <f t="shared" si="1"/>
        <v>0</v>
      </c>
      <c r="W16" s="1216"/>
      <c r="X16" s="1216"/>
      <c r="Y16" s="1216"/>
      <c r="Z16" s="1216"/>
      <c r="AA16" s="1216"/>
      <c r="AB16" s="1216"/>
      <c r="AC16" s="1217"/>
      <c r="AD16" s="2786"/>
      <c r="AE16" s="2786"/>
      <c r="AF16" s="2786"/>
      <c r="AG16" s="2786"/>
      <c r="AH16" s="2786"/>
      <c r="AI16" s="2786"/>
      <c r="AJ16" s="2787"/>
    </row>
    <row r="17" spans="1:37">
      <c r="A17" s="3325" t="s">
        <v>3233</v>
      </c>
      <c r="B17" s="3316" t="s">
        <v>3234</v>
      </c>
      <c r="C17" s="3326">
        <f>ROUND(IF(OR(E2="工业",E2="公共服务"),1,IF(AND(E18=0,E19=0),1,IF(AND(E18=J24,E19=G19),0.8,IF(E19=0,1+E17*(-0.2),1+E17*G17*(-0.2))))),4)</f>
        <v>1</v>
      </c>
      <c r="D17" s="3317" t="s">
        <v>3235</v>
      </c>
      <c r="E17" s="3326">
        <f>ROUND(G18/I18,2)</f>
        <v>0</v>
      </c>
      <c r="F17" s="3317" t="s">
        <v>3238</v>
      </c>
      <c r="G17" s="3326" t="e">
        <f>ROUND(E19/G19,2)</f>
        <v>#DIV/0!</v>
      </c>
      <c r="H17" s="3326"/>
      <c r="I17" s="3326"/>
      <c r="J17" s="3327"/>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28"/>
      <c r="B18" s="3005"/>
      <c r="C18" s="3323"/>
      <c r="D18" s="3318" t="s">
        <v>3236</v>
      </c>
      <c r="E18" s="3324"/>
      <c r="F18" s="3319" t="s">
        <v>3239</v>
      </c>
      <c r="G18" s="3323">
        <f>ROUND(1-(1/(POWER(1+G24,E18))),4)</f>
        <v>0</v>
      </c>
      <c r="H18" s="3319" t="s">
        <v>3241</v>
      </c>
      <c r="I18" s="3323">
        <f>ROUND(1-(1/(POWER(1+G24,J24))),4)</f>
        <v>0.91279999999999994</v>
      </c>
      <c r="J18" s="3329"/>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5"/>
    </row>
    <row r="19" spans="1:37" s="2013" customFormat="1" ht="15" thickBot="1">
      <c r="A19" s="3330"/>
      <c r="B19" s="3331"/>
      <c r="C19" s="3332"/>
      <c r="D19" s="3332" t="s">
        <v>3237</v>
      </c>
      <c r="E19" s="3333"/>
      <c r="F19" s="3334" t="s">
        <v>3240</v>
      </c>
      <c r="G19" s="3333"/>
      <c r="H19" s="3332"/>
      <c r="I19" s="3332"/>
      <c r="J19" s="3335"/>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8"/>
      <c r="AH19" s="2140"/>
      <c r="AI19" s="2789"/>
      <c r="AJ19" s="2789"/>
      <c r="AK19" s="2056"/>
    </row>
    <row r="20" spans="1:37" s="2013" customFormat="1" ht="14.25">
      <c r="A20" s="3699" t="s">
        <v>3242</v>
      </c>
      <c r="B20" s="167" t="s">
        <v>1987</v>
      </c>
      <c r="C20" s="3320">
        <f>ROUND(IF(F21="与级别开发程度一致",0,(G21-E21)/C21),0)</f>
        <v>-18</v>
      </c>
      <c r="D20" s="3336" t="s">
        <v>1991</v>
      </c>
      <c r="E20" s="3337"/>
      <c r="F20" s="3705" t="s">
        <v>1988</v>
      </c>
      <c r="G20" s="3706"/>
      <c r="H20" s="3321" t="s">
        <v>3383</v>
      </c>
      <c r="I20" s="3321" t="s">
        <v>3384</v>
      </c>
      <c r="J20" s="3322" t="s">
        <v>3385</v>
      </c>
      <c r="K20" s="2046" t="s">
        <v>3386</v>
      </c>
      <c r="L20" s="2046" t="s">
        <v>3387</v>
      </c>
      <c r="M20" s="2046" t="s">
        <v>3388</v>
      </c>
      <c r="N20" s="2046" t="s">
        <v>3641</v>
      </c>
      <c r="O20" s="2047" t="s">
        <v>3388</v>
      </c>
      <c r="P20" s="1996"/>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3" customFormat="1" ht="26.25" thickBot="1">
      <c r="A21" s="3700"/>
      <c r="B21" s="2163" t="s">
        <v>1990</v>
      </c>
      <c r="C21" s="2164">
        <f>IF(E3="M4科研用地",SUMPRODUCT((修正!A2:A7=E3)*(修正!B1:M1=G2)*(修正!B2:M7)),SUMPRODUCT((修正!A2:A7=E2)*(修正!B1:M1=G2)*(修正!B2:M7)))</f>
        <v>2</v>
      </c>
      <c r="D21" s="187" t="str">
        <f>IF(OR(G2="八级",G2="九级",G2="十级",G2="十一级",G2="十二级"),"五通一平","七通一平")</f>
        <v>七通一平</v>
      </c>
      <c r="E21" s="2154">
        <f>SUMPRODUCT((修正!B1:M1=G2)*(修正!B17:M17))</f>
        <v>315</v>
      </c>
      <c r="F21" s="2155" t="s">
        <v>3509</v>
      </c>
      <c r="G21" s="2156">
        <f>SUM(H21:O21)</f>
        <v>280</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40</v>
      </c>
      <c r="O21" s="2166">
        <f>SUMPRODUCT((七通一平=O20)*(修正!B1:M1=G2)*(修正!B8:M16))</f>
        <v>15</v>
      </c>
      <c r="P21" s="1996"/>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3" customFormat="1" ht="15.75" thickBot="1">
      <c r="A22" s="2157" t="s">
        <v>363</v>
      </c>
      <c r="B22" s="2158" t="s">
        <v>1993</v>
      </c>
      <c r="C22" s="2159">
        <f>SUMIF(修正!C20:C51,E3,修正!E20:E51)</f>
        <v>0.6</v>
      </c>
      <c r="D22" s="2160"/>
      <c r="E22" s="2161"/>
      <c r="F22" s="2161"/>
      <c r="G22" s="2161"/>
      <c r="H22" s="2161"/>
      <c r="I22" s="2161"/>
      <c r="J22" s="2162"/>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9" t="s">
        <v>364</v>
      </c>
      <c r="B23" s="2050" t="s">
        <v>1994</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3" t="s">
        <v>1995</v>
      </c>
      <c r="E23" s="761">
        <v>44197</v>
      </c>
      <c r="F23" s="2053" t="s">
        <v>1996</v>
      </c>
      <c r="G23" s="762">
        <f>'数据-取费表'!B2</f>
        <v>45352</v>
      </c>
      <c r="H23" s="3338" t="s">
        <v>3244</v>
      </c>
      <c r="I23" s="3339" t="str">
        <f>IF(H23="季度增幅（自定义）",SUMIF(N25:N28,E2,O25:O28),"")</f>
        <v/>
      </c>
      <c r="J23" s="3441" t="s">
        <v>3243</v>
      </c>
      <c r="K23" s="1125"/>
      <c r="L23" s="2054" t="s">
        <v>1997</v>
      </c>
      <c r="M23" s="1328">
        <f>ROUND(SUMIF(地价!B2:G2,E2,地价!B16:G16),0)</f>
        <v>0</v>
      </c>
      <c r="N23" s="2055" t="s">
        <v>1998</v>
      </c>
      <c r="O23" s="763">
        <f>ROUNDDOWN(DATEDIF(E23,G23,"M")/3,0)</f>
        <v>12</v>
      </c>
      <c r="P23" s="1122"/>
      <c r="Q23" s="2785"/>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1999</v>
      </c>
      <c r="C24" s="764">
        <f>ROUND(POWER(1+G24,J24-I24)*(POWER(1+G24,I24)-1)/(POWER(1+G24,J24)-1),4)</f>
        <v>0.86009999999999998</v>
      </c>
      <c r="D24" s="2059" t="s">
        <v>2000</v>
      </c>
      <c r="E24" s="1335">
        <f>存贷款利率!E24/100</f>
        <v>4.3499999999999997E-2</v>
      </c>
      <c r="F24" s="2059" t="s">
        <v>1992</v>
      </c>
      <c r="G24" s="768">
        <f>SUMIF(M30:Q30,E2,M33:Q33)</f>
        <v>0.05</v>
      </c>
      <c r="H24" s="2059" t="s">
        <v>2001</v>
      </c>
      <c r="I24" s="769">
        <f>SUMIF('数据-取费表'!C6:C15,E2,'数据-取费表'!F6:F15)/COUNTIF('数据-取费表'!C6:C15,E2)</f>
        <v>31.51</v>
      </c>
      <c r="J24" s="770">
        <f>IF(E2="住宅",70,IF(E2="商业",40,50))</f>
        <v>50</v>
      </c>
      <c r="K24" s="1125"/>
      <c r="L24" s="2060" t="s">
        <v>2002</v>
      </c>
      <c r="M24" s="1329">
        <f>ROUND(SUMPRODUCT((地价!A4:A16=YEAR(G23)&amp;"-"&amp;ROUNDUP(MONTH(G23)/3,0))*(地价!B2:G2=E2)*(地价!B4:G16)),0)</f>
        <v>0</v>
      </c>
      <c r="N24" s="2061" t="s">
        <v>2003</v>
      </c>
      <c r="O24" s="2062" t="s">
        <v>2004</v>
      </c>
      <c r="P24" s="2063" t="s">
        <v>2005</v>
      </c>
      <c r="Q24" s="1996"/>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4" t="s">
        <v>366</v>
      </c>
      <c r="B25" s="2065" t="s">
        <v>3323</v>
      </c>
      <c r="C25" s="771">
        <f>IF(B25="容积率修正",IF(G3&lt;10,D26,J26),C27)</f>
        <v>1.1565000000000001</v>
      </c>
      <c r="D25" s="2066"/>
      <c r="E25" s="2066"/>
      <c r="F25" s="2066"/>
      <c r="G25" s="2066"/>
      <c r="H25" s="2066"/>
      <c r="I25" s="2066"/>
      <c r="J25" s="2067"/>
      <c r="K25" s="1125"/>
      <c r="L25" s="2785"/>
      <c r="M25" s="2785"/>
      <c r="N25" s="2068" t="s">
        <v>2006</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2007</v>
      </c>
      <c r="B26" s="2069" t="s">
        <v>2008</v>
      </c>
      <c r="C26" s="3340" t="s">
        <v>3245</v>
      </c>
      <c r="D26" s="1352">
        <f>IF(E26=G26,F26,IF(G3&lt;10,ROUND(F26+(H26-F26)*(G3-E26)/(G26-E26),4),"——"))</f>
        <v>1.1565000000000001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1.1565000000000001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1.1565000000000001</v>
      </c>
      <c r="I26" s="3340" t="s">
        <v>3246</v>
      </c>
      <c r="J26" s="772" t="str">
        <f>IF(G3&gt;=10,D115,"——")</f>
        <v>——</v>
      </c>
      <c r="K26" s="1125"/>
      <c r="L26" s="2785"/>
      <c r="M26" s="2785"/>
      <c r="N26" s="2068" t="s">
        <v>2009</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2010</v>
      </c>
      <c r="B27" s="2070" t="s">
        <v>2011</v>
      </c>
      <c r="C27" s="841">
        <f>ROUND(IF(I3&lt;6,SUMPRODUCT((B106:B110=I3)*(C105:N105=G2)*(C106:N110)),SUMIF(C105:N105,G2,C112:N112)),4)</f>
        <v>0</v>
      </c>
      <c r="D27" s="2045"/>
      <c r="E27" s="2045"/>
      <c r="F27" s="2071"/>
      <c r="G27" s="2072"/>
      <c r="H27" s="2073"/>
      <c r="I27" s="2074"/>
      <c r="J27" s="2075"/>
      <c r="K27" s="1119"/>
      <c r="L27" s="1996"/>
      <c r="M27" s="1996"/>
      <c r="N27" s="2068" t="s">
        <v>2012</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2013</v>
      </c>
      <c r="C28" s="760">
        <f>SUMIF(A47:A101,E2,B47:B101)</f>
        <v>1.0369999999999999</v>
      </c>
      <c r="D28" s="2051"/>
      <c r="E28" s="2076"/>
      <c r="F28" s="2076"/>
      <c r="G28" s="2076"/>
      <c r="H28" s="2076"/>
      <c r="I28" s="2076"/>
      <c r="J28" s="2077"/>
      <c r="K28" s="1125"/>
      <c r="L28" s="2785"/>
      <c r="M28" s="2785"/>
      <c r="N28" s="2078" t="s">
        <v>2014</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2015</v>
      </c>
      <c r="C29" s="765"/>
      <c r="D29" s="2023"/>
      <c r="E29" s="2023"/>
      <c r="F29" s="2080"/>
      <c r="G29" s="2023"/>
      <c r="H29" s="2023"/>
      <c r="I29" s="2023"/>
      <c r="J29" s="2024"/>
      <c r="K29" s="1119"/>
      <c r="L29" s="1996"/>
      <c r="M29" s="1996"/>
      <c r="N29" s="2782" t="s">
        <v>2016</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2017</v>
      </c>
      <c r="C30" s="2320">
        <f>IF(B25="容积率修正",E33+SUM(E37:E42),SUM(V2:V16)+SUM(E37:E42))</f>
        <v>52981</v>
      </c>
      <c r="D30" s="2082"/>
      <c r="E30" s="2045"/>
      <c r="F30" s="2083"/>
      <c r="G30" s="2045"/>
      <c r="H30" s="2045"/>
      <c r="I30" s="2045"/>
      <c r="J30" s="2084"/>
      <c r="K30" s="1119"/>
      <c r="L30" s="3346" t="s">
        <v>1929</v>
      </c>
      <c r="M30" s="3347" t="s">
        <v>1983</v>
      </c>
      <c r="N30" s="3347" t="s">
        <v>1984</v>
      </c>
      <c r="O30" s="3347" t="s">
        <v>1985</v>
      </c>
      <c r="P30" s="3347" t="s">
        <v>1986</v>
      </c>
      <c r="Q30" s="3350" t="s">
        <v>3250</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2018</v>
      </c>
      <c r="C31" s="766">
        <f>E34+SUM(I37:I42)</f>
        <v>384</v>
      </c>
      <c r="D31" s="2086"/>
      <c r="E31" s="2087"/>
      <c r="F31" s="2088"/>
      <c r="G31" s="2087"/>
      <c r="H31" s="2087"/>
      <c r="I31" s="2087"/>
      <c r="J31" s="2089"/>
      <c r="K31" s="1119"/>
      <c r="L31" s="3348" t="s">
        <v>1989</v>
      </c>
      <c r="M31" s="1999">
        <v>0.25</v>
      </c>
      <c r="N31" s="1999">
        <v>0.2</v>
      </c>
      <c r="O31" s="1999">
        <v>0.15</v>
      </c>
      <c r="P31" s="1999">
        <v>0.1</v>
      </c>
      <c r="Q31" s="3343">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2019</v>
      </c>
      <c r="C32" s="2092" t="s">
        <v>2020</v>
      </c>
      <c r="D32" s="2092" t="s">
        <v>2021</v>
      </c>
      <c r="E32" s="2093" t="s">
        <v>2022</v>
      </c>
      <c r="F32" s="2094"/>
      <c r="G32" s="2036"/>
      <c r="H32" s="2036"/>
      <c r="I32" s="2036"/>
      <c r="J32" s="2037"/>
      <c r="K32" s="1119"/>
      <c r="L32" s="3349" t="s">
        <v>1992</v>
      </c>
      <c r="M32" s="2567">
        <f>ROUND($E$24*(1+M31),3)</f>
        <v>5.3999999999999999E-2</v>
      </c>
      <c r="N32" s="2567">
        <f>ROUND($E$24*(1+N31),3)</f>
        <v>5.1999999999999998E-2</v>
      </c>
      <c r="O32" s="2567">
        <f>ROUND($E$24*(1+O31),3)</f>
        <v>0.05</v>
      </c>
      <c r="P32" s="2567">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2023</v>
      </c>
      <c r="C33" s="175">
        <f>ROUND(C5*C22*C23*C24*C25*C28,0)</f>
        <v>9284</v>
      </c>
      <c r="D33" s="2097">
        <f>'数据-汇总表'!F31</f>
        <v>55413.87</v>
      </c>
      <c r="E33" s="773">
        <f>ROUND(C33*D33/10000,0)</f>
        <v>51446</v>
      </c>
      <c r="F33" s="3341" t="s">
        <v>3248</v>
      </c>
      <c r="G33" s="2098"/>
      <c r="H33" s="2098"/>
      <c r="I33" s="2098"/>
      <c r="J33" s="2099"/>
      <c r="K33" s="1119"/>
      <c r="L33" s="3344" t="s">
        <v>3251</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2024</v>
      </c>
      <c r="C34" s="187">
        <f>ROUND(IF(E2="工业",C33*M42,IF(B25="楼层修正",SUM(V2:V16)*M41*10000/D34,C33*M41)),0)</f>
        <v>2321</v>
      </c>
      <c r="D34" s="2102"/>
      <c r="E34" s="773">
        <f>ROUND(IF(B25="楼层修正",SUM(V2:V16)*M40,C34*D34/10000),0)</f>
        <v>0</v>
      </c>
      <c r="F34" s="2103" t="s">
        <v>2025</v>
      </c>
      <c r="G34" s="2104"/>
      <c r="H34" s="2104"/>
      <c r="I34" s="2104"/>
      <c r="J34" s="2105"/>
      <c r="K34" s="1119"/>
      <c r="L34" s="3344" t="s">
        <v>3252</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2026</v>
      </c>
      <c r="C35" s="3342" t="s">
        <v>3249</v>
      </c>
      <c r="D35" s="2036"/>
      <c r="E35" s="2108"/>
      <c r="F35" s="2108"/>
      <c r="G35" s="2034" t="s">
        <v>2027</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2020</v>
      </c>
      <c r="D36" s="447" t="s">
        <v>2021</v>
      </c>
      <c r="E36" s="447" t="s">
        <v>2022</v>
      </c>
      <c r="F36" s="342" t="s">
        <v>2028</v>
      </c>
      <c r="G36" s="2111" t="s">
        <v>2020</v>
      </c>
      <c r="H36" s="2111" t="s">
        <v>2021</v>
      </c>
      <c r="I36" s="2111" t="s">
        <v>2022</v>
      </c>
      <c r="J36" s="243"/>
      <c r="K36" s="3352" t="s">
        <v>3253</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03"/>
      <c r="B37" s="2112" t="s">
        <v>2029</v>
      </c>
      <c r="C37" s="175">
        <f>ROUND(D5*C22*C23*C24*C28*F37,0)</f>
        <v>4817</v>
      </c>
      <c r="D37" s="2097"/>
      <c r="E37" s="171">
        <f>ROUND(C37*D37/10000,0)</f>
        <v>0</v>
      </c>
      <c r="F37" s="171">
        <f>SUMIF(修正!A57:A68,G2,修正!B57:B68)</f>
        <v>0.6</v>
      </c>
      <c r="G37" s="171">
        <f>ROUND(IF(E2="工业",C37*$M$42,C37*$M$41),0)</f>
        <v>1204</v>
      </c>
      <c r="H37" s="171">
        <f>D37</f>
        <v>0</v>
      </c>
      <c r="I37" s="171">
        <f>ROUND(G37*H37/10000,0)</f>
        <v>0</v>
      </c>
      <c r="J37" s="3007"/>
      <c r="K37" s="3354" t="s">
        <v>3254</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04"/>
      <c r="B38" s="2040" t="s">
        <v>2030</v>
      </c>
      <c r="C38" s="175">
        <f>ROUND(D5*C22*C23*C24*C28*F38,0)</f>
        <v>2408</v>
      </c>
      <c r="D38" s="2097"/>
      <c r="E38" s="171">
        <f t="shared" ref="E38:E42" si="4">ROUND(C38*D38/10000,0)</f>
        <v>0</v>
      </c>
      <c r="F38" s="171">
        <f>SUMIF(修正!A57:A68,G2,修正!C57:C68)</f>
        <v>0.3</v>
      </c>
      <c r="G38" s="171">
        <f>ROUND(IF(E2="工业",C38*$M$42,C38*$M$41),0)</f>
        <v>602</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04"/>
      <c r="B39" s="2040" t="s">
        <v>3247</v>
      </c>
      <c r="C39" s="175">
        <f>ROUND(D5*C22*C23*C24*C28*F39,0)</f>
        <v>2007</v>
      </c>
      <c r="D39" s="2097"/>
      <c r="E39" s="171">
        <f t="shared" si="4"/>
        <v>0</v>
      </c>
      <c r="F39" s="171">
        <f>SUMIF(修正!A57:A68,G2,修正!D57:D68)</f>
        <v>0.25</v>
      </c>
      <c r="G39" s="171">
        <f>ROUND(IF(E2="工业",C39*$M$42,C39*$M$41),0)</f>
        <v>502</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2031</v>
      </c>
      <c r="C40" s="171">
        <f>ROUND(D5*C22*C23*C24*C28*F40,0)</f>
        <v>2007</v>
      </c>
      <c r="D40" s="2097">
        <f>'数据-汇总表'!G31</f>
        <v>7650.01</v>
      </c>
      <c r="E40" s="171">
        <f t="shared" si="4"/>
        <v>1535</v>
      </c>
      <c r="F40" s="175">
        <f>SUMIF(修正!A57:A68,G2,修正!E57:E68)</f>
        <v>0.25</v>
      </c>
      <c r="G40" s="171">
        <f>ROUND(IF(E2="工业",C40*$M$42,C40*$M$41),0)</f>
        <v>502</v>
      </c>
      <c r="H40" s="171">
        <f t="shared" si="5"/>
        <v>7650.01</v>
      </c>
      <c r="I40" s="171">
        <f t="shared" si="6"/>
        <v>384</v>
      </c>
      <c r="J40" s="2113"/>
      <c r="L40" s="2115" t="s">
        <v>2032</v>
      </c>
      <c r="M40" s="2116"/>
      <c r="Z40" s="1120"/>
      <c r="AA40" s="1120"/>
      <c r="AB40" s="1120"/>
      <c r="AC40" s="1120"/>
      <c r="AD40" s="1120"/>
      <c r="AE40" s="1120"/>
      <c r="AF40" s="1120"/>
      <c r="AG40" s="1120"/>
      <c r="AH40" s="1120"/>
      <c r="AI40" s="1120"/>
      <c r="AJ40" s="1120"/>
    </row>
    <row r="41" spans="1:37" s="1119" customFormat="1">
      <c r="A41" s="2114"/>
      <c r="B41" s="2040" t="s">
        <v>2033</v>
      </c>
      <c r="C41" s="171">
        <f>ROUND(D5*C22*C23*C44*C28*F41,0)</f>
        <v>2007</v>
      </c>
      <c r="D41" s="2097"/>
      <c r="E41" s="171">
        <f t="shared" si="4"/>
        <v>0</v>
      </c>
      <c r="F41" s="175">
        <f>SUMIF(修正!A57:A68,G2,修正!F57:F68)</f>
        <v>0.25</v>
      </c>
      <c r="G41" s="171">
        <f>ROUND(IF(E2="工业",C41*$M$42,C41*$M$41),0)</f>
        <v>502</v>
      </c>
      <c r="H41" s="171">
        <f t="shared" si="5"/>
        <v>0</v>
      </c>
      <c r="I41" s="171">
        <f t="shared" si="6"/>
        <v>0</v>
      </c>
      <c r="J41" s="2113"/>
      <c r="L41" s="3355" t="s">
        <v>3255</v>
      </c>
      <c r="M41" s="2117">
        <v>0.25</v>
      </c>
      <c r="Z41" s="1120"/>
      <c r="AA41" s="1120"/>
      <c r="AB41" s="1120"/>
      <c r="AC41" s="1120"/>
      <c r="AD41" s="1120"/>
      <c r="AE41" s="1120"/>
      <c r="AF41" s="1120"/>
      <c r="AG41" s="1120"/>
      <c r="AH41" s="1120"/>
      <c r="AI41" s="1120"/>
      <c r="AJ41" s="1120"/>
    </row>
    <row r="42" spans="1:37" s="1119" customFormat="1" ht="13.5" thickBot="1">
      <c r="A42" s="2100"/>
      <c r="B42" s="2118" t="s">
        <v>2034</v>
      </c>
      <c r="C42" s="187">
        <f>ROUND(D5*C22*C23*C44*C28*F42,0)</f>
        <v>1204</v>
      </c>
      <c r="D42" s="2102"/>
      <c r="E42" s="187">
        <f t="shared" si="4"/>
        <v>0</v>
      </c>
      <c r="F42" s="767">
        <f>SUMIF(修正!A57:A68,G2,修正!G57:G68)</f>
        <v>0.15</v>
      </c>
      <c r="G42" s="187">
        <f>ROUND(IF(E2="工业",C42*$M$42,C42*$M$41),0)</f>
        <v>301</v>
      </c>
      <c r="H42" s="187">
        <f t="shared" si="5"/>
        <v>0</v>
      </c>
      <c r="I42" s="187">
        <f t="shared" si="6"/>
        <v>0</v>
      </c>
      <c r="J42" s="2119"/>
      <c r="L42" s="2120" t="s">
        <v>1986</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2115</v>
      </c>
      <c r="C44" s="342">
        <f>ROUND(POWER(1+E44,H44-G44)*(POWER(1+E44,G44)-1)/(POWER(1+E44,H44)-1),4)</f>
        <v>0.86009999999999998</v>
      </c>
      <c r="D44" s="171" t="s">
        <v>1992</v>
      </c>
      <c r="E44" s="2152">
        <f>G24</f>
        <v>0.05</v>
      </c>
      <c r="F44" s="171" t="s">
        <v>2001</v>
      </c>
      <c r="G44" s="183">
        <f>'数据-取费表'!F6</f>
        <v>31.51</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2035</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2036</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2037</v>
      </c>
      <c r="B49" s="1351" t="s">
        <v>2038</v>
      </c>
      <c r="C49" s="1351" t="s">
        <v>2039</v>
      </c>
      <c r="D49" s="1351" t="s">
        <v>2040</v>
      </c>
      <c r="E49" s="743" t="s">
        <v>2041</v>
      </c>
      <c r="F49" s="2130" t="s">
        <v>2042</v>
      </c>
      <c r="G49" s="1351" t="s">
        <v>310</v>
      </c>
      <c r="H49" s="2131" t="s">
        <v>2043</v>
      </c>
      <c r="I49" s="1351" t="s">
        <v>2044</v>
      </c>
      <c r="J49" s="552" t="s">
        <v>1714</v>
      </c>
      <c r="K49" s="552" t="s">
        <v>1715</v>
      </c>
      <c r="L49" s="552" t="s">
        <v>1716</v>
      </c>
      <c r="M49" s="552" t="s">
        <v>1717</v>
      </c>
      <c r="N49" s="552" t="s">
        <v>1718</v>
      </c>
      <c r="AA49" s="1120"/>
      <c r="AB49" s="1120"/>
      <c r="AC49" s="1120"/>
      <c r="AD49" s="1120"/>
      <c r="AE49" s="1120"/>
      <c r="AF49" s="1120"/>
      <c r="AG49" s="1120"/>
      <c r="AH49" s="1120"/>
      <c r="AI49" s="1120"/>
      <c r="AJ49" s="1120"/>
      <c r="AK49" s="1120"/>
    </row>
    <row r="50" spans="1:37" s="1119" customFormat="1" ht="24.75">
      <c r="A50" s="2129" t="s">
        <v>2045</v>
      </c>
      <c r="B50" s="2132" t="str">
        <f>估价对象房地状况!C4</f>
        <v>较好</v>
      </c>
      <c r="C50" s="2043"/>
      <c r="D50" s="1065">
        <f t="shared" ref="D50:D58" si="7">SUMIF($J$49:$N$49,C50,J50:N50)</f>
        <v>0</v>
      </c>
      <c r="E50" s="744">
        <f>ROUND(SUM(D50:D58),4)</f>
        <v>0</v>
      </c>
      <c r="F50" s="1813"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29" t="s">
        <v>2046</v>
      </c>
      <c r="B51" s="2133" t="str">
        <f>估价对象房地状况!C18</f>
        <v>较好</v>
      </c>
      <c r="C51" s="2043"/>
      <c r="D51" s="1065">
        <f t="shared" si="7"/>
        <v>0</v>
      </c>
      <c r="E51" s="745"/>
      <c r="F51" s="1813"/>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4" t="s">
        <v>3257</v>
      </c>
      <c r="B52" s="2133">
        <f>估价对象房地状况!C19</f>
        <v>0</v>
      </c>
      <c r="C52" s="2043"/>
      <c r="D52" s="1065">
        <f t="shared" si="7"/>
        <v>0</v>
      </c>
      <c r="E52" s="745"/>
      <c r="F52" s="1813"/>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2047</v>
      </c>
      <c r="B53" s="2134" t="s">
        <v>2048</v>
      </c>
      <c r="C53" s="2043"/>
      <c r="D53" s="1065">
        <f t="shared" si="7"/>
        <v>0</v>
      </c>
      <c r="E53" s="745"/>
      <c r="F53" s="1813"/>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2049</v>
      </c>
      <c r="B54" s="2133">
        <f>估价对象房地状况!C24</f>
        <v>0</v>
      </c>
      <c r="C54" s="2043"/>
      <c r="D54" s="1065">
        <f t="shared" si="7"/>
        <v>0</v>
      </c>
      <c r="E54" s="745"/>
      <c r="F54" s="1813"/>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2050</v>
      </c>
      <c r="B55" s="2135" t="s">
        <v>2051</v>
      </c>
      <c r="C55" s="2043"/>
      <c r="D55" s="1065">
        <f t="shared" si="7"/>
        <v>0</v>
      </c>
      <c r="E55" s="745"/>
      <c r="F55" s="1813"/>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6" t="s">
        <v>2052</v>
      </c>
      <c r="B56" s="1326" t="str">
        <f>估价对象房地状况!C21</f>
        <v>较好</v>
      </c>
      <c r="C56" s="2043"/>
      <c r="D56" s="1065">
        <f t="shared" si="7"/>
        <v>0</v>
      </c>
      <c r="E56" s="745"/>
      <c r="F56" s="1813"/>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6" t="s">
        <v>2053</v>
      </c>
      <c r="B57" s="2133" t="str">
        <f>估价对象房地状况!C22</f>
        <v>七通</v>
      </c>
      <c r="C57" s="2043"/>
      <c r="D57" s="1065">
        <f t="shared" si="7"/>
        <v>0</v>
      </c>
      <c r="E57" s="745"/>
      <c r="F57" s="1813"/>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7" t="s">
        <v>2054</v>
      </c>
      <c r="B58" s="2138" t="str">
        <f>估价对象房地状况!C20</f>
        <v>较好</v>
      </c>
      <c r="C58" s="2043"/>
      <c r="D58" s="1065">
        <f t="shared" si="7"/>
        <v>0</v>
      </c>
      <c r="E58" s="746"/>
      <c r="F58" s="1813"/>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2055</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2037</v>
      </c>
      <c r="B60" s="1351"/>
      <c r="C60" s="1351" t="s">
        <v>2039</v>
      </c>
      <c r="D60" s="1351" t="s">
        <v>2040</v>
      </c>
      <c r="E60" s="743" t="s">
        <v>2041</v>
      </c>
      <c r="F60" s="2130" t="s">
        <v>2056</v>
      </c>
      <c r="G60" s="1351" t="s">
        <v>310</v>
      </c>
      <c r="H60" s="2131" t="s">
        <v>2043</v>
      </c>
      <c r="I60" s="1351" t="s">
        <v>2044</v>
      </c>
      <c r="J60" s="552" t="s">
        <v>1714</v>
      </c>
      <c r="K60" s="552" t="s">
        <v>1715</v>
      </c>
      <c r="L60" s="552" t="s">
        <v>1716</v>
      </c>
      <c r="M60" s="552" t="s">
        <v>1717</v>
      </c>
      <c r="N60" s="552" t="s">
        <v>1718</v>
      </c>
      <c r="AA60" s="1120"/>
      <c r="AB60" s="1120"/>
      <c r="AC60" s="1120"/>
      <c r="AD60" s="1120"/>
      <c r="AE60" s="1120"/>
      <c r="AF60" s="1120"/>
      <c r="AG60" s="1120"/>
      <c r="AH60" s="1120"/>
      <c r="AI60" s="1120"/>
      <c r="AJ60" s="1120"/>
      <c r="AK60" s="1120"/>
    </row>
    <row r="61" spans="1:37" s="1119" customFormat="1" ht="24">
      <c r="A61" s="2129" t="s">
        <v>2057</v>
      </c>
      <c r="B61" s="2132" t="str">
        <f>估价对象房地状况!C17</f>
        <v>较好</v>
      </c>
      <c r="C61" s="2043"/>
      <c r="D61" s="1065">
        <f t="shared" ref="D61:D69" si="12">SUMIF($J$60:$N$60,C61,J61:N61)</f>
        <v>0</v>
      </c>
      <c r="E61" s="744">
        <f>ROUND(SUM(D61:D69),4)</f>
        <v>0</v>
      </c>
      <c r="F61" s="1813"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9" t="s">
        <v>2046</v>
      </c>
      <c r="B62" s="2133" t="str">
        <f>估价对象房地状况!C18</f>
        <v>较好</v>
      </c>
      <c r="C62" s="2043"/>
      <c r="D62" s="1065">
        <f t="shared" si="12"/>
        <v>0</v>
      </c>
      <c r="E62" s="745"/>
      <c r="F62" s="1813"/>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3257</v>
      </c>
      <c r="B63" s="2133">
        <f>估价对象房地状况!C19</f>
        <v>0</v>
      </c>
      <c r="C63" s="2043"/>
      <c r="D63" s="1065">
        <f t="shared" si="12"/>
        <v>0</v>
      </c>
      <c r="E63" s="745"/>
      <c r="F63" s="1813"/>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2047</v>
      </c>
      <c r="B64" s="2134" t="s">
        <v>2048</v>
      </c>
      <c r="C64" s="2043"/>
      <c r="D64" s="1065">
        <f t="shared" si="12"/>
        <v>0</v>
      </c>
      <c r="E64" s="745"/>
      <c r="F64" s="1813"/>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2049</v>
      </c>
      <c r="B65" s="2133">
        <f>估价对象房地状况!C24</f>
        <v>0</v>
      </c>
      <c r="C65" s="2043"/>
      <c r="D65" s="1065">
        <f t="shared" si="12"/>
        <v>0</v>
      </c>
      <c r="E65" s="745"/>
      <c r="F65" s="1813"/>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2050</v>
      </c>
      <c r="B66" s="2135" t="s">
        <v>2051</v>
      </c>
      <c r="C66" s="2043"/>
      <c r="D66" s="1065">
        <f t="shared" si="12"/>
        <v>0</v>
      </c>
      <c r="E66" s="745"/>
      <c r="F66" s="1813"/>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9" t="s">
        <v>2052</v>
      </c>
      <c r="B67" s="1326" t="str">
        <f>估价对象房地状况!C21</f>
        <v>较好</v>
      </c>
      <c r="C67" s="2043"/>
      <c r="D67" s="1065">
        <f t="shared" si="12"/>
        <v>0</v>
      </c>
      <c r="E67" s="745"/>
      <c r="F67" s="1813"/>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9" t="s">
        <v>2053</v>
      </c>
      <c r="B68" s="1326" t="str">
        <f>估价对象房地状况!C22</f>
        <v>七通</v>
      </c>
      <c r="C68" s="2043"/>
      <c r="D68" s="1065">
        <f t="shared" si="12"/>
        <v>0</v>
      </c>
      <c r="E68" s="745"/>
      <c r="F68" s="1813"/>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7" t="s">
        <v>2054</v>
      </c>
      <c r="B69" s="2139" t="str">
        <f>估价对象房地状况!C20</f>
        <v>较好</v>
      </c>
      <c r="C69" s="2043"/>
      <c r="D69" s="1065">
        <f t="shared" si="12"/>
        <v>0</v>
      </c>
      <c r="E69" s="746"/>
      <c r="F69" s="1813"/>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2058</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2037</v>
      </c>
      <c r="B71" s="1351"/>
      <c r="C71" s="1351" t="s">
        <v>2039</v>
      </c>
      <c r="D71" s="1351" t="s">
        <v>2040</v>
      </c>
      <c r="E71" s="743" t="s">
        <v>2041</v>
      </c>
      <c r="F71" s="2130" t="s">
        <v>2056</v>
      </c>
      <c r="G71" s="1351" t="s">
        <v>310</v>
      </c>
      <c r="H71" s="2131" t="s">
        <v>2043</v>
      </c>
      <c r="I71" s="1351" t="s">
        <v>2044</v>
      </c>
      <c r="J71" s="552" t="s">
        <v>1714</v>
      </c>
      <c r="K71" s="552" t="s">
        <v>1715</v>
      </c>
      <c r="L71" s="552" t="s">
        <v>1716</v>
      </c>
      <c r="M71" s="552" t="s">
        <v>1717</v>
      </c>
      <c r="N71" s="552" t="s">
        <v>1718</v>
      </c>
      <c r="AA71" s="1120"/>
      <c r="AB71" s="1120"/>
      <c r="AC71" s="1120"/>
      <c r="AD71" s="1120"/>
      <c r="AE71" s="1120"/>
      <c r="AF71" s="1120"/>
      <c r="AG71" s="1120"/>
      <c r="AH71" s="1120"/>
      <c r="AI71" s="1120"/>
      <c r="AJ71" s="1120"/>
      <c r="AK71" s="1120"/>
    </row>
    <row r="72" spans="1:37" s="1119" customFormat="1" ht="24">
      <c r="A72" s="2129" t="s">
        <v>2059</v>
      </c>
      <c r="B72" s="2132" t="str">
        <f>估价对象房地状况!C15</f>
        <v>较好</v>
      </c>
      <c r="C72" s="2043"/>
      <c r="D72" s="1065">
        <f t="shared" ref="D72:D80" si="17">SUMIF($J$71:$N$71,C72,J72:N72)</f>
        <v>0</v>
      </c>
      <c r="E72" s="744">
        <f>ROUND(SUM(D72:D80),4)</f>
        <v>0</v>
      </c>
      <c r="F72" s="1813"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9" t="s">
        <v>2046</v>
      </c>
      <c r="B73" s="2133" t="str">
        <f>估价对象房地状况!C18</f>
        <v>较好</v>
      </c>
      <c r="C73" s="2043"/>
      <c r="D73" s="1065">
        <f t="shared" si="17"/>
        <v>0</v>
      </c>
      <c r="E73" s="747"/>
      <c r="F73" s="1813"/>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4" t="s">
        <v>3257</v>
      </c>
      <c r="B74" s="2133">
        <f>估价对象房地状况!C19</f>
        <v>0</v>
      </c>
      <c r="C74" s="2043"/>
      <c r="D74" s="1065">
        <f t="shared" si="17"/>
        <v>0</v>
      </c>
      <c r="E74" s="747"/>
      <c r="F74" s="1813"/>
      <c r="G74" s="1063"/>
      <c r="H74" s="1066" t="str">
        <f t="shared" si="18"/>
        <v>——</v>
      </c>
      <c r="I74" s="3362">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2060</v>
      </c>
      <c r="B75" s="2133">
        <f>估价对象房地状况!C24</f>
        <v>0</v>
      </c>
      <c r="C75" s="2043"/>
      <c r="D75" s="1065">
        <f t="shared" si="17"/>
        <v>0</v>
      </c>
      <c r="E75" s="747"/>
      <c r="F75" s="1813"/>
      <c r="G75" s="1063"/>
      <c r="H75" s="1066" t="str">
        <f t="shared" si="18"/>
        <v>——</v>
      </c>
      <c r="I75" s="3362">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4">
      <c r="A76" s="2129" t="s">
        <v>2052</v>
      </c>
      <c r="B76" s="1326" t="str">
        <f>估价对象房地状况!C21</f>
        <v>较好</v>
      </c>
      <c r="C76" s="2043"/>
      <c r="D76" s="1065">
        <f t="shared" si="17"/>
        <v>0</v>
      </c>
      <c r="E76" s="747"/>
      <c r="F76" s="1813"/>
      <c r="G76" s="1063"/>
      <c r="H76" s="1066" t="str">
        <f t="shared" si="18"/>
        <v>——</v>
      </c>
      <c r="I76" s="3362">
        <v>0.08</v>
      </c>
      <c r="J76" s="1064">
        <f t="shared" si="19"/>
        <v>0</v>
      </c>
      <c r="K76" s="1064">
        <f t="shared" si="20"/>
        <v>0</v>
      </c>
      <c r="L76" s="1064">
        <v>0</v>
      </c>
      <c r="M76" s="1064">
        <f t="shared" si="21"/>
        <v>0</v>
      </c>
      <c r="N76" s="1064">
        <f t="shared" si="21"/>
        <v>0</v>
      </c>
      <c r="O76" s="1119"/>
      <c r="P76" s="1119"/>
      <c r="Z76" s="1997"/>
      <c r="AA76" s="2052"/>
      <c r="AG76" s="1121"/>
      <c r="AK76" s="2052"/>
    </row>
    <row r="77" spans="1:37" ht="24">
      <c r="A77" s="2129" t="s">
        <v>2053</v>
      </c>
      <c r="B77" s="1326" t="str">
        <f>估价对象房地状况!C22</f>
        <v>七通</v>
      </c>
      <c r="C77" s="2043"/>
      <c r="D77" s="1065">
        <f t="shared" si="17"/>
        <v>0</v>
      </c>
      <c r="E77" s="747"/>
      <c r="F77" s="1813"/>
      <c r="G77" s="1063"/>
      <c r="H77" s="1066" t="str">
        <f t="shared" si="18"/>
        <v>——</v>
      </c>
      <c r="I77" s="3362">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2050</v>
      </c>
      <c r="B78" s="2135" t="s">
        <v>2051</v>
      </c>
      <c r="C78" s="2043"/>
      <c r="D78" s="1065">
        <f t="shared" si="17"/>
        <v>0</v>
      </c>
      <c r="E78" s="747"/>
      <c r="F78" s="1813"/>
      <c r="G78" s="1063"/>
      <c r="H78" s="1066" t="str">
        <f t="shared" si="18"/>
        <v>——</v>
      </c>
      <c r="I78" s="3362">
        <v>0.05</v>
      </c>
      <c r="J78" s="1064">
        <f t="shared" si="19"/>
        <v>0</v>
      </c>
      <c r="K78" s="1064">
        <f t="shared" si="20"/>
        <v>0</v>
      </c>
      <c r="L78" s="1064">
        <v>0</v>
      </c>
      <c r="M78" s="1064">
        <f t="shared" si="21"/>
        <v>0</v>
      </c>
      <c r="N78" s="1064">
        <f t="shared" si="21"/>
        <v>0</v>
      </c>
      <c r="O78" s="1996"/>
      <c r="P78" s="1996"/>
      <c r="Z78" s="1997"/>
      <c r="AA78" s="2052"/>
      <c r="AG78" s="1121"/>
      <c r="AK78" s="2052"/>
    </row>
    <row r="79" spans="1:37" ht="24">
      <c r="A79" s="2129" t="s">
        <v>2054</v>
      </c>
      <c r="B79" s="2132" t="str">
        <f>估价对象房地状况!C20</f>
        <v>较好</v>
      </c>
      <c r="C79" s="2043"/>
      <c r="D79" s="1065">
        <f t="shared" si="17"/>
        <v>0</v>
      </c>
      <c r="E79" s="747"/>
      <c r="F79" s="1813"/>
      <c r="G79" s="1063"/>
      <c r="H79" s="1066" t="str">
        <f t="shared" si="18"/>
        <v>——</v>
      </c>
      <c r="I79" s="3362">
        <v>0.12</v>
      </c>
      <c r="J79" s="1064">
        <f t="shared" si="19"/>
        <v>0</v>
      </c>
      <c r="K79" s="1064">
        <f t="shared" si="20"/>
        <v>0</v>
      </c>
      <c r="L79" s="1064">
        <v>0</v>
      </c>
      <c r="M79" s="1064">
        <f t="shared" si="21"/>
        <v>0</v>
      </c>
      <c r="N79" s="1064">
        <f t="shared" si="21"/>
        <v>0</v>
      </c>
      <c r="Z79" s="1997"/>
      <c r="AA79" s="2052"/>
      <c r="AG79" s="1121"/>
      <c r="AK79" s="2052"/>
    </row>
    <row r="80" spans="1:37" ht="24.75" thickBot="1">
      <c r="A80" s="2137" t="s">
        <v>2061</v>
      </c>
      <c r="B80" s="2141"/>
      <c r="C80" s="2043"/>
      <c r="D80" s="1065">
        <f t="shared" si="17"/>
        <v>0</v>
      </c>
      <c r="E80" s="748"/>
      <c r="F80" s="1813"/>
      <c r="G80" s="1063"/>
      <c r="H80" s="1066" t="str">
        <f t="shared" si="18"/>
        <v>——</v>
      </c>
      <c r="I80" s="3363">
        <v>0.05</v>
      </c>
      <c r="J80" s="1064">
        <f t="shared" si="19"/>
        <v>0</v>
      </c>
      <c r="K80" s="1064">
        <f t="shared" si="20"/>
        <v>0</v>
      </c>
      <c r="L80" s="1064">
        <v>0</v>
      </c>
      <c r="M80" s="1064">
        <f t="shared" si="21"/>
        <v>0</v>
      </c>
      <c r="N80" s="1064">
        <f t="shared" si="21"/>
        <v>0</v>
      </c>
      <c r="Z80" s="1997"/>
      <c r="AA80" s="2052"/>
      <c r="AG80" s="1121"/>
      <c r="AK80" s="2052"/>
    </row>
    <row r="81" spans="1:37" ht="15">
      <c r="A81" s="2125" t="s">
        <v>2062</v>
      </c>
      <c r="B81" s="2126">
        <f>1+E83</f>
        <v>1</v>
      </c>
      <c r="C81" s="741"/>
      <c r="D81" s="741"/>
      <c r="E81" s="742"/>
      <c r="F81" s="2128"/>
      <c r="G81" s="3"/>
      <c r="H81" s="3"/>
      <c r="I81" s="3"/>
      <c r="J81" s="4"/>
      <c r="K81" s="4"/>
      <c r="L81" s="4"/>
      <c r="M81" s="4"/>
      <c r="N81" s="4"/>
      <c r="Z81" s="1997"/>
      <c r="AA81" s="2052"/>
      <c r="AG81" s="1121"/>
      <c r="AK81" s="2052"/>
    </row>
    <row r="82" spans="1:37" ht="24.75">
      <c r="A82" s="2129" t="s">
        <v>2037</v>
      </c>
      <c r="B82" s="1351"/>
      <c r="C82" s="1351" t="s">
        <v>2039</v>
      </c>
      <c r="D82" s="1351" t="s">
        <v>2040</v>
      </c>
      <c r="E82" s="743" t="s">
        <v>2041</v>
      </c>
      <c r="F82" s="2130" t="s">
        <v>2056</v>
      </c>
      <c r="G82" s="1351" t="s">
        <v>310</v>
      </c>
      <c r="H82" s="2131" t="s">
        <v>2043</v>
      </c>
      <c r="I82" s="1351" t="s">
        <v>2044</v>
      </c>
      <c r="J82" s="552" t="s">
        <v>1714</v>
      </c>
      <c r="K82" s="552" t="s">
        <v>1715</v>
      </c>
      <c r="L82" s="552" t="s">
        <v>1716</v>
      </c>
      <c r="M82" s="552" t="s">
        <v>1717</v>
      </c>
      <c r="N82" s="552" t="s">
        <v>1718</v>
      </c>
      <c r="Z82" s="1997"/>
      <c r="AA82" s="2052"/>
      <c r="AG82" s="1121"/>
      <c r="AK82" s="2052"/>
    </row>
    <row r="83" spans="1:37" ht="38.25">
      <c r="A83" s="2129" t="s">
        <v>2063</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2046</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2">
        <v>0.3</v>
      </c>
      <c r="J84" s="1064">
        <f t="shared" si="24"/>
        <v>0</v>
      </c>
      <c r="K84" s="1064">
        <f t="shared" si="25"/>
        <v>0</v>
      </c>
      <c r="L84" s="1064">
        <v>0</v>
      </c>
      <c r="M84" s="1064">
        <f t="shared" si="26"/>
        <v>0</v>
      </c>
      <c r="N84" s="1064">
        <f t="shared" si="26"/>
        <v>0</v>
      </c>
      <c r="Z84" s="1997"/>
      <c r="AA84" s="2052"/>
      <c r="AG84" s="1121"/>
      <c r="AK84" s="2052"/>
    </row>
    <row r="85" spans="1:37" ht="36">
      <c r="A85" s="3364" t="s">
        <v>3258</v>
      </c>
      <c r="B85" s="2133">
        <f>估价对象房地状况!G17</f>
        <v>0</v>
      </c>
      <c r="C85" s="2043"/>
      <c r="D85" s="1065">
        <f t="shared" si="22"/>
        <v>0</v>
      </c>
      <c r="E85" s="747"/>
      <c r="F85" s="1813"/>
      <c r="G85" s="1063"/>
      <c r="H85" s="1066" t="str">
        <f t="shared" si="23"/>
        <v>——</v>
      </c>
      <c r="I85" s="3362">
        <v>0.1</v>
      </c>
      <c r="J85" s="1064">
        <f t="shared" si="24"/>
        <v>0</v>
      </c>
      <c r="K85" s="1064">
        <f t="shared" si="25"/>
        <v>0</v>
      </c>
      <c r="L85" s="1064">
        <v>0</v>
      </c>
      <c r="M85" s="1064">
        <f t="shared" si="26"/>
        <v>0</v>
      </c>
      <c r="N85" s="1064">
        <f t="shared" si="26"/>
        <v>0</v>
      </c>
      <c r="Z85" s="1997"/>
      <c r="AA85" s="2052"/>
      <c r="AG85" s="1121"/>
      <c r="AK85" s="2052"/>
    </row>
    <row r="86" spans="1:37" ht="14.25">
      <c r="A86" s="2129" t="s">
        <v>2060</v>
      </c>
      <c r="B86" s="2133">
        <f>估价对象房地状况!G22</f>
        <v>0</v>
      </c>
      <c r="C86" s="2043"/>
      <c r="D86" s="1065">
        <f t="shared" si="22"/>
        <v>0</v>
      </c>
      <c r="E86" s="747"/>
      <c r="F86" s="1813"/>
      <c r="G86" s="1063"/>
      <c r="H86" s="1066" t="str">
        <f t="shared" si="23"/>
        <v>——</v>
      </c>
      <c r="I86" s="3362">
        <v>0.05</v>
      </c>
      <c r="J86" s="1064">
        <f t="shared" si="24"/>
        <v>0</v>
      </c>
      <c r="K86" s="1064">
        <f t="shared" si="25"/>
        <v>0</v>
      </c>
      <c r="L86" s="1064">
        <v>0</v>
      </c>
      <c r="M86" s="1064">
        <f t="shared" si="26"/>
        <v>0</v>
      </c>
      <c r="N86" s="1064">
        <f t="shared" si="26"/>
        <v>0</v>
      </c>
      <c r="Z86" s="1997"/>
      <c r="AA86" s="2052"/>
      <c r="AG86" s="1121"/>
      <c r="AK86" s="2052"/>
    </row>
    <row r="87" spans="1:37" ht="25.5">
      <c r="A87" s="2129" t="s">
        <v>2052</v>
      </c>
      <c r="B87" s="1326" t="str">
        <f>估价对象房地状况!G19</f>
        <v>估价对象所在区域公共配套设施齐备情况</v>
      </c>
      <c r="C87" s="2043"/>
      <c r="D87" s="1065">
        <f t="shared" si="22"/>
        <v>0</v>
      </c>
      <c r="E87" s="747"/>
      <c r="F87" s="1813"/>
      <c r="G87" s="1063"/>
      <c r="H87" s="1066" t="str">
        <f t="shared" si="23"/>
        <v>——</v>
      </c>
      <c r="I87" s="3362">
        <v>0.06</v>
      </c>
      <c r="J87" s="1064">
        <f t="shared" si="24"/>
        <v>0</v>
      </c>
      <c r="K87" s="1064">
        <f t="shared" si="25"/>
        <v>0</v>
      </c>
      <c r="L87" s="1064">
        <v>0</v>
      </c>
      <c r="M87" s="1064">
        <f t="shared" si="26"/>
        <v>0</v>
      </c>
      <c r="N87" s="1064">
        <f t="shared" si="26"/>
        <v>0</v>
      </c>
    </row>
    <row r="88" spans="1:37" ht="25.5">
      <c r="A88" s="2129" t="s">
        <v>2053</v>
      </c>
      <c r="B88" s="1326" t="str">
        <f>估价对象房地状况!G20</f>
        <v>估价对象所在区域基础设施水平</v>
      </c>
      <c r="C88" s="2043"/>
      <c r="D88" s="1065">
        <f t="shared" si="22"/>
        <v>0</v>
      </c>
      <c r="E88" s="747"/>
      <c r="F88" s="1813"/>
      <c r="G88" s="1063"/>
      <c r="H88" s="1066" t="str">
        <f t="shared" si="23"/>
        <v>——</v>
      </c>
      <c r="I88" s="3362">
        <v>0.12</v>
      </c>
      <c r="J88" s="1064">
        <f t="shared" si="24"/>
        <v>0</v>
      </c>
      <c r="K88" s="1064">
        <f t="shared" si="25"/>
        <v>0</v>
      </c>
      <c r="L88" s="1064">
        <v>0</v>
      </c>
      <c r="M88" s="1064">
        <f t="shared" si="26"/>
        <v>0</v>
      </c>
      <c r="N88" s="1064">
        <f t="shared" si="26"/>
        <v>0</v>
      </c>
    </row>
    <row r="89" spans="1:37" ht="24">
      <c r="A89" s="2129" t="s">
        <v>2050</v>
      </c>
      <c r="B89" s="2135" t="s">
        <v>2064</v>
      </c>
      <c r="C89" s="2043"/>
      <c r="D89" s="1065">
        <f t="shared" si="22"/>
        <v>0</v>
      </c>
      <c r="E89" s="747"/>
      <c r="F89" s="1813"/>
      <c r="G89" s="1063"/>
      <c r="H89" s="1066" t="str">
        <f t="shared" si="23"/>
        <v>——</v>
      </c>
      <c r="I89" s="3362">
        <v>0.06</v>
      </c>
      <c r="J89" s="1064">
        <f t="shared" si="24"/>
        <v>0</v>
      </c>
      <c r="K89" s="1064">
        <f t="shared" si="25"/>
        <v>0</v>
      </c>
      <c r="L89" s="1064">
        <v>0</v>
      </c>
      <c r="M89" s="1064">
        <f t="shared" si="26"/>
        <v>0</v>
      </c>
      <c r="N89" s="1064">
        <f t="shared" si="26"/>
        <v>0</v>
      </c>
    </row>
    <row r="90" spans="1:37" ht="39" thickBot="1">
      <c r="A90" s="2137" t="s">
        <v>2065</v>
      </c>
      <c r="B90" s="2142" t="str">
        <f>估价对象房地状况!G18</f>
        <v>该园区内是否有污染型企业，绿化情况，卫生条件，整体环境状况判断</v>
      </c>
      <c r="C90" s="2043"/>
      <c r="D90" s="1065">
        <f t="shared" si="22"/>
        <v>0</v>
      </c>
      <c r="E90" s="748"/>
      <c r="F90" s="1813"/>
      <c r="G90" s="1063"/>
      <c r="H90" s="1066" t="str">
        <f t="shared" si="23"/>
        <v>——</v>
      </c>
      <c r="I90" s="3363">
        <v>0.05</v>
      </c>
      <c r="J90" s="1064">
        <f t="shared" si="24"/>
        <v>0</v>
      </c>
      <c r="K90" s="1064">
        <f t="shared" si="25"/>
        <v>0</v>
      </c>
      <c r="L90" s="1064">
        <v>0</v>
      </c>
      <c r="M90" s="1064">
        <f t="shared" si="26"/>
        <v>0</v>
      </c>
      <c r="N90" s="1064">
        <f t="shared" si="26"/>
        <v>0</v>
      </c>
    </row>
    <row r="91" spans="1:37" ht="15">
      <c r="A91" s="3372" t="s">
        <v>2600</v>
      </c>
      <c r="B91" s="3373">
        <f>1+E93</f>
        <v>1.0369999999999999</v>
      </c>
      <c r="C91" s="3366"/>
      <c r="D91" s="3367"/>
      <c r="E91" s="1813"/>
      <c r="F91" s="1813"/>
      <c r="G91" s="3368"/>
      <c r="H91" s="3369"/>
      <c r="I91" s="3370"/>
      <c r="J91" s="3371"/>
      <c r="K91" s="3371"/>
      <c r="L91" s="3371"/>
      <c r="M91" s="3371"/>
      <c r="N91" s="3371"/>
    </row>
    <row r="92" spans="1:37" ht="24.75">
      <c r="A92" s="3374" t="s">
        <v>3259</v>
      </c>
      <c r="B92" s="3361"/>
      <c r="C92" s="3361" t="s">
        <v>3268</v>
      </c>
      <c r="D92" s="3361" t="s">
        <v>3269</v>
      </c>
      <c r="E92" s="3343" t="s">
        <v>3270</v>
      </c>
      <c r="F92" s="3376" t="s">
        <v>3271</v>
      </c>
      <c r="G92" s="3361" t="s">
        <v>3272</v>
      </c>
      <c r="H92" s="3383" t="s">
        <v>3275</v>
      </c>
      <c r="I92" s="3361" t="s">
        <v>3276</v>
      </c>
      <c r="J92" s="3384" t="s">
        <v>3277</v>
      </c>
      <c r="K92" s="3384" t="s">
        <v>3278</v>
      </c>
      <c r="L92" s="3384" t="s">
        <v>3279</v>
      </c>
      <c r="M92" s="3384" t="s">
        <v>3280</v>
      </c>
      <c r="N92" s="3384" t="s">
        <v>3281</v>
      </c>
    </row>
    <row r="93" spans="1:37" ht="24">
      <c r="A93" s="3364" t="s">
        <v>3260</v>
      </c>
      <c r="B93" s="1306"/>
      <c r="C93" s="2043" t="s">
        <v>3510</v>
      </c>
      <c r="D93" s="3361">
        <f>SUMIF($J$92:$N$92,C93,J93:N93)</f>
        <v>0</v>
      </c>
      <c r="E93" s="3377">
        <f>ROUND(SUM(D93:D101),4)</f>
        <v>3.6999999999999998E-2</v>
      </c>
      <c r="F93" s="1813">
        <f>IF(E2="公共服务",SUMIF(L1:L12,G2,N1:N12),"——")</f>
        <v>0.1</v>
      </c>
      <c r="G93" s="3368">
        <v>1.2500000000000001E-2</v>
      </c>
      <c r="H93" s="3416">
        <f>IFERROR(ROUNDDOWN($F$93*I93/2,4),"——")</f>
        <v>1.2500000000000001E-2</v>
      </c>
      <c r="I93" s="3362">
        <v>0.25</v>
      </c>
      <c r="J93" s="3340">
        <f t="shared" ref="J93:J101" si="27">K93+$G93</f>
        <v>2.5000000000000001E-2</v>
      </c>
      <c r="K93" s="3340">
        <f t="shared" ref="K93:K101" si="28">$L93+$G93</f>
        <v>1.2500000000000001E-2</v>
      </c>
      <c r="L93" s="3340">
        <v>0</v>
      </c>
      <c r="M93" s="3340">
        <f t="shared" ref="M93:N101" si="29">L93-$G93</f>
        <v>-1.2500000000000001E-2</v>
      </c>
      <c r="N93" s="3340">
        <f t="shared" si="29"/>
        <v>-2.5000000000000001E-2</v>
      </c>
    </row>
    <row r="94" spans="1:37" ht="14.25">
      <c r="A94" s="3374" t="s">
        <v>3261</v>
      </c>
      <c r="B94" s="3365" t="str">
        <f>估价对象房地状况!C18</f>
        <v>较好</v>
      </c>
      <c r="C94" s="2043" t="s">
        <v>3511</v>
      </c>
      <c r="D94" s="3361">
        <f t="shared" ref="D94:D101" si="30">SUMIF($J$60:$N$60,C94,J94:N94)</f>
        <v>1.2999999999999999E-2</v>
      </c>
      <c r="E94" s="3378"/>
      <c r="F94" s="1813"/>
      <c r="G94" s="3368">
        <v>1.2999999999999999E-2</v>
      </c>
      <c r="H94" s="3416">
        <f>IFERROR(ROUNDDOWN($F$93*I94/2,4),"——")</f>
        <v>1.2999999999999999E-2</v>
      </c>
      <c r="I94" s="3362">
        <v>0.26</v>
      </c>
      <c r="J94" s="3340">
        <f t="shared" si="27"/>
        <v>2.5999999999999999E-2</v>
      </c>
      <c r="K94" s="3340">
        <f t="shared" si="28"/>
        <v>1.2999999999999999E-2</v>
      </c>
      <c r="L94" s="3340">
        <v>0</v>
      </c>
      <c r="M94" s="3340">
        <f t="shared" si="29"/>
        <v>-1.2999999999999999E-2</v>
      </c>
      <c r="N94" s="3340">
        <f t="shared" si="29"/>
        <v>-2.5999999999999999E-2</v>
      </c>
    </row>
    <row r="95" spans="1:37" ht="36">
      <c r="A95" s="3364" t="s">
        <v>3257</v>
      </c>
      <c r="B95" s="3365">
        <f>估价对象房地状况!C19</f>
        <v>0</v>
      </c>
      <c r="C95" s="2043" t="s">
        <v>3511</v>
      </c>
      <c r="D95" s="3361">
        <f t="shared" si="30"/>
        <v>5.4999999999999997E-3</v>
      </c>
      <c r="E95" s="3378"/>
      <c r="F95" s="1813"/>
      <c r="G95" s="3368">
        <v>5.4999999999999997E-3</v>
      </c>
      <c r="H95" s="3416">
        <f t="shared" ref="H95:H101" si="31">IFERROR(ROUNDDOWN($F$93*I95/2,4),"——")</f>
        <v>5.4999999999999997E-3</v>
      </c>
      <c r="I95" s="3362">
        <v>0.11</v>
      </c>
      <c r="J95" s="3340">
        <f t="shared" si="27"/>
        <v>1.0999999999999999E-2</v>
      </c>
      <c r="K95" s="3340">
        <f t="shared" si="28"/>
        <v>5.4999999999999997E-3</v>
      </c>
      <c r="L95" s="3340">
        <v>0</v>
      </c>
      <c r="M95" s="3340">
        <f t="shared" si="29"/>
        <v>-5.4999999999999997E-3</v>
      </c>
      <c r="N95" s="3340">
        <f t="shared" si="29"/>
        <v>-1.0999999999999999E-2</v>
      </c>
    </row>
    <row r="96" spans="1:37" ht="36.75">
      <c r="A96" s="3374" t="s">
        <v>3262</v>
      </c>
      <c r="B96" s="3380" t="s">
        <v>3273</v>
      </c>
      <c r="C96" s="2043" t="s">
        <v>3510</v>
      </c>
      <c r="D96" s="3361">
        <f t="shared" si="30"/>
        <v>0</v>
      </c>
      <c r="E96" s="3378"/>
      <c r="F96" s="1813"/>
      <c r="G96" s="3368">
        <v>2.5000000000000001E-3</v>
      </c>
      <c r="H96" s="3416">
        <f t="shared" si="31"/>
        <v>2.5000000000000001E-3</v>
      </c>
      <c r="I96" s="3362">
        <v>0.05</v>
      </c>
      <c r="J96" s="3340">
        <f t="shared" si="27"/>
        <v>5.0000000000000001E-3</v>
      </c>
      <c r="K96" s="3340">
        <f t="shared" si="28"/>
        <v>2.5000000000000001E-3</v>
      </c>
      <c r="L96" s="3340">
        <v>0</v>
      </c>
      <c r="M96" s="3340">
        <f t="shared" si="29"/>
        <v>-2.5000000000000001E-3</v>
      </c>
      <c r="N96" s="3340">
        <f t="shared" si="29"/>
        <v>-5.0000000000000001E-3</v>
      </c>
    </row>
    <row r="97" spans="1:14" ht="24">
      <c r="A97" s="3374" t="s">
        <v>3263</v>
      </c>
      <c r="B97" s="3365">
        <f>估价对象房地状况!C24</f>
        <v>0</v>
      </c>
      <c r="C97" s="2043" t="s">
        <v>3510</v>
      </c>
      <c r="D97" s="3361">
        <f t="shared" si="30"/>
        <v>0</v>
      </c>
      <c r="E97" s="3378"/>
      <c r="F97" s="1813"/>
      <c r="G97" s="3368">
        <v>2.5000000000000001E-3</v>
      </c>
      <c r="H97" s="3416">
        <f t="shared" si="31"/>
        <v>2.5000000000000001E-3</v>
      </c>
      <c r="I97" s="3362">
        <v>0.05</v>
      </c>
      <c r="J97" s="3340">
        <f t="shared" si="27"/>
        <v>5.0000000000000001E-3</v>
      </c>
      <c r="K97" s="3340">
        <f t="shared" si="28"/>
        <v>2.5000000000000001E-3</v>
      </c>
      <c r="L97" s="3340">
        <v>0</v>
      </c>
      <c r="M97" s="3340">
        <f t="shared" si="29"/>
        <v>-2.5000000000000001E-3</v>
      </c>
      <c r="N97" s="3340">
        <f t="shared" si="29"/>
        <v>-5.0000000000000001E-3</v>
      </c>
    </row>
    <row r="98" spans="1:14" ht="24">
      <c r="A98" s="3374" t="s">
        <v>3264</v>
      </c>
      <c r="B98" s="3381" t="s">
        <v>3274</v>
      </c>
      <c r="C98" s="2043" t="s">
        <v>3511</v>
      </c>
      <c r="D98" s="3361">
        <f t="shared" si="30"/>
        <v>3.0000000000000001E-3</v>
      </c>
      <c r="E98" s="3378"/>
      <c r="F98" s="1813"/>
      <c r="G98" s="3368">
        <v>3.0000000000000001E-3</v>
      </c>
      <c r="H98" s="3416">
        <f t="shared" si="31"/>
        <v>3.0000000000000001E-3</v>
      </c>
      <c r="I98" s="3362">
        <v>0.06</v>
      </c>
      <c r="J98" s="3340">
        <f t="shared" si="27"/>
        <v>6.0000000000000001E-3</v>
      </c>
      <c r="K98" s="3340">
        <f t="shared" si="28"/>
        <v>3.0000000000000001E-3</v>
      </c>
      <c r="L98" s="3340">
        <v>0</v>
      </c>
      <c r="M98" s="3340">
        <f t="shared" si="29"/>
        <v>-3.0000000000000001E-3</v>
      </c>
      <c r="N98" s="3340">
        <f t="shared" si="29"/>
        <v>-6.0000000000000001E-3</v>
      </c>
    </row>
    <row r="99" spans="1:14" ht="24">
      <c r="A99" s="3374" t="s">
        <v>3265</v>
      </c>
      <c r="B99" s="3365" t="str">
        <f>估价对象房地状况!C21</f>
        <v>较好</v>
      </c>
      <c r="C99" s="2043" t="s">
        <v>3511</v>
      </c>
      <c r="D99" s="3361">
        <f t="shared" si="30"/>
        <v>3.0000000000000001E-3</v>
      </c>
      <c r="E99" s="3378"/>
      <c r="F99" s="1813"/>
      <c r="G99" s="3368">
        <v>3.0000000000000001E-3</v>
      </c>
      <c r="H99" s="3416">
        <f t="shared" si="31"/>
        <v>3.0000000000000001E-3</v>
      </c>
      <c r="I99" s="3362">
        <v>0.06</v>
      </c>
      <c r="J99" s="3340">
        <f t="shared" si="27"/>
        <v>6.0000000000000001E-3</v>
      </c>
      <c r="K99" s="3340">
        <f t="shared" si="28"/>
        <v>3.0000000000000001E-3</v>
      </c>
      <c r="L99" s="3340">
        <v>0</v>
      </c>
      <c r="M99" s="3340">
        <f t="shared" si="29"/>
        <v>-3.0000000000000001E-3</v>
      </c>
      <c r="N99" s="3340">
        <f t="shared" si="29"/>
        <v>-6.0000000000000001E-3</v>
      </c>
    </row>
    <row r="100" spans="1:14" ht="24">
      <c r="A100" s="3374" t="s">
        <v>3266</v>
      </c>
      <c r="B100" s="3365" t="str">
        <f>估价对象房地状况!C22</f>
        <v>七通</v>
      </c>
      <c r="C100" s="2043" t="s">
        <v>3512</v>
      </c>
      <c r="D100" s="3361">
        <f t="shared" si="30"/>
        <v>8.9999999999999993E-3</v>
      </c>
      <c r="E100" s="3378"/>
      <c r="F100" s="1813"/>
      <c r="G100" s="3368">
        <v>4.4999999999999997E-3</v>
      </c>
      <c r="H100" s="3416">
        <f t="shared" si="31"/>
        <v>4.4999999999999997E-3</v>
      </c>
      <c r="I100" s="3362">
        <v>0.09</v>
      </c>
      <c r="J100" s="3340">
        <f t="shared" si="27"/>
        <v>8.9999999999999993E-3</v>
      </c>
      <c r="K100" s="3340">
        <f t="shared" si="28"/>
        <v>4.4999999999999997E-3</v>
      </c>
      <c r="L100" s="3340">
        <v>0</v>
      </c>
      <c r="M100" s="3340">
        <f t="shared" si="29"/>
        <v>-4.4999999999999997E-3</v>
      </c>
      <c r="N100" s="3340">
        <f t="shared" si="29"/>
        <v>-8.9999999999999993E-3</v>
      </c>
    </row>
    <row r="101" spans="1:14" ht="24.75" thickBot="1">
      <c r="A101" s="3375" t="s">
        <v>3267</v>
      </c>
      <c r="B101" s="3382" t="str">
        <f>估价对象房地状况!C20</f>
        <v>较好</v>
      </c>
      <c r="C101" s="2043" t="s">
        <v>3511</v>
      </c>
      <c r="D101" s="3361">
        <f t="shared" si="30"/>
        <v>3.5000000000000001E-3</v>
      </c>
      <c r="E101" s="3379"/>
      <c r="F101" s="1813"/>
      <c r="G101" s="3368">
        <v>3.5000000000000001E-3</v>
      </c>
      <c r="H101" s="3416">
        <f t="shared" si="31"/>
        <v>3.5000000000000001E-3</v>
      </c>
      <c r="I101" s="3363">
        <v>7.0000000000000007E-2</v>
      </c>
      <c r="J101" s="3340">
        <f t="shared" si="27"/>
        <v>7.0000000000000001E-3</v>
      </c>
      <c r="K101" s="3340">
        <f t="shared" si="28"/>
        <v>3.5000000000000001E-3</v>
      </c>
      <c r="L101" s="3340">
        <v>0</v>
      </c>
      <c r="M101" s="3340">
        <f t="shared" si="29"/>
        <v>-3.5000000000000001E-3</v>
      </c>
      <c r="N101" s="3340">
        <f t="shared" si="29"/>
        <v>-7.0000000000000001E-3</v>
      </c>
    </row>
    <row r="103" spans="1:14">
      <c r="A103" s="3701" t="s">
        <v>3282</v>
      </c>
      <c r="B103" s="3701"/>
      <c r="C103" s="3701"/>
      <c r="D103" s="3701"/>
      <c r="E103" s="3701"/>
      <c r="F103" s="3701"/>
      <c r="G103" s="3701"/>
      <c r="H103" s="3701"/>
      <c r="I103" s="3701"/>
      <c r="J103" s="3701"/>
      <c r="K103" s="3385"/>
      <c r="L103" s="3385"/>
      <c r="M103" s="3385"/>
      <c r="N103" s="3385"/>
    </row>
    <row r="104" spans="1:14">
      <c r="A104" s="3702" t="s">
        <v>3283</v>
      </c>
      <c r="B104" s="3702" t="s">
        <v>3284</v>
      </c>
      <c r="C104" s="3386" t="s">
        <v>3285</v>
      </c>
      <c r="D104" s="3387"/>
      <c r="E104" s="3387"/>
      <c r="F104" s="3387"/>
      <c r="G104" s="3387"/>
      <c r="H104" s="3387"/>
      <c r="I104" s="3387"/>
      <c r="J104" s="3388"/>
      <c r="K104" s="3389"/>
      <c r="L104" s="3389"/>
      <c r="M104" s="3389"/>
      <c r="N104" s="3389"/>
    </row>
    <row r="105" spans="1:14">
      <c r="A105" s="3702"/>
      <c r="B105" s="3702"/>
      <c r="C105" s="3390" t="s">
        <v>3286</v>
      </c>
      <c r="D105" s="3390" t="s">
        <v>3287</v>
      </c>
      <c r="E105" s="3390" t="s">
        <v>3288</v>
      </c>
      <c r="F105" s="3390" t="s">
        <v>3289</v>
      </c>
      <c r="G105" s="3390" t="s">
        <v>3290</v>
      </c>
      <c r="H105" s="3390" t="s">
        <v>3291</v>
      </c>
      <c r="I105" s="3390" t="s">
        <v>3292</v>
      </c>
      <c r="J105" s="3390" t="s">
        <v>3293</v>
      </c>
      <c r="K105" s="3390" t="s">
        <v>3294</v>
      </c>
      <c r="L105" s="3390" t="s">
        <v>3295</v>
      </c>
      <c r="M105" s="3390" t="s">
        <v>3296</v>
      </c>
      <c r="N105" s="3390" t="s">
        <v>3297</v>
      </c>
    </row>
    <row r="106" spans="1:14">
      <c r="A106" s="3688" t="s">
        <v>3298</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689"/>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689"/>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689"/>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689"/>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689"/>
      <c r="B111" s="3390" t="s">
        <v>3256</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690"/>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691" t="s">
        <v>3299</v>
      </c>
      <c r="B113" s="3691"/>
      <c r="C113" s="3691"/>
      <c r="D113" s="3691"/>
      <c r="E113" s="3691"/>
      <c r="F113" s="3691"/>
      <c r="G113" s="3691"/>
      <c r="H113" s="3691"/>
      <c r="I113" s="3691"/>
      <c r="J113" s="3691"/>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3300</v>
      </c>
      <c r="B116" s="3411">
        <f>G3</f>
        <v>1</v>
      </c>
      <c r="C116" s="3395" t="s">
        <v>3301</v>
      </c>
      <c r="D116" s="3396">
        <f>SUMPRODUCT((A118:A122=F116)*(B117:M117=H116)*B118:M122)</f>
        <v>0.88200000000000001</v>
      </c>
      <c r="E116" s="1999" t="s">
        <v>3302</v>
      </c>
      <c r="F116" s="3397" t="str">
        <f>E2</f>
        <v>公共服务</v>
      </c>
      <c r="G116" s="1999" t="s">
        <v>3303</v>
      </c>
      <c r="H116" s="3397" t="str">
        <f>G2</f>
        <v>四级</v>
      </c>
      <c r="I116" s="1999"/>
      <c r="J116" s="3398"/>
      <c r="K116" s="3398"/>
      <c r="L116" s="3398"/>
      <c r="M116" s="3398"/>
      <c r="N116" s="3393"/>
    </row>
    <row r="117" spans="1:14">
      <c r="A117" s="3399"/>
      <c r="B117" s="3400" t="s">
        <v>3304</v>
      </c>
      <c r="C117" s="3400" t="s">
        <v>3305</v>
      </c>
      <c r="D117" s="3400" t="s">
        <v>3306</v>
      </c>
      <c r="E117" s="3401" t="s">
        <v>3307</v>
      </c>
      <c r="F117" s="3401" t="s">
        <v>3308</v>
      </c>
      <c r="G117" s="3401" t="s">
        <v>3309</v>
      </c>
      <c r="H117" s="3402" t="s">
        <v>3310</v>
      </c>
      <c r="I117" s="3402" t="s">
        <v>3311</v>
      </c>
      <c r="J117" s="3403" t="s">
        <v>3312</v>
      </c>
      <c r="K117" s="3403" t="s">
        <v>3313</v>
      </c>
      <c r="L117" s="3403" t="s">
        <v>3314</v>
      </c>
      <c r="M117" s="3404" t="s">
        <v>3315</v>
      </c>
      <c r="N117" s="3393"/>
    </row>
    <row r="118" spans="1:14">
      <c r="A118" s="3405" t="s">
        <v>3316</v>
      </c>
      <c r="B118" s="3383">
        <f>ROUND(0.9968-0.011*B116,4)</f>
        <v>0.98580000000000001</v>
      </c>
      <c r="C118" s="3383">
        <f>B118</f>
        <v>0.98580000000000001</v>
      </c>
      <c r="D118" s="3383">
        <f>ROUND(0.949-0.014*B116,4)</f>
        <v>0.93500000000000005</v>
      </c>
      <c r="E118" s="3383">
        <f>D118</f>
        <v>0.93500000000000005</v>
      </c>
      <c r="F118" s="3383">
        <f>E118</f>
        <v>0.93500000000000005</v>
      </c>
      <c r="G118" s="3383">
        <f>F118</f>
        <v>0.93500000000000005</v>
      </c>
      <c r="H118" s="3383">
        <f>G118</f>
        <v>0.93500000000000005</v>
      </c>
      <c r="I118" s="3383">
        <f>ROUND(0.8486-0.018*B116,4)</f>
        <v>0.8306</v>
      </c>
      <c r="J118" s="3383">
        <f t="shared" ref="J118:M122" si="35">I118</f>
        <v>0.8306</v>
      </c>
      <c r="K118" s="3383">
        <f t="shared" si="35"/>
        <v>0.8306</v>
      </c>
      <c r="L118" s="3383">
        <f t="shared" si="35"/>
        <v>0.8306</v>
      </c>
      <c r="M118" s="3406">
        <f t="shared" si="35"/>
        <v>0.8306</v>
      </c>
      <c r="N118" s="3393"/>
    </row>
    <row r="119" spans="1:14">
      <c r="A119" s="3405" t="s">
        <v>3317</v>
      </c>
      <c r="B119" s="3383">
        <f>ROUND(0.993-0.0112*B116,4)</f>
        <v>0.98180000000000001</v>
      </c>
      <c r="C119" s="3383">
        <f>B119</f>
        <v>0.98180000000000001</v>
      </c>
      <c r="D119" s="3383">
        <f>ROUND(0.9415-0.0142*B116,4)</f>
        <v>0.92730000000000001</v>
      </c>
      <c r="E119" s="3383">
        <f t="shared" ref="E119:H120" si="36">D119</f>
        <v>0.92730000000000001</v>
      </c>
      <c r="F119" s="3383">
        <f t="shared" si="36"/>
        <v>0.92730000000000001</v>
      </c>
      <c r="G119" s="3383">
        <f t="shared" si="36"/>
        <v>0.92730000000000001</v>
      </c>
      <c r="H119" s="3383">
        <f t="shared" si="36"/>
        <v>0.92730000000000001</v>
      </c>
      <c r="I119" s="3383">
        <f>ROUND(0.838-0.0182*B116,4)</f>
        <v>0.81979999999999997</v>
      </c>
      <c r="J119" s="3383">
        <f t="shared" si="35"/>
        <v>0.81979999999999997</v>
      </c>
      <c r="K119" s="3383">
        <f t="shared" si="35"/>
        <v>0.81979999999999997</v>
      </c>
      <c r="L119" s="3383">
        <f t="shared" si="35"/>
        <v>0.81979999999999997</v>
      </c>
      <c r="M119" s="3406">
        <f t="shared" si="35"/>
        <v>0.81979999999999997</v>
      </c>
      <c r="N119" s="3393"/>
    </row>
    <row r="120" spans="1:14">
      <c r="A120" s="3405" t="s">
        <v>3318</v>
      </c>
      <c r="B120" s="3383">
        <f>ROUND(0.9448-0.0115*B116,4)</f>
        <v>0.93330000000000002</v>
      </c>
      <c r="C120" s="3383">
        <f>B120</f>
        <v>0.93330000000000002</v>
      </c>
      <c r="D120" s="3383">
        <f>ROUND(0.937-0.0145*B116,4)</f>
        <v>0.92249999999999999</v>
      </c>
      <c r="E120" s="3383">
        <f t="shared" si="36"/>
        <v>0.92249999999999999</v>
      </c>
      <c r="F120" s="3383">
        <f t="shared" si="36"/>
        <v>0.92249999999999999</v>
      </c>
      <c r="G120" s="3383">
        <f t="shared" si="36"/>
        <v>0.92249999999999999</v>
      </c>
      <c r="H120" s="3383">
        <f t="shared" si="36"/>
        <v>0.92249999999999999</v>
      </c>
      <c r="I120" s="3383">
        <f>ROUND(0.7965-0.0185*B116,4)</f>
        <v>0.77800000000000002</v>
      </c>
      <c r="J120" s="3383">
        <f t="shared" si="35"/>
        <v>0.77800000000000002</v>
      </c>
      <c r="K120" s="3383">
        <f t="shared" si="35"/>
        <v>0.77800000000000002</v>
      </c>
      <c r="L120" s="3383">
        <f t="shared" si="35"/>
        <v>0.77800000000000002</v>
      </c>
      <c r="M120" s="3406">
        <f t="shared" si="35"/>
        <v>0.77800000000000002</v>
      </c>
      <c r="N120" s="3393"/>
    </row>
    <row r="121" spans="1:14" ht="13.5" thickBot="1">
      <c r="A121" s="3407" t="s">
        <v>3319</v>
      </c>
      <c r="B121" s="3408">
        <f>ROUND(0.7836-0.012*B116,4)</f>
        <v>0.77159999999999995</v>
      </c>
      <c r="C121" s="3408">
        <f>B121</f>
        <v>0.77159999999999995</v>
      </c>
      <c r="D121" s="3408">
        <f>ROUND(0.753-0.015*B116,4)</f>
        <v>0.73799999999999999</v>
      </c>
      <c r="E121" s="3408">
        <f>D121</f>
        <v>0.73799999999999999</v>
      </c>
      <c r="F121" s="3408">
        <f>E121</f>
        <v>0.73799999999999999</v>
      </c>
      <c r="G121" s="3408">
        <f>ROUND(0.6612-0.018*B116,4)</f>
        <v>0.64319999999999999</v>
      </c>
      <c r="H121" s="3408">
        <f>G121</f>
        <v>0.64319999999999999</v>
      </c>
      <c r="I121" s="3408">
        <f>ROUND(0.5905-0.019*B116,4)</f>
        <v>0.57150000000000001</v>
      </c>
      <c r="J121" s="3408">
        <f t="shared" si="35"/>
        <v>0.57150000000000001</v>
      </c>
      <c r="K121" s="3408">
        <f t="shared" si="35"/>
        <v>0.57150000000000001</v>
      </c>
      <c r="L121" s="3408">
        <f t="shared" si="35"/>
        <v>0.57150000000000001</v>
      </c>
      <c r="M121" s="3409">
        <f t="shared" si="35"/>
        <v>0.57150000000000001</v>
      </c>
      <c r="N121" s="3393"/>
    </row>
    <row r="122" spans="1:14">
      <c r="A122" s="3410" t="s">
        <v>2600</v>
      </c>
      <c r="B122" s="3383">
        <f>ROUND(0.9404-0.0106*B116,4)</f>
        <v>0.92979999999999996</v>
      </c>
      <c r="C122" s="3383">
        <f>B122</f>
        <v>0.92979999999999996</v>
      </c>
      <c r="D122" s="3383">
        <f>ROUND(0.8955-0.0135*B116,4)</f>
        <v>0.88200000000000001</v>
      </c>
      <c r="E122" s="3383">
        <f t="shared" ref="E122:H122" si="37">D122</f>
        <v>0.88200000000000001</v>
      </c>
      <c r="F122" s="3383">
        <f t="shared" si="37"/>
        <v>0.88200000000000001</v>
      </c>
      <c r="G122" s="3383">
        <f t="shared" si="37"/>
        <v>0.88200000000000001</v>
      </c>
      <c r="H122" s="3383">
        <f t="shared" si="37"/>
        <v>0.88200000000000001</v>
      </c>
      <c r="I122" s="3383">
        <f>ROUND(0.7632-0.0166*B116,4)</f>
        <v>0.74660000000000004</v>
      </c>
      <c r="J122" s="3383">
        <f t="shared" si="35"/>
        <v>0.74660000000000004</v>
      </c>
      <c r="K122" s="3383">
        <f t="shared" si="35"/>
        <v>0.74660000000000004</v>
      </c>
      <c r="L122" s="3383">
        <f t="shared" si="35"/>
        <v>0.74660000000000004</v>
      </c>
      <c r="M122" s="3406">
        <f t="shared" si="35"/>
        <v>0.74660000000000004</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44"/>
  <sheetViews>
    <sheetView zoomScale="90" zoomScaleNormal="90" workbookViewId="0">
      <selection activeCell="G37" sqref="G37"/>
    </sheetView>
  </sheetViews>
  <sheetFormatPr defaultRowHeight="13.15" customHeight="1"/>
  <cols>
    <col min="1" max="1" width="9.5" style="2839" customWidth="1"/>
    <col min="2" max="2" width="8.875" style="2839"/>
    <col min="3" max="5" width="12.875" style="2839" customWidth="1"/>
    <col min="6" max="6" width="47.5" style="2839" customWidth="1"/>
    <col min="7" max="7" width="13" style="2996" customWidth="1"/>
    <col min="8" max="8" width="8.875" style="2833"/>
    <col min="9" max="9" width="8.875" style="2834"/>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2423</v>
      </c>
      <c r="B1" s="2829"/>
      <c r="C1" s="2841"/>
      <c r="D1" s="2841"/>
      <c r="E1" s="2830"/>
      <c r="F1" s="2831"/>
      <c r="G1" s="2832"/>
      <c r="J1" s="2835" t="s">
        <v>2304</v>
      </c>
      <c r="K1" s="2836"/>
      <c r="L1" s="2836"/>
      <c r="M1" s="2836"/>
      <c r="N1" s="2836"/>
      <c r="O1" s="2836"/>
      <c r="P1" s="2836"/>
      <c r="Q1" s="2836"/>
      <c r="R1" s="2837"/>
      <c r="S1" s="2838"/>
      <c r="T1" s="2838"/>
      <c r="U1" s="2838"/>
    </row>
    <row r="2" spans="1:22" s="2850" customFormat="1" ht="13.15" customHeight="1">
      <c r="A2" s="1385" t="s">
        <v>2305</v>
      </c>
      <c r="B2" s="2840">
        <f ca="1">IF(D2="——",C40,C40+E2)</f>
        <v>104905</v>
      </c>
      <c r="C2" s="2841" t="s">
        <v>2306</v>
      </c>
      <c r="D2" s="3438" t="s">
        <v>43</v>
      </c>
      <c r="E2" s="3439"/>
      <c r="F2" s="2843"/>
      <c r="G2" s="2844"/>
      <c r="H2" s="2845"/>
      <c r="I2" s="2846"/>
      <c r="J2" s="3707" t="s">
        <v>2307</v>
      </c>
      <c r="K2" s="3708"/>
      <c r="L2" s="2847" t="s">
        <v>2308</v>
      </c>
      <c r="M2" s="2847" t="s">
        <v>2309</v>
      </c>
      <c r="N2" s="2847" t="s">
        <v>2310</v>
      </c>
      <c r="O2" s="2847" t="s">
        <v>2311</v>
      </c>
      <c r="P2" s="2847" t="s">
        <v>2312</v>
      </c>
      <c r="Q2" s="2848" t="s">
        <v>2313</v>
      </c>
      <c r="R2" s="2849" t="s">
        <v>2314</v>
      </c>
      <c r="S2" s="2838"/>
      <c r="T2" s="2838"/>
      <c r="U2" s="2838"/>
      <c r="V2" s="2846"/>
    </row>
    <row r="3" spans="1:22" s="2850" customFormat="1" ht="13.15" customHeight="1">
      <c r="A3" s="2851" t="s">
        <v>2315</v>
      </c>
      <c r="B3" s="2852">
        <f ca="1">ROUND(B2*10000/B4,0)</f>
        <v>16635</v>
      </c>
      <c r="C3" s="2841" t="s">
        <v>2316</v>
      </c>
      <c r="D3" s="2841"/>
      <c r="E3" s="2842"/>
      <c r="F3" s="2843"/>
      <c r="G3" s="2844"/>
      <c r="H3" s="2845"/>
      <c r="I3" s="2846"/>
      <c r="J3" s="3709" t="s">
        <v>2317</v>
      </c>
      <c r="K3" s="3710"/>
      <c r="L3" s="2853"/>
      <c r="M3" s="2853"/>
      <c r="N3" s="2853"/>
      <c r="O3" s="2853"/>
      <c r="P3" s="2853"/>
      <c r="Q3" s="2854"/>
      <c r="R3" s="2855">
        <f>SUM(L3:Q3)</f>
        <v>0</v>
      </c>
      <c r="S3" s="2838"/>
      <c r="T3" s="2838"/>
      <c r="U3" s="2838"/>
      <c r="V3" s="2846"/>
    </row>
    <row r="4" spans="1:22" s="2850" customFormat="1" ht="13.15" customHeight="1">
      <c r="A4" s="2856" t="s">
        <v>2318</v>
      </c>
      <c r="B4" s="2857">
        <f>'数据-汇总表'!E3</f>
        <v>63063.880000000005</v>
      </c>
      <c r="C4" s="2841"/>
      <c r="D4" s="2841"/>
      <c r="E4" s="2842"/>
      <c r="F4" s="2843"/>
      <c r="G4" s="2844"/>
      <c r="H4" s="2845"/>
      <c r="I4" s="2846"/>
      <c r="J4" s="3709" t="s">
        <v>2319</v>
      </c>
      <c r="K4" s="3710"/>
      <c r="L4" s="2858"/>
      <c r="M4" s="2858"/>
      <c r="N4" s="2858"/>
      <c r="O4" s="2858"/>
      <c r="P4" s="2858"/>
      <c r="Q4" s="2859"/>
      <c r="R4" s="2860">
        <f>SUM(L4:Q4)</f>
        <v>0</v>
      </c>
      <c r="S4" s="2838"/>
      <c r="T4" s="2838"/>
      <c r="U4" s="2838"/>
      <c r="V4" s="2846"/>
    </row>
    <row r="5" spans="1:22" s="2850" customFormat="1" ht="13.15" customHeight="1" thickBot="1">
      <c r="A5" s="2861" t="s">
        <v>2320</v>
      </c>
      <c r="B5" s="2862"/>
      <c r="C5" s="2841"/>
      <c r="D5" s="2863"/>
      <c r="E5" s="2843"/>
      <c r="F5" s="2843"/>
      <c r="G5" s="2844"/>
      <c r="H5" s="2845"/>
      <c r="I5" s="2846"/>
      <c r="J5" s="2864" t="s">
        <v>2321</v>
      </c>
      <c r="K5" s="2865"/>
      <c r="L5" s="2865"/>
      <c r="M5" s="2866"/>
      <c r="N5" s="2866"/>
      <c r="O5" s="2866"/>
      <c r="P5" s="2866"/>
      <c r="Q5" s="2866"/>
      <c r="R5" s="2849">
        <f>SUM(R14,R19,R24,R25,R27,R28)</f>
        <v>0</v>
      </c>
      <c r="S5" s="2838"/>
      <c r="T5" s="2838" t="s">
        <v>2322</v>
      </c>
      <c r="U5" s="2838" t="e">
        <f>ROUND(R5*10000/365/R3,1)</f>
        <v>#DIV/0!</v>
      </c>
      <c r="V5" s="2846"/>
    </row>
    <row r="6" spans="1:22" s="2850" customFormat="1" ht="13.15" customHeight="1" thickBot="1">
      <c r="A6" s="3711" t="s">
        <v>2323</v>
      </c>
      <c r="B6" s="3712"/>
      <c r="C6" s="3713"/>
      <c r="D6" s="3484">
        <f>'凯迪拉克 (万元)'!CB5</f>
        <v>9964.161462</v>
      </c>
      <c r="E6" s="2867"/>
      <c r="F6" s="2868"/>
      <c r="G6" s="2869"/>
      <c r="H6" s="2845"/>
      <c r="I6" s="2846"/>
      <c r="J6" s="3714">
        <v>1</v>
      </c>
      <c r="K6" s="3715" t="s">
        <v>2324</v>
      </c>
      <c r="L6" s="2870" t="s">
        <v>2325</v>
      </c>
      <c r="M6" s="2871" t="s">
        <v>2326</v>
      </c>
      <c r="N6" s="2871" t="s">
        <v>2327</v>
      </c>
      <c r="O6" s="2871" t="s">
        <v>2328</v>
      </c>
      <c r="P6" s="2871" t="s">
        <v>2329</v>
      </c>
      <c r="Q6" s="2871" t="s">
        <v>2330</v>
      </c>
      <c r="R6" s="2855" t="s">
        <v>2331</v>
      </c>
      <c r="S6" s="2838"/>
      <c r="T6" s="2838" t="s">
        <v>2332</v>
      </c>
      <c r="U6" s="2838"/>
      <c r="V6" s="2846"/>
    </row>
    <row r="7" spans="1:22" s="2850" customFormat="1" ht="13.15" customHeight="1">
      <c r="A7" s="2872" t="s">
        <v>2333</v>
      </c>
      <c r="B7" s="2873"/>
      <c r="C7" s="2874"/>
      <c r="D7" s="2875">
        <f ca="1">SUM(D9,D10,D11,D17,0)</f>
        <v>4195</v>
      </c>
      <c r="E7" s="2876">
        <f ca="1">E9+E10+E11+E17</f>
        <v>0.42103376732696302</v>
      </c>
      <c r="F7" s="2877"/>
      <c r="G7" s="2878"/>
      <c r="H7" s="2845"/>
      <c r="I7" s="2846"/>
      <c r="J7" s="3714"/>
      <c r="K7" s="3716"/>
      <c r="L7" s="2879" t="s">
        <v>2334</v>
      </c>
      <c r="M7" s="2880"/>
      <c r="N7" s="2857"/>
      <c r="O7" s="2881"/>
      <c r="P7" s="2881"/>
      <c r="Q7" s="2882">
        <v>365</v>
      </c>
      <c r="R7" s="2883">
        <f>ROUND(M7*N7*O7*P7*Q7/10000,0)</f>
        <v>0</v>
      </c>
      <c r="S7" s="2838"/>
      <c r="T7" s="2838" t="s">
        <v>2335</v>
      </c>
      <c r="U7" s="2838"/>
      <c r="V7" s="2846"/>
    </row>
    <row r="8" spans="1:22" s="2850" customFormat="1" ht="13.15" customHeight="1">
      <c r="A8" s="2884" t="s">
        <v>2336</v>
      </c>
      <c r="B8" s="3718" t="s">
        <v>2337</v>
      </c>
      <c r="C8" s="3719"/>
      <c r="D8" s="2885" t="s">
        <v>2338</v>
      </c>
      <c r="E8" s="2886" t="s">
        <v>2339</v>
      </c>
      <c r="F8" s="2887" t="s">
        <v>2340</v>
      </c>
      <c r="G8" s="2888"/>
      <c r="H8" s="2845"/>
      <c r="I8" s="2846"/>
      <c r="J8" s="3714"/>
      <c r="K8" s="3716"/>
      <c r="L8" s="2879" t="s">
        <v>2341</v>
      </c>
      <c r="M8" s="2880"/>
      <c r="N8" s="2857"/>
      <c r="O8" s="2881"/>
      <c r="P8" s="2881"/>
      <c r="Q8" s="2882">
        <v>365</v>
      </c>
      <c r="R8" s="2883">
        <f t="shared" ref="R8:R13" si="0">ROUND(M8*N8*O8*P8*Q8/10000,0)</f>
        <v>0</v>
      </c>
      <c r="S8" s="2838"/>
      <c r="T8" s="2838" t="s">
        <v>2342</v>
      </c>
      <c r="U8" s="2838"/>
      <c r="V8" s="2846"/>
    </row>
    <row r="9" spans="1:22" s="2850" customFormat="1" ht="13.15" customHeight="1">
      <c r="A9" s="2884">
        <v>1</v>
      </c>
      <c r="B9" s="3718" t="s">
        <v>2343</v>
      </c>
      <c r="C9" s="3719"/>
      <c r="D9" s="2885">
        <f>ROUND(D6*E9,0)</f>
        <v>1495</v>
      </c>
      <c r="E9" s="2889">
        <v>0.15</v>
      </c>
      <c r="F9" s="2890" t="s">
        <v>2344</v>
      </c>
      <c r="G9" s="2869"/>
      <c r="H9" s="2845"/>
      <c r="I9" s="2846"/>
      <c r="J9" s="3714"/>
      <c r="K9" s="3716"/>
      <c r="L9" s="2879" t="s">
        <v>2345</v>
      </c>
      <c r="M9" s="2880"/>
      <c r="N9" s="2857"/>
      <c r="O9" s="2881"/>
      <c r="P9" s="2881"/>
      <c r="Q9" s="2882">
        <v>365</v>
      </c>
      <c r="R9" s="2883">
        <f t="shared" si="0"/>
        <v>0</v>
      </c>
      <c r="S9" s="2838"/>
      <c r="T9" s="2838"/>
      <c r="U9" s="2838"/>
      <c r="V9" s="2846"/>
    </row>
    <row r="10" spans="1:22" s="2850" customFormat="1" ht="13.15" customHeight="1">
      <c r="A10" s="2884">
        <v>2</v>
      </c>
      <c r="B10" s="3718" t="s">
        <v>2346</v>
      </c>
      <c r="C10" s="3719"/>
      <c r="D10" s="2885">
        <f>ROUND(D6*E10,0)</f>
        <v>996</v>
      </c>
      <c r="E10" s="2889">
        <v>0.1</v>
      </c>
      <c r="F10" s="2890" t="s">
        <v>2347</v>
      </c>
      <c r="G10" s="2869"/>
      <c r="H10" s="2845"/>
      <c r="I10" s="2846"/>
      <c r="J10" s="3714"/>
      <c r="K10" s="3716"/>
      <c r="L10" s="2879" t="s">
        <v>2348</v>
      </c>
      <c r="M10" s="2880"/>
      <c r="N10" s="2857"/>
      <c r="O10" s="2881"/>
      <c r="P10" s="2881"/>
      <c r="Q10" s="2882">
        <v>365</v>
      </c>
      <c r="R10" s="2883">
        <f t="shared" si="0"/>
        <v>0</v>
      </c>
      <c r="S10" s="2838"/>
      <c r="T10" s="2838"/>
      <c r="U10" s="2838"/>
      <c r="V10" s="2846"/>
    </row>
    <row r="11" spans="1:22" s="2850" customFormat="1" ht="13.15" customHeight="1">
      <c r="A11" s="2884">
        <v>3</v>
      </c>
      <c r="B11" s="3718" t="s">
        <v>2349</v>
      </c>
      <c r="C11" s="3719"/>
      <c r="D11" s="2885">
        <f ca="1">D12+D14+D15+D16</f>
        <v>1206</v>
      </c>
      <c r="E11" s="2891">
        <f ca="1">D11/D6</f>
        <v>0.12103376732696305</v>
      </c>
      <c r="F11" s="2887"/>
      <c r="G11" s="2888"/>
      <c r="H11" s="2845"/>
      <c r="I11" s="2846"/>
      <c r="J11" s="3714"/>
      <c r="K11" s="3716"/>
      <c r="L11" s="2879" t="s">
        <v>2350</v>
      </c>
      <c r="M11" s="2880"/>
      <c r="N11" s="2857"/>
      <c r="O11" s="2881"/>
      <c r="P11" s="2881"/>
      <c r="Q11" s="2882">
        <v>365</v>
      </c>
      <c r="R11" s="2883">
        <f t="shared" si="0"/>
        <v>0</v>
      </c>
      <c r="S11" s="2838"/>
      <c r="T11" s="2838"/>
      <c r="U11" s="2838"/>
      <c r="V11" s="2846"/>
    </row>
    <row r="12" spans="1:22" s="2850" customFormat="1" ht="13.15" customHeight="1">
      <c r="A12" s="2892" t="s">
        <v>2351</v>
      </c>
      <c r="B12" s="3720" t="s">
        <v>2352</v>
      </c>
      <c r="C12" s="3721"/>
      <c r="D12" s="2893">
        <f ca="1">ROUND(D13*1.2%*(1-30%),0)</f>
        <v>658</v>
      </c>
      <c r="E12" s="2894">
        <v>1.2E-2</v>
      </c>
      <c r="F12" s="2887" t="s">
        <v>2353</v>
      </c>
      <c r="G12" s="2888"/>
      <c r="H12" s="2845"/>
      <c r="I12" s="2846"/>
      <c r="J12" s="3714"/>
      <c r="K12" s="3716"/>
      <c r="L12" s="2879" t="s">
        <v>2354</v>
      </c>
      <c r="M12" s="2880"/>
      <c r="N12" s="2857"/>
      <c r="O12" s="2881"/>
      <c r="P12" s="2881"/>
      <c r="Q12" s="2882">
        <v>365</v>
      </c>
      <c r="R12" s="2883">
        <f t="shared" si="0"/>
        <v>0</v>
      </c>
      <c r="S12" s="2838"/>
      <c r="T12" s="2838"/>
      <c r="U12" s="2838"/>
      <c r="V12" s="2846"/>
    </row>
    <row r="13" spans="1:22" s="2850" customFormat="1" ht="13.15" customHeight="1">
      <c r="A13" s="2892"/>
      <c r="B13" s="2895"/>
      <c r="C13" s="2896" t="s">
        <v>2355</v>
      </c>
      <c r="D13" s="2897">
        <f ca="1">成本法!C49</f>
        <v>78374</v>
      </c>
      <c r="E13" s="2898"/>
      <c r="F13" s="2887"/>
      <c r="G13" s="2888"/>
      <c r="H13" s="2845"/>
      <c r="I13" s="2846"/>
      <c r="J13" s="3714"/>
      <c r="K13" s="3716"/>
      <c r="L13" s="2879" t="s">
        <v>2356</v>
      </c>
      <c r="M13" s="2880"/>
      <c r="N13" s="2857"/>
      <c r="O13" s="2881"/>
      <c r="P13" s="2881"/>
      <c r="Q13" s="2882">
        <v>365</v>
      </c>
      <c r="R13" s="2883">
        <f t="shared" si="0"/>
        <v>0</v>
      </c>
      <c r="S13" s="2838"/>
      <c r="T13" s="2838"/>
      <c r="U13" s="2838"/>
      <c r="V13" s="2846"/>
    </row>
    <row r="14" spans="1:22" s="2850" customFormat="1" ht="13.15" customHeight="1">
      <c r="A14" s="2892" t="s">
        <v>2357</v>
      </c>
      <c r="B14" s="3720" t="s">
        <v>2358</v>
      </c>
      <c r="C14" s="3721"/>
      <c r="D14" s="2893">
        <f>ROUND(E14*B5/10000,0)</f>
        <v>0</v>
      </c>
      <c r="E14" s="2882"/>
      <c r="F14" s="2887" t="s">
        <v>2359</v>
      </c>
      <c r="G14" s="2888"/>
      <c r="H14" s="2845"/>
      <c r="I14" s="2846"/>
      <c r="J14" s="3714"/>
      <c r="K14" s="3717"/>
      <c r="L14" s="2899" t="s">
        <v>2360</v>
      </c>
      <c r="M14" s="2900">
        <f>SUM(M7:M13)</f>
        <v>0</v>
      </c>
      <c r="N14" s="2900" t="e">
        <f>ROUND((N7*M7+N8*M8+N9*M9+N10*M10+N11*M11+N12*M12+N13*M13)/M14,0)</f>
        <v>#DIV/0!</v>
      </c>
      <c r="O14" s="2901"/>
      <c r="P14" s="2901"/>
      <c r="Q14" s="2902"/>
      <c r="R14" s="2849">
        <f>SUM(R7:R13)</f>
        <v>0</v>
      </c>
      <c r="S14" s="2838"/>
      <c r="T14" s="2838"/>
      <c r="U14" s="2838"/>
      <c r="V14" s="2846"/>
    </row>
    <row r="15" spans="1:22" s="2850" customFormat="1" ht="13.15" customHeight="1">
      <c r="A15" s="2892" t="s">
        <v>2361</v>
      </c>
      <c r="B15" s="3720" t="s">
        <v>2362</v>
      </c>
      <c r="C15" s="3721"/>
      <c r="D15" s="2893">
        <f>ROUND(D6*E15,0)</f>
        <v>548</v>
      </c>
      <c r="E15" s="2894">
        <v>5.5E-2</v>
      </c>
      <c r="F15" s="2887" t="s">
        <v>2363</v>
      </c>
      <c r="G15" s="2869"/>
      <c r="H15" s="2845"/>
      <c r="I15" s="2846"/>
      <c r="J15" s="3714">
        <v>2</v>
      </c>
      <c r="K15" s="3715" t="s">
        <v>2364</v>
      </c>
      <c r="L15" s="2879" t="s">
        <v>2365</v>
      </c>
      <c r="M15" s="2880" t="s">
        <v>2366</v>
      </c>
      <c r="N15" s="2880" t="s">
        <v>2367</v>
      </c>
      <c r="O15" s="2881" t="s">
        <v>2368</v>
      </c>
      <c r="P15" s="2881" t="s">
        <v>2330</v>
      </c>
      <c r="Q15" s="2857" t="s">
        <v>2369</v>
      </c>
      <c r="R15" s="2903" t="s">
        <v>2331</v>
      </c>
      <c r="S15" s="2838"/>
      <c r="T15" s="2838"/>
      <c r="U15" s="2838"/>
      <c r="V15" s="2846"/>
    </row>
    <row r="16" spans="1:22" s="2850" customFormat="1" ht="13.15" customHeight="1">
      <c r="A16" s="2892" t="s">
        <v>2370</v>
      </c>
      <c r="B16" s="3720" t="s">
        <v>2371</v>
      </c>
      <c r="C16" s="3721"/>
      <c r="D16" s="2904">
        <f>D6*E16</f>
        <v>0</v>
      </c>
      <c r="E16" s="2905">
        <v>0</v>
      </c>
      <c r="F16" s="2890" t="s">
        <v>2372</v>
      </c>
      <c r="G16" s="2869"/>
      <c r="H16" s="2845"/>
      <c r="I16" s="2846"/>
      <c r="J16" s="3714"/>
      <c r="K16" s="3716"/>
      <c r="L16" s="2879" t="s">
        <v>2373</v>
      </c>
      <c r="M16" s="2880"/>
      <c r="N16" s="2880"/>
      <c r="O16" s="2881"/>
      <c r="P16" s="2882">
        <v>365</v>
      </c>
      <c r="Q16" s="2857"/>
      <c r="R16" s="2903">
        <f>ROUND(M16*N16*O16*P16/10000,0)</f>
        <v>0</v>
      </c>
      <c r="S16" s="2838"/>
      <c r="T16" s="2838"/>
      <c r="U16" s="2838"/>
      <c r="V16" s="2846"/>
    </row>
    <row r="17" spans="1:22" s="2850" customFormat="1" ht="13.15" customHeight="1" thickBot="1">
      <c r="A17" s="2906">
        <v>4</v>
      </c>
      <c r="B17" s="3722" t="s">
        <v>2374</v>
      </c>
      <c r="C17" s="3723"/>
      <c r="D17" s="2907">
        <f>ROUND(D6*E17,0)</f>
        <v>498</v>
      </c>
      <c r="E17" s="2908">
        <v>0.05</v>
      </c>
      <c r="F17" s="2909" t="s">
        <v>2375</v>
      </c>
      <c r="G17" s="2869"/>
      <c r="H17" s="2845"/>
      <c r="I17" s="2846"/>
      <c r="J17" s="3714"/>
      <c r="K17" s="3716"/>
      <c r="L17" s="2879" t="s">
        <v>2376</v>
      </c>
      <c r="M17" s="2880"/>
      <c r="N17" s="2880"/>
      <c r="O17" s="2881"/>
      <c r="P17" s="2882">
        <v>365</v>
      </c>
      <c r="Q17" s="2857"/>
      <c r="R17" s="2903">
        <f>ROUND(M17*N17*O17*P17/10000,0)</f>
        <v>0</v>
      </c>
      <c r="S17" s="2838"/>
      <c r="T17" s="2838"/>
      <c r="U17" s="2838"/>
      <c r="V17" s="2846"/>
    </row>
    <row r="18" spans="1:22" s="2850" customFormat="1" ht="13.15" customHeight="1" thickBot="1">
      <c r="A18" s="2872" t="s">
        <v>2377</v>
      </c>
      <c r="B18" s="2873"/>
      <c r="C18" s="2873"/>
      <c r="D18" s="2910">
        <f>ROUND(D6*E18,0)</f>
        <v>498</v>
      </c>
      <c r="E18" s="2911">
        <v>0.05</v>
      </c>
      <c r="F18" s="2912" t="s">
        <v>2378</v>
      </c>
      <c r="G18" s="2869"/>
      <c r="H18" s="2845"/>
      <c r="I18" s="2846"/>
      <c r="J18" s="3714"/>
      <c r="K18" s="3716"/>
      <c r="L18" s="2879" t="s">
        <v>2379</v>
      </c>
      <c r="M18" s="2880"/>
      <c r="N18" s="2880"/>
      <c r="O18" s="2881"/>
      <c r="P18" s="2882">
        <v>365</v>
      </c>
      <c r="Q18" s="2857"/>
      <c r="R18" s="2903">
        <f>ROUND(M18*N18*O18*P18/10000,0)</f>
        <v>0</v>
      </c>
      <c r="S18" s="2838"/>
      <c r="T18" s="2838"/>
      <c r="U18" s="2838"/>
      <c r="V18" s="2846"/>
    </row>
    <row r="19" spans="1:22" s="2850" customFormat="1" ht="13.15" customHeight="1" thickBot="1">
      <c r="A19" s="2913" t="s">
        <v>2380</v>
      </c>
      <c r="B19" s="2867"/>
      <c r="C19" s="2867"/>
      <c r="D19" s="2867"/>
      <c r="E19" s="2867"/>
      <c r="F19" s="2868"/>
      <c r="G19" s="2888"/>
      <c r="H19" s="2845"/>
      <c r="I19" s="2846"/>
      <c r="J19" s="3714"/>
      <c r="K19" s="3717"/>
      <c r="L19" s="2899" t="s">
        <v>2360</v>
      </c>
      <c r="M19" s="2900"/>
      <c r="N19" s="2900">
        <f>SUM(N16:N18)</f>
        <v>0</v>
      </c>
      <c r="O19" s="2901"/>
      <c r="P19" s="2914" t="s">
        <v>2422</v>
      </c>
      <c r="Q19" s="2881">
        <v>0</v>
      </c>
      <c r="R19" s="2915">
        <f>ROUND(IF(P19="按比例",R14*Q19,SUM(R16:R18)),0)</f>
        <v>0</v>
      </c>
      <c r="S19" s="2838"/>
      <c r="T19" s="2838"/>
      <c r="U19" s="2838"/>
      <c r="V19" s="2846"/>
    </row>
    <row r="20" spans="1:22" s="2850" customFormat="1" ht="13.15" customHeight="1">
      <c r="A20" s="2872"/>
      <c r="B20" s="2873"/>
      <c r="C20" s="2873"/>
      <c r="D20" s="2873"/>
      <c r="E20" s="2873"/>
      <c r="F20" s="2916"/>
      <c r="G20" s="2888"/>
      <c r="H20" s="2845"/>
      <c r="I20" s="2846"/>
      <c r="J20" s="3714">
        <v>3</v>
      </c>
      <c r="K20" s="3715" t="s">
        <v>2381</v>
      </c>
      <c r="L20" s="2879" t="s">
        <v>2382</v>
      </c>
      <c r="M20" s="2880" t="s">
        <v>2383</v>
      </c>
      <c r="N20" s="2917" t="s">
        <v>2384</v>
      </c>
      <c r="O20" s="2881" t="s">
        <v>2385</v>
      </c>
      <c r="P20" s="2882" t="s">
        <v>2386</v>
      </c>
      <c r="Q20" s="2857" t="s">
        <v>2387</v>
      </c>
      <c r="R20" s="2903" t="s">
        <v>2388</v>
      </c>
      <c r="S20" s="2918"/>
      <c r="T20" s="2918"/>
      <c r="U20" s="2918"/>
      <c r="V20" s="2846"/>
    </row>
    <row r="21" spans="1:22" s="2850" customFormat="1" ht="13.15" customHeight="1">
      <c r="A21" s="2872"/>
      <c r="B21" s="2873"/>
      <c r="C21" s="2919" t="s">
        <v>2389</v>
      </c>
      <c r="D21" s="2920" t="s">
        <v>2390</v>
      </c>
      <c r="E21" s="2921" t="s">
        <v>2391</v>
      </c>
      <c r="F21" s="2916"/>
      <c r="G21" s="2888"/>
      <c r="H21" s="2845"/>
      <c r="I21" s="2846"/>
      <c r="J21" s="3714"/>
      <c r="K21" s="3716"/>
      <c r="L21" s="2879" t="s">
        <v>2392</v>
      </c>
      <c r="M21" s="2880"/>
      <c r="N21" s="2880"/>
      <c r="O21" s="2881"/>
      <c r="P21" s="2882">
        <v>365</v>
      </c>
      <c r="Q21" s="2857"/>
      <c r="R21" s="2922">
        <f>ROUND(M21*N21*O21*P21/10000,0)</f>
        <v>0</v>
      </c>
      <c r="S21" s="2918"/>
      <c r="T21" s="2918"/>
      <c r="U21" s="2918"/>
      <c r="V21" s="2846"/>
    </row>
    <row r="22" spans="1:22" s="2850" customFormat="1" ht="13.15" customHeight="1">
      <c r="A22" s="2872"/>
      <c r="B22" s="2873"/>
      <c r="C22" s="2924" t="s">
        <v>2393</v>
      </c>
      <c r="D22" s="2923"/>
      <c r="E22" s="2924"/>
      <c r="F22" s="2916"/>
      <c r="G22" s="2925"/>
      <c r="H22" s="2845"/>
      <c r="I22" s="2846"/>
      <c r="J22" s="3714"/>
      <c r="K22" s="3716"/>
      <c r="L22" s="2879" t="s">
        <v>2394</v>
      </c>
      <c r="M22" s="2880"/>
      <c r="N22" s="2880"/>
      <c r="O22" s="2881"/>
      <c r="P22" s="2882">
        <v>365</v>
      </c>
      <c r="Q22" s="2857"/>
      <c r="R22" s="2922">
        <f>ROUND(M22*N22*O22*P22/10000,0)</f>
        <v>0</v>
      </c>
      <c r="S22" s="2918"/>
      <c r="T22" s="2918"/>
      <c r="U22" s="2918"/>
      <c r="V22" s="2846"/>
    </row>
    <row r="23" spans="1:22" s="2850" customFormat="1" ht="13.15" customHeight="1">
      <c r="A23" s="2926">
        <v>1</v>
      </c>
      <c r="B23" s="2927" t="s">
        <v>2395</v>
      </c>
      <c r="C23" s="2928">
        <f>D6</f>
        <v>9964.161462</v>
      </c>
      <c r="D23" s="2929">
        <f>C23*(1+D24)</f>
        <v>9964.161462</v>
      </c>
      <c r="E23" s="2930">
        <f>D23*(1+E24)</f>
        <v>9964.161462</v>
      </c>
      <c r="F23" s="2931"/>
      <c r="G23" s="2932"/>
      <c r="H23" s="2845"/>
      <c r="I23" s="2846"/>
      <c r="J23" s="3714"/>
      <c r="K23" s="3716"/>
      <c r="L23" s="2879" t="s">
        <v>2396</v>
      </c>
      <c r="M23" s="2880"/>
      <c r="N23" s="2880"/>
      <c r="O23" s="2881"/>
      <c r="P23" s="2882">
        <v>365</v>
      </c>
      <c r="Q23" s="2857"/>
      <c r="R23" s="2922">
        <f>ROUND(M23*N23*O23*P23/10000,0)</f>
        <v>0</v>
      </c>
      <c r="S23" s="2838"/>
      <c r="T23" s="2838"/>
      <c r="U23" s="2838"/>
      <c r="V23" s="2846"/>
    </row>
    <row r="24" spans="1:22" s="2850" customFormat="1" ht="13.15" customHeight="1">
      <c r="A24" s="2933"/>
      <c r="B24" s="2934" t="s">
        <v>2397</v>
      </c>
      <c r="C24" s="2935"/>
      <c r="D24" s="2936"/>
      <c r="E24" s="2937"/>
      <c r="F24" s="2938"/>
      <c r="G24" s="2932"/>
      <c r="H24" s="2845"/>
      <c r="I24" s="2846"/>
      <c r="J24" s="3714"/>
      <c r="K24" s="3717"/>
      <c r="L24" s="2899" t="s">
        <v>2360</v>
      </c>
      <c r="M24" s="2900">
        <f>SUM(M21:M23)</f>
        <v>0</v>
      </c>
      <c r="N24" s="2900"/>
      <c r="O24" s="2901"/>
      <c r="P24" s="2914" t="s">
        <v>2422</v>
      </c>
      <c r="Q24" s="2881">
        <v>0</v>
      </c>
      <c r="R24" s="2915">
        <f>ROUND(IF(P24="按比例",R14*Q24,SUM(R21:R23)),0)</f>
        <v>0</v>
      </c>
      <c r="S24" s="2838"/>
      <c r="T24" s="2838"/>
      <c r="U24" s="2838"/>
      <c r="V24" s="2846"/>
    </row>
    <row r="25" spans="1:22" s="2945" customFormat="1" ht="13.15" customHeight="1">
      <c r="A25" s="2933"/>
      <c r="B25" s="2934"/>
      <c r="C25" s="2935"/>
      <c r="D25" s="2936"/>
      <c r="E25" s="2937"/>
      <c r="F25" s="2938"/>
      <c r="G25" s="2925"/>
      <c r="H25" s="2845"/>
      <c r="I25" s="2846"/>
      <c r="J25" s="2939">
        <v>4</v>
      </c>
      <c r="K25" s="2940" t="s">
        <v>2398</v>
      </c>
      <c r="L25" s="2941"/>
      <c r="M25" s="2941"/>
      <c r="N25" s="2941"/>
      <c r="O25" s="2941"/>
      <c r="P25" s="2942"/>
      <c r="Q25" s="2943">
        <v>0</v>
      </c>
      <c r="R25" s="2915">
        <f>ROUND(R14*Q25,0)</f>
        <v>0</v>
      </c>
      <c r="S25" s="2838"/>
      <c r="T25" s="2838"/>
      <c r="U25" s="2838"/>
      <c r="V25" s="2944"/>
    </row>
    <row r="26" spans="1:22" s="2945" customFormat="1" ht="13.15" customHeight="1">
      <c r="A26" s="2926">
        <v>2</v>
      </c>
      <c r="B26" s="2927" t="s">
        <v>2399</v>
      </c>
      <c r="C26" s="2928">
        <f ca="1">D7</f>
        <v>4195</v>
      </c>
      <c r="D26" s="2929">
        <f>D23*D27</f>
        <v>0</v>
      </c>
      <c r="E26" s="2930">
        <f>E23*E27</f>
        <v>0</v>
      </c>
      <c r="F26" s="2931"/>
      <c r="G26" s="2932"/>
      <c r="H26" s="2845"/>
      <c r="I26" s="2846"/>
      <c r="J26" s="3724">
        <v>5</v>
      </c>
      <c r="K26" s="2946" t="s">
        <v>2400</v>
      </c>
      <c r="L26" s="2947"/>
      <c r="M26" s="2948"/>
      <c r="N26" s="2949" t="s">
        <v>2401</v>
      </c>
      <c r="O26" s="2949" t="s">
        <v>2402</v>
      </c>
      <c r="P26" s="2950" t="s">
        <v>2403</v>
      </c>
      <c r="Q26" s="2950" t="s">
        <v>2404</v>
      </c>
      <c r="R26" s="2855" t="s">
        <v>2331</v>
      </c>
      <c r="S26" s="2951"/>
      <c r="T26" s="2951"/>
      <c r="U26" s="2951"/>
      <c r="V26" s="2944"/>
    </row>
    <row r="27" spans="1:22" s="2850" customFormat="1" ht="13.15" customHeight="1">
      <c r="A27" s="2933"/>
      <c r="B27" s="2934" t="s">
        <v>2405</v>
      </c>
      <c r="C27" s="2952">
        <f ca="1">E7</f>
        <v>0.42103376732696302</v>
      </c>
      <c r="D27" s="2936"/>
      <c r="E27" s="2937"/>
      <c r="F27" s="2938"/>
      <c r="G27" s="2932"/>
      <c r="H27" s="2953"/>
      <c r="I27" s="2944"/>
      <c r="J27" s="3725"/>
      <c r="K27" s="2954"/>
      <c r="L27" s="2955"/>
      <c r="M27" s="2956"/>
      <c r="N27" s="2957"/>
      <c r="O27" s="2957"/>
      <c r="P27" s="2957"/>
      <c r="Q27" s="2958"/>
      <c r="R27" s="2915">
        <f>ROUND(O27*N27*P27*(1-Q27)/10000,0)</f>
        <v>0</v>
      </c>
      <c r="S27" s="2838"/>
      <c r="T27" s="2838"/>
      <c r="U27" s="2838"/>
      <c r="V27" s="2846"/>
    </row>
    <row r="28" spans="1:22" s="2945" customFormat="1" ht="13.15" customHeight="1" thickBot="1">
      <c r="A28" s="2933"/>
      <c r="B28" s="2934"/>
      <c r="C28" s="2952"/>
      <c r="D28" s="2936"/>
      <c r="E28" s="2937" t="s">
        <v>2406</v>
      </c>
      <c r="F28" s="2938"/>
      <c r="G28" s="2925"/>
      <c r="H28" s="2953"/>
      <c r="I28" s="2944"/>
      <c r="J28" s="2959">
        <v>6</v>
      </c>
      <c r="K28" s="2960" t="s">
        <v>2407</v>
      </c>
      <c r="L28" s="2961" t="s">
        <v>2408</v>
      </c>
      <c r="M28" s="2962"/>
      <c r="N28" s="2961" t="s">
        <v>2409</v>
      </c>
      <c r="O28" s="2963"/>
      <c r="P28" s="2961" t="s">
        <v>2410</v>
      </c>
      <c r="Q28" s="2964">
        <v>1.4999999999999999E-2</v>
      </c>
      <c r="R28" s="2965"/>
      <c r="S28" s="2918"/>
      <c r="T28" s="2918"/>
      <c r="U28" s="2918"/>
      <c r="V28" s="2944"/>
    </row>
    <row r="29" spans="1:22" s="2945" customFormat="1" ht="13.15" customHeight="1">
      <c r="A29" s="2926">
        <v>3</v>
      </c>
      <c r="B29" s="2927" t="s">
        <v>2411</v>
      </c>
      <c r="C29" s="2928">
        <f>C23*C30</f>
        <v>498.20807310000004</v>
      </c>
      <c r="D29" s="2929">
        <f>D23*C30</f>
        <v>498.20807310000004</v>
      </c>
      <c r="E29" s="2930">
        <f>E23*C30</f>
        <v>498.20807310000004</v>
      </c>
      <c r="F29" s="2931"/>
      <c r="G29" s="2932"/>
      <c r="H29" s="2845"/>
      <c r="I29" s="2846"/>
      <c r="J29" s="2918"/>
      <c r="K29" s="2918"/>
      <c r="L29" s="2918"/>
      <c r="M29" s="2918"/>
      <c r="N29" s="2918"/>
      <c r="O29" s="2918"/>
      <c r="P29" s="2918"/>
      <c r="Q29" s="2918"/>
      <c r="R29" s="2918"/>
      <c r="S29" s="2918"/>
      <c r="T29" s="2918"/>
      <c r="U29" s="2918"/>
      <c r="V29" s="2944"/>
    </row>
    <row r="30" spans="1:22" s="2850" customFormat="1" ht="13.15" customHeight="1" thickBot="1">
      <c r="A30" s="2933"/>
      <c r="B30" s="2934" t="s">
        <v>2405</v>
      </c>
      <c r="C30" s="2952">
        <f>E18</f>
        <v>0.05</v>
      </c>
      <c r="D30" s="2966"/>
      <c r="E30" s="2898"/>
      <c r="F30" s="2938"/>
      <c r="G30" s="2932"/>
      <c r="H30" s="2953"/>
      <c r="I30" s="2944"/>
      <c r="J30" s="2918"/>
      <c r="K30" s="2918"/>
      <c r="L30" s="2918"/>
      <c r="M30" s="2918"/>
      <c r="N30" s="2918"/>
      <c r="O30" s="2918"/>
      <c r="P30" s="2918"/>
      <c r="Q30" s="2918"/>
      <c r="R30" s="2918"/>
      <c r="S30" s="2918"/>
      <c r="T30" s="2918"/>
      <c r="U30" s="2838"/>
      <c r="V30" s="2846"/>
    </row>
    <row r="31" spans="1:22" s="2945" customFormat="1" ht="13.15" customHeight="1">
      <c r="A31" s="2933"/>
      <c r="B31" s="2934"/>
      <c r="C31" s="2967"/>
      <c r="D31" s="2966"/>
      <c r="E31" s="2898"/>
      <c r="F31" s="2938"/>
      <c r="G31" s="2925"/>
      <c r="H31" s="2953"/>
      <c r="I31" s="2944"/>
      <c r="J31" s="2835" t="s">
        <v>2412</v>
      </c>
      <c r="K31" s="2836"/>
      <c r="L31" s="2836"/>
      <c r="M31" s="2836"/>
      <c r="N31" s="2836"/>
      <c r="O31" s="2836"/>
      <c r="P31" s="2836"/>
      <c r="Q31" s="2836"/>
      <c r="R31" s="2837"/>
      <c r="S31" s="2918"/>
      <c r="T31" s="2838"/>
      <c r="U31" s="2838"/>
      <c r="V31" s="2944"/>
    </row>
    <row r="32" spans="1:22" s="2945" customFormat="1" ht="13.15" customHeight="1">
      <c r="A32" s="2926">
        <v>4</v>
      </c>
      <c r="B32" s="2927" t="s">
        <v>2413</v>
      </c>
      <c r="C32" s="2928">
        <f ca="1">C23-C26-C29</f>
        <v>5270.9533889000004</v>
      </c>
      <c r="D32" s="2929">
        <f>D23-D26-D29</f>
        <v>9465.9533888999995</v>
      </c>
      <c r="E32" s="2930">
        <f>E23-E26-E29</f>
        <v>9465.9533888999995</v>
      </c>
      <c r="F32" s="2931"/>
      <c r="G32" s="2925"/>
      <c r="H32" s="2845"/>
      <c r="I32" s="2846"/>
      <c r="J32" s="3707" t="s">
        <v>2307</v>
      </c>
      <c r="K32" s="3708"/>
      <c r="L32" s="2847" t="s">
        <v>2308</v>
      </c>
      <c r="M32" s="2847" t="s">
        <v>2309</v>
      </c>
      <c r="N32" s="2847" t="s">
        <v>2310</v>
      </c>
      <c r="O32" s="2847" t="s">
        <v>2311</v>
      </c>
      <c r="P32" s="2847" t="s">
        <v>2312</v>
      </c>
      <c r="Q32" s="2848" t="s">
        <v>2313</v>
      </c>
      <c r="R32" s="2968" t="s">
        <v>2314</v>
      </c>
      <c r="S32" s="2918"/>
      <c r="T32" s="2838"/>
      <c r="U32" s="2838"/>
      <c r="V32" s="2944"/>
    </row>
    <row r="33" spans="1:23" s="2850" customFormat="1" ht="13.15" customHeight="1">
      <c r="A33" s="2926"/>
      <c r="B33" s="2927"/>
      <c r="C33" s="2928"/>
      <c r="D33" s="2969"/>
      <c r="E33" s="2970"/>
      <c r="F33" s="2931"/>
      <c r="G33" s="2925"/>
      <c r="H33" s="2953"/>
      <c r="I33" s="2944"/>
      <c r="J33" s="3709" t="s">
        <v>2317</v>
      </c>
      <c r="K33" s="3710"/>
      <c r="L33" s="2853"/>
      <c r="M33" s="2853"/>
      <c r="N33" s="2853"/>
      <c r="O33" s="2853"/>
      <c r="P33" s="2853"/>
      <c r="Q33" s="2854"/>
      <c r="R33" s="2971">
        <f>SUM(L33:Q33)</f>
        <v>0</v>
      </c>
      <c r="S33" s="2918"/>
      <c r="T33" s="2838"/>
      <c r="U33" s="2838"/>
      <c r="V33" s="2846"/>
    </row>
    <row r="34" spans="1:23" s="2850" customFormat="1" ht="13.15" customHeight="1">
      <c r="A34" s="2926">
        <v>5</v>
      </c>
      <c r="B34" s="2927" t="s">
        <v>2414</v>
      </c>
      <c r="C34" s="2972">
        <f>'数据-取费表'!I6</f>
        <v>5.5E-2</v>
      </c>
      <c r="D34" s="2973">
        <f>C34</f>
        <v>5.5E-2</v>
      </c>
      <c r="E34" s="2974">
        <f>D34</f>
        <v>5.5E-2</v>
      </c>
      <c r="F34" s="2931"/>
      <c r="G34" s="2925"/>
      <c r="H34" s="2953"/>
      <c r="I34" s="2944"/>
      <c r="J34" s="3709" t="s">
        <v>2319</v>
      </c>
      <c r="K34" s="3710"/>
      <c r="L34" s="2858"/>
      <c r="M34" s="2858"/>
      <c r="N34" s="2858"/>
      <c r="O34" s="2858"/>
      <c r="P34" s="2858"/>
      <c r="Q34" s="2859"/>
      <c r="R34" s="2975">
        <f>SUM(L34:Q34)</f>
        <v>0</v>
      </c>
      <c r="S34" s="2918"/>
      <c r="T34" s="2838"/>
      <c r="U34" s="2838" t="e">
        <f>ROUND(R35*10000/365/R33,1)</f>
        <v>#DIV/0!</v>
      </c>
      <c r="V34" s="2846"/>
    </row>
    <row r="35" spans="1:23" s="2850" customFormat="1" ht="13.15" customHeight="1">
      <c r="A35" s="2926">
        <v>6</v>
      </c>
      <c r="B35" s="2927" t="s">
        <v>2415</v>
      </c>
      <c r="C35" s="2976">
        <v>2.5000000000000001E-2</v>
      </c>
      <c r="D35" s="2977"/>
      <c r="E35" s="2978"/>
      <c r="F35" s="2931"/>
      <c r="G35" s="2979"/>
      <c r="H35" s="2845"/>
      <c r="I35" s="2944"/>
      <c r="J35" s="2864" t="s">
        <v>2321</v>
      </c>
      <c r="K35" s="2865"/>
      <c r="L35" s="2865"/>
      <c r="M35" s="2866"/>
      <c r="N35" s="2866"/>
      <c r="O35" s="2866"/>
      <c r="P35" s="2866"/>
      <c r="Q35" s="2866"/>
      <c r="R35" s="2980">
        <f>R40+R41+R43</f>
        <v>0</v>
      </c>
      <c r="S35" s="2918"/>
      <c r="T35" s="2838" t="s">
        <v>2322</v>
      </c>
      <c r="U35" s="2838"/>
      <c r="V35" s="2846"/>
    </row>
    <row r="36" spans="1:23" s="2850" customFormat="1" ht="13.15" customHeight="1" thickBot="1">
      <c r="A36" s="2926">
        <v>7</v>
      </c>
      <c r="B36" s="2981" t="s">
        <v>2416</v>
      </c>
      <c r="C36" s="2982">
        <f>'数据-取费表'!F6</f>
        <v>31.51</v>
      </c>
      <c r="D36" s="2983"/>
      <c r="E36" s="2984"/>
      <c r="F36" s="2985">
        <f>C36+D36+E36</f>
        <v>31.51</v>
      </c>
      <c r="G36" s="2925"/>
      <c r="H36" s="2845"/>
      <c r="I36" s="2846"/>
      <c r="J36" s="3714">
        <v>1</v>
      </c>
      <c r="K36" s="3715" t="s">
        <v>2417</v>
      </c>
      <c r="L36" s="2870"/>
      <c r="M36" s="2871"/>
      <c r="N36" s="2871"/>
      <c r="O36" s="2871"/>
      <c r="P36" s="2871"/>
      <c r="Q36" s="2871"/>
      <c r="R36" s="2855" t="s">
        <v>2331</v>
      </c>
      <c r="S36" s="2918"/>
      <c r="T36" s="2838" t="s">
        <v>2332</v>
      </c>
      <c r="U36" s="2838"/>
      <c r="V36" s="2846"/>
    </row>
    <row r="37" spans="1:23" s="2850" customFormat="1" ht="13.15" customHeight="1">
      <c r="A37" s="2926"/>
      <c r="B37" s="2927"/>
      <c r="C37" s="2927"/>
      <c r="D37" s="2927"/>
      <c r="E37" s="2927"/>
      <c r="F37" s="2931"/>
      <c r="G37" s="2925"/>
      <c r="H37" s="2845"/>
      <c r="I37" s="2846"/>
      <c r="J37" s="3714"/>
      <c r="K37" s="3716"/>
      <c r="L37" s="2879"/>
      <c r="M37" s="2880"/>
      <c r="N37" s="2857"/>
      <c r="O37" s="2881"/>
      <c r="P37" s="2881"/>
      <c r="Q37" s="2882"/>
      <c r="R37" s="2883"/>
      <c r="S37" s="2918"/>
      <c r="T37" s="2838" t="s">
        <v>2335</v>
      </c>
      <c r="U37" s="2838"/>
      <c r="V37" s="2846"/>
    </row>
    <row r="38" spans="1:23" s="2850" customFormat="1" ht="13.15" customHeight="1">
      <c r="A38" s="2926">
        <v>8</v>
      </c>
      <c r="B38" s="2927"/>
      <c r="C38" s="2885">
        <f ca="1">ROUND(C32*(1-((1+C35)/(1+C34))^C36)/(C34-C35),0)</f>
        <v>104905</v>
      </c>
      <c r="D38" s="2885">
        <f>IF(D23=0,0,ROUND(D32*(1-((1+D35)/(1+D34))^D36)/(D34-D35),0))</f>
        <v>0</v>
      </c>
      <c r="E38" s="2885">
        <f>IF(E23=0,0,ROUND(E32*(1-((1+E35)/(1+E34))^E36)/(E34-E35),0))</f>
        <v>0</v>
      </c>
      <c r="F38" s="2931"/>
      <c r="G38" s="2925"/>
      <c r="H38" s="2845"/>
      <c r="I38" s="2846"/>
      <c r="J38" s="3714"/>
      <c r="K38" s="3716"/>
      <c r="L38" s="2879"/>
      <c r="M38" s="2880"/>
      <c r="N38" s="2857"/>
      <c r="O38" s="2881"/>
      <c r="P38" s="2881"/>
      <c r="Q38" s="2882"/>
      <c r="R38" s="2883"/>
      <c r="S38" s="2918"/>
      <c r="T38" s="2838" t="s">
        <v>2342</v>
      </c>
      <c r="U38" s="2838"/>
      <c r="V38" s="2846"/>
    </row>
    <row r="39" spans="1:23" s="2850" customFormat="1" ht="13.15" customHeight="1">
      <c r="A39" s="2926">
        <v>9</v>
      </c>
      <c r="B39" s="2927" t="s">
        <v>2418</v>
      </c>
      <c r="C39" s="2893">
        <f ca="1">C38</f>
        <v>104905</v>
      </c>
      <c r="D39" s="2927">
        <f>D38/(1+D34)^C36</f>
        <v>0</v>
      </c>
      <c r="E39" s="2927">
        <f>E38/(1+E34)^(C36+D36)</f>
        <v>0</v>
      </c>
      <c r="F39" s="2931"/>
      <c r="G39" s="2986"/>
      <c r="H39" s="2845"/>
      <c r="I39" s="2846"/>
      <c r="J39" s="3714"/>
      <c r="K39" s="3716"/>
      <c r="L39" s="2879"/>
      <c r="M39" s="2880"/>
      <c r="N39" s="2857"/>
      <c r="O39" s="2881"/>
      <c r="P39" s="2881"/>
      <c r="Q39" s="2882"/>
      <c r="R39" s="2883"/>
      <c r="S39" s="2918"/>
      <c r="T39" s="2838"/>
      <c r="U39" s="2838"/>
      <c r="V39" s="2846"/>
    </row>
    <row r="40" spans="1:23" s="2850" customFormat="1" ht="13.15" customHeight="1">
      <c r="A40" s="2987">
        <v>10</v>
      </c>
      <c r="B40" s="2927" t="s">
        <v>2419</v>
      </c>
      <c r="C40" s="2988">
        <f ca="1">C39+D39+E39</f>
        <v>104905</v>
      </c>
      <c r="D40" s="2989"/>
      <c r="E40" s="2989"/>
      <c r="F40" s="2990"/>
      <c r="G40" s="2925"/>
      <c r="H40" s="2845"/>
      <c r="I40" s="2846"/>
      <c r="J40" s="3714"/>
      <c r="K40" s="3717"/>
      <c r="L40" s="2899" t="s">
        <v>2360</v>
      </c>
      <c r="M40" s="2900"/>
      <c r="N40" s="2900"/>
      <c r="O40" s="2901"/>
      <c r="P40" s="2901"/>
      <c r="Q40" s="2902"/>
      <c r="R40" s="2849">
        <f>SUM(R37:R39)</f>
        <v>0</v>
      </c>
      <c r="S40" s="2918"/>
      <c r="T40" s="2838"/>
      <c r="U40" s="2838"/>
      <c r="V40" s="2846"/>
    </row>
    <row r="41" spans="1:23" s="2850" customFormat="1" ht="13.15" customHeight="1" thickBot="1">
      <c r="A41" s="2991">
        <v>11</v>
      </c>
      <c r="B41" s="2992" t="s">
        <v>2420</v>
      </c>
      <c r="C41" s="2992">
        <f ca="1">ROUND(C40*10000/B4,0)</f>
        <v>16635</v>
      </c>
      <c r="D41" s="2993"/>
      <c r="E41" s="2993"/>
      <c r="F41" s="2994"/>
      <c r="G41" s="2995"/>
      <c r="H41" s="2845"/>
      <c r="I41" s="2846"/>
      <c r="J41" s="2939">
        <v>2</v>
      </c>
      <c r="K41" s="2940" t="s">
        <v>2398</v>
      </c>
      <c r="L41" s="2941"/>
      <c r="M41" s="2941"/>
      <c r="N41" s="2941"/>
      <c r="O41" s="2941"/>
      <c r="P41" s="2942"/>
      <c r="Q41" s="2943"/>
      <c r="R41" s="2915">
        <f>ROUND(R40*Q41,0)</f>
        <v>0</v>
      </c>
      <c r="S41" s="2918"/>
      <c r="T41" s="2838"/>
      <c r="U41" s="2951"/>
      <c r="V41" s="2846"/>
    </row>
    <row r="42" spans="1:23" s="2850" customFormat="1" ht="13.15" customHeight="1">
      <c r="G42" s="2995"/>
      <c r="H42" s="2845"/>
      <c r="I42" s="2846"/>
      <c r="J42" s="3724">
        <v>3</v>
      </c>
      <c r="K42" s="2946" t="s">
        <v>2400</v>
      </c>
      <c r="L42" s="2947"/>
      <c r="M42" s="2948"/>
      <c r="N42" s="2949" t="s">
        <v>2401</v>
      </c>
      <c r="O42" s="2949" t="s">
        <v>2402</v>
      </c>
      <c r="P42" s="2950" t="s">
        <v>2403</v>
      </c>
      <c r="Q42" s="2950" t="s">
        <v>2404</v>
      </c>
      <c r="R42" s="2855" t="s">
        <v>2331</v>
      </c>
      <c r="S42" s="2951"/>
      <c r="T42" s="2951"/>
      <c r="U42" s="2838"/>
      <c r="V42" s="2846"/>
    </row>
    <row r="43" spans="1:23" ht="13.15" customHeight="1">
      <c r="A43" s="2850"/>
      <c r="B43" s="2850"/>
      <c r="C43" s="2850"/>
      <c r="D43" s="2850"/>
      <c r="E43" s="2850"/>
      <c r="F43" s="2850"/>
      <c r="I43" s="2833"/>
      <c r="J43" s="3725"/>
      <c r="K43" s="2954"/>
      <c r="L43" s="2955"/>
      <c r="M43" s="2956"/>
      <c r="N43" s="2880"/>
      <c r="O43" s="2880"/>
      <c r="P43" s="2880"/>
      <c r="Q43" s="2943"/>
      <c r="R43" s="2915">
        <f>ROUND(O43*N43*P43*(1-Q43)/10000,0)</f>
        <v>0</v>
      </c>
      <c r="S43" s="2918"/>
      <c r="T43" s="2838"/>
      <c r="V43" s="2997"/>
      <c r="W43" s="2998"/>
    </row>
    <row r="44" spans="1:23" ht="13.15" customHeight="1" thickBot="1">
      <c r="J44" s="2959">
        <v>6</v>
      </c>
      <c r="K44" s="2960" t="s">
        <v>2407</v>
      </c>
      <c r="L44" s="2999" t="s">
        <v>2408</v>
      </c>
      <c r="M44" s="2962"/>
      <c r="N44" s="2999" t="s">
        <v>2409</v>
      </c>
      <c r="O44" s="2962"/>
      <c r="P44" s="2999" t="s">
        <v>2410</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872</v>
      </c>
      <c r="B1" s="713"/>
      <c r="C1" s="1379"/>
      <c r="D1" s="1362" t="s">
        <v>43</v>
      </c>
      <c r="E1" s="1363" t="s">
        <v>673</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873</v>
      </c>
      <c r="B2" s="3420" t="e">
        <f ca="1">ROUND(D2/10000,4)</f>
        <v>#DIV/0!</v>
      </c>
      <c r="C2" s="1387" t="s">
        <v>874</v>
      </c>
      <c r="D2" s="1471" t="e">
        <f ca="1">C40+J29+L46</f>
        <v>#DIV/0!</v>
      </c>
      <c r="E2" s="1388" t="s">
        <v>875</v>
      </c>
      <c r="F2" s="1389"/>
      <c r="G2" s="2703"/>
      <c r="H2" s="2692"/>
      <c r="I2" s="2692"/>
      <c r="J2" s="2692"/>
      <c r="K2" s="2693"/>
      <c r="L2" s="2692"/>
      <c r="M2" s="2692"/>
    </row>
    <row r="3" spans="1:37" ht="18" customHeight="1" thickBot="1">
      <c r="A3" s="1390" t="s">
        <v>876</v>
      </c>
      <c r="B3" s="1391">
        <f ca="1">IF(ISERROR(D2/F43),0,ROUND(D2/F43,0))</f>
        <v>0</v>
      </c>
      <c r="C3" s="1387" t="s">
        <v>877</v>
      </c>
      <c r="D3" s="1387"/>
      <c r="E3" s="1388"/>
      <c r="F3" s="1389"/>
      <c r="G3" s="2703"/>
      <c r="H3" s="683" t="s">
        <v>871</v>
      </c>
      <c r="I3" s="1382"/>
      <c r="J3" s="1382"/>
      <c r="K3" s="1383"/>
      <c r="L3" s="1382"/>
      <c r="M3" s="1382"/>
    </row>
    <row r="4" spans="1:37" ht="18" customHeight="1">
      <c r="A4" s="295" t="s">
        <v>878</v>
      </c>
      <c r="B4" s="296" t="s">
        <v>879</v>
      </c>
      <c r="C4" s="296" t="s">
        <v>880</v>
      </c>
      <c r="D4" s="296" t="s">
        <v>881</v>
      </c>
      <c r="E4" s="297" t="s">
        <v>882</v>
      </c>
      <c r="F4" s="298"/>
      <c r="G4" s="1384"/>
      <c r="H4" s="295" t="s">
        <v>878</v>
      </c>
      <c r="I4" s="296" t="s">
        <v>879</v>
      </c>
      <c r="J4" s="296" t="s">
        <v>880</v>
      </c>
      <c r="K4" s="296" t="s">
        <v>881</v>
      </c>
      <c r="L4" s="297" t="s">
        <v>882</v>
      </c>
      <c r="M4" s="298"/>
    </row>
    <row r="5" spans="1:37" ht="18" customHeight="1">
      <c r="A5" s="299">
        <v>1</v>
      </c>
      <c r="B5" s="300" t="s">
        <v>883</v>
      </c>
      <c r="C5" s="1070">
        <f ca="1">C6+C10+C12</f>
        <v>0</v>
      </c>
      <c r="D5" s="1364" t="s">
        <v>884</v>
      </c>
      <c r="E5" s="1071"/>
      <c r="F5" s="1072"/>
      <c r="G5" s="1384"/>
      <c r="H5" s="299">
        <v>1</v>
      </c>
      <c r="I5" s="300" t="s">
        <v>883</v>
      </c>
      <c r="J5" s="1070">
        <f ca="1">J6+J10+J12</f>
        <v>0</v>
      </c>
      <c r="K5" s="1364" t="s">
        <v>884</v>
      </c>
      <c r="L5" s="1071"/>
      <c r="M5" s="1072"/>
    </row>
    <row r="6" spans="1:37" ht="18" customHeight="1">
      <c r="A6" s="1069" t="s">
        <v>398</v>
      </c>
      <c r="B6" s="3726" t="s">
        <v>689</v>
      </c>
      <c r="C6" s="1074">
        <f ca="1">ROUND(F6*F8*F7*(1-F9),0)</f>
        <v>0</v>
      </c>
      <c r="D6" s="155" t="s">
        <v>2099</v>
      </c>
      <c r="E6" s="302" t="s">
        <v>691</v>
      </c>
      <c r="F6" s="303">
        <f ca="1">INDIRECT("'数据-取费表'!u"&amp;$G$1)</f>
        <v>0</v>
      </c>
      <c r="G6" s="1384"/>
      <c r="H6" s="1069" t="s">
        <v>398</v>
      </c>
      <c r="I6" s="3726" t="s">
        <v>689</v>
      </c>
      <c r="J6" s="301">
        <f ca="1">ROUND(M6*M8*M7*(1-M9),0)</f>
        <v>0</v>
      </c>
      <c r="K6" s="1376" t="s">
        <v>2100</v>
      </c>
      <c r="L6" s="302" t="s">
        <v>691</v>
      </c>
      <c r="M6" s="303">
        <f ca="1">INDIRECT("'数据-取费表'!z"&amp;$G$1)</f>
        <v>0</v>
      </c>
    </row>
    <row r="7" spans="1:37" ht="18" customHeight="1">
      <c r="A7" s="1073"/>
      <c r="B7" s="3727"/>
      <c r="C7" s="1075"/>
      <c r="D7" s="307"/>
      <c r="E7" s="1076" t="s">
        <v>692</v>
      </c>
      <c r="F7" s="303">
        <f ca="1">IF(INDIRECT("'数据-取费表'!ah"&amp;$G$1)="",INDIRECT("'数据-取费表'!k"&amp;$G$1),INDIRECT("'数据-取费表'!ah"&amp;$G$1))</f>
        <v>0</v>
      </c>
      <c r="G7" s="1384"/>
      <c r="H7" s="304"/>
      <c r="I7" s="3727"/>
      <c r="J7" s="306"/>
      <c r="K7" s="307"/>
      <c r="L7" s="302" t="s">
        <v>692</v>
      </c>
      <c r="M7" s="303">
        <f ca="1">F7</f>
        <v>0</v>
      </c>
    </row>
    <row r="8" spans="1:37" ht="18" customHeight="1">
      <c r="A8" s="304"/>
      <c r="B8" s="3727"/>
      <c r="C8" s="306"/>
      <c r="D8" s="307"/>
      <c r="E8" s="302" t="s">
        <v>693</v>
      </c>
      <c r="F8" s="303">
        <f ca="1">INDIRECT("'数据-取费表'!ai"&amp;$G$1)</f>
        <v>0</v>
      </c>
      <c r="G8" s="1384"/>
      <c r="H8" s="304"/>
      <c r="I8" s="3727"/>
      <c r="J8" s="306"/>
      <c r="K8" s="307"/>
      <c r="L8" s="302" t="s">
        <v>693</v>
      </c>
      <c r="M8" s="303">
        <f ca="1">INDIRECT("'数据-取费表'!ai"&amp;$G$1)</f>
        <v>0</v>
      </c>
    </row>
    <row r="9" spans="1:37" ht="18" customHeight="1">
      <c r="A9" s="304"/>
      <c r="B9" s="3728"/>
      <c r="C9" s="306"/>
      <c r="D9" s="307"/>
      <c r="E9" s="302" t="s">
        <v>694</v>
      </c>
      <c r="F9" s="312">
        <f ca="1">INDIRECT("'数据-取费表'!w"&amp;$G$1)</f>
        <v>0</v>
      </c>
      <c r="G9" s="1384"/>
      <c r="H9" s="304"/>
      <c r="I9" s="3728"/>
      <c r="J9" s="306"/>
      <c r="K9" s="307"/>
      <c r="L9" s="313" t="s">
        <v>694</v>
      </c>
      <c r="M9" s="314">
        <f ca="1">INDIRECT("'数据-取费表'!ab"&amp;$G$1)</f>
        <v>0</v>
      </c>
    </row>
    <row r="10" spans="1:37" ht="18" customHeight="1">
      <c r="A10" s="1069" t="s">
        <v>402</v>
      </c>
      <c r="B10" s="1365" t="s">
        <v>695</v>
      </c>
      <c r="C10" s="316">
        <f ca="1">ROUND(IF(F10="押一",C6/12*F11,IF(F10="押二",C6/12*2*F11,IF(F10="押三",C6/12*3*F11,C11*F11))),0)</f>
        <v>0</v>
      </c>
      <c r="D10" s="1366" t="s">
        <v>2109</v>
      </c>
      <c r="E10" s="313" t="s">
        <v>696</v>
      </c>
      <c r="F10" s="1116"/>
      <c r="G10" s="1384"/>
      <c r="H10" s="1069" t="s">
        <v>402</v>
      </c>
      <c r="I10" s="1365" t="s">
        <v>695</v>
      </c>
      <c r="J10" s="301">
        <f ca="1">ROUND(IF(M10="押一",J6/12*M11,IF(M10="押二",J6/12*2*M11,IF(M10="押三",J6/12*3*M11,J11*M11))),0)</f>
        <v>0</v>
      </c>
      <c r="K10" s="1377" t="s">
        <v>2111</v>
      </c>
      <c r="L10" s="313" t="s">
        <v>696</v>
      </c>
      <c r="M10" s="1116"/>
    </row>
    <row r="11" spans="1:37" ht="18" customHeight="1">
      <c r="A11" s="308"/>
      <c r="B11" s="1367" t="s">
        <v>885</v>
      </c>
      <c r="C11" s="959"/>
      <c r="D11" s="307"/>
      <c r="E11" s="313" t="s">
        <v>697</v>
      </c>
      <c r="F11" s="314">
        <f ca="1">'数据-取费表'!B39</f>
        <v>1.4999999999999999E-2</v>
      </c>
      <c r="G11" s="1384"/>
      <c r="H11" s="1077"/>
      <c r="I11" s="1367" t="s">
        <v>886</v>
      </c>
      <c r="J11" s="959"/>
      <c r="K11" s="684"/>
      <c r="L11" s="313" t="s">
        <v>697</v>
      </c>
      <c r="M11" s="862">
        <f ca="1">'数据-取费表'!B39</f>
        <v>1.4999999999999999E-2</v>
      </c>
    </row>
    <row r="12" spans="1:37" ht="18" customHeight="1" thickBot="1">
      <c r="A12" s="1083" t="s">
        <v>437</v>
      </c>
      <c r="B12" s="1369" t="s">
        <v>698</v>
      </c>
      <c r="C12" s="1084"/>
      <c r="D12" s="1085"/>
      <c r="E12" s="1090"/>
      <c r="F12" s="1086"/>
      <c r="G12" s="1384"/>
      <c r="H12" s="1083" t="s">
        <v>437</v>
      </c>
      <c r="I12" s="1369" t="s">
        <v>698</v>
      </c>
      <c r="J12" s="1084"/>
      <c r="K12" s="1098"/>
      <c r="L12" s="1090"/>
      <c r="M12" s="1099"/>
    </row>
    <row r="13" spans="1:37" ht="18" customHeight="1" thickTop="1">
      <c r="A13" s="1079">
        <v>2</v>
      </c>
      <c r="B13" s="1080" t="s">
        <v>699</v>
      </c>
      <c r="C13" s="310">
        <f ca="1">ROUND(C29*F13,0)</f>
        <v>0</v>
      </c>
      <c r="D13" s="1081" t="s">
        <v>700</v>
      </c>
      <c r="E13" s="1081" t="s">
        <v>701</v>
      </c>
      <c r="F13" s="1082">
        <f ca="1">INDIRECT("'数据-取费表'!y"&amp;$G$1)</f>
        <v>0</v>
      </c>
      <c r="G13" s="1384"/>
      <c r="H13" s="1079">
        <v>2</v>
      </c>
      <c r="I13" s="1080" t="s">
        <v>699</v>
      </c>
      <c r="J13" s="1068">
        <f ca="1">ROUND(J14*J15,0)</f>
        <v>0</v>
      </c>
      <c r="K13" s="1087" t="s">
        <v>700</v>
      </c>
      <c r="L13" s="1392"/>
      <c r="M13" s="1393"/>
    </row>
    <row r="14" spans="1:37" ht="18" customHeight="1">
      <c r="A14" s="982" t="s">
        <v>397</v>
      </c>
      <c r="B14" s="302" t="s">
        <v>702</v>
      </c>
      <c r="C14" s="318">
        <f ca="1">ROUND(INDIRECT("'数据-取费表'!l"&amp;$G$1)*F43+'数据-取费表'!L14*INDIRECT("'数据-取费表'!S"&amp;$G$1),0)</f>
        <v>0</v>
      </c>
      <c r="D14" s="1345" t="s">
        <v>703</v>
      </c>
      <c r="E14" s="1342"/>
      <c r="F14" s="319"/>
      <c r="G14" s="1384"/>
      <c r="H14" s="982" t="s">
        <v>398</v>
      </c>
      <c r="I14" s="302" t="s">
        <v>704</v>
      </c>
      <c r="J14" s="21">
        <f ca="1">C29</f>
        <v>0</v>
      </c>
      <c r="K14" s="12"/>
      <c r="L14" s="807"/>
      <c r="M14" s="808"/>
    </row>
    <row r="15" spans="1:37" s="1397" customFormat="1" ht="18" customHeight="1" thickBot="1">
      <c r="A15" s="982" t="s">
        <v>399</v>
      </c>
      <c r="B15" s="302" t="s">
        <v>705</v>
      </c>
      <c r="C15" s="21">
        <f ca="1">ROUND(C14*F15,0)</f>
        <v>0</v>
      </c>
      <c r="D15" s="320" t="s">
        <v>706</v>
      </c>
      <c r="E15" s="320" t="s">
        <v>707</v>
      </c>
      <c r="F15" s="321">
        <f>'数据-取费表'!B33</f>
        <v>0.05</v>
      </c>
      <c r="G15" s="1396"/>
      <c r="H15" s="1089" t="s">
        <v>402</v>
      </c>
      <c r="I15" s="1090" t="s">
        <v>701</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675</v>
      </c>
      <c r="B16" s="302" t="s">
        <v>708</v>
      </c>
      <c r="C16" s="21">
        <f ca="1">ROUND(INDIRECT("'数据-取费表'!l"&amp;$G$1)*F43*F16,0)</f>
        <v>0</v>
      </c>
      <c r="D16" s="302" t="s">
        <v>706</v>
      </c>
      <c r="E16" s="302" t="s">
        <v>707</v>
      </c>
      <c r="F16" s="322">
        <f ca="1">IF(INDIRECT("'数据-取费表'!c"&amp;$G$1)="住宅",'数据-取费表'!B34,0)</f>
        <v>0</v>
      </c>
      <c r="G16" s="1384"/>
      <c r="H16" s="1079" t="s">
        <v>393</v>
      </c>
      <c r="I16" s="1080" t="s">
        <v>709</v>
      </c>
      <c r="J16" s="310">
        <f ca="1">ROUND(J17+J22+J23+J24,0)</f>
        <v>0</v>
      </c>
      <c r="K16" s="1087" t="s">
        <v>710</v>
      </c>
      <c r="L16" s="1088"/>
      <c r="M16" s="1072"/>
    </row>
    <row r="17" spans="1:37" s="1397" customFormat="1" ht="18" customHeight="1">
      <c r="A17" s="982" t="s">
        <v>676</v>
      </c>
      <c r="B17" s="302" t="s">
        <v>711</v>
      </c>
      <c r="C17" s="21">
        <f ca="1">ROUND(F17*(F43+INDIRECT("'数据-取费表'!S"&amp;$G$1)),0)</f>
        <v>0</v>
      </c>
      <c r="D17" s="302" t="s">
        <v>712</v>
      </c>
      <c r="E17" s="302" t="s">
        <v>713</v>
      </c>
      <c r="F17" s="23">
        <f>'数据-取费表'!B35</f>
        <v>200</v>
      </c>
      <c r="G17" s="1396"/>
      <c r="H17" s="982" t="s">
        <v>398</v>
      </c>
      <c r="I17" s="302" t="s">
        <v>714</v>
      </c>
      <c r="J17" s="2315">
        <f ca="1">ROUND(IF(AND(项目基本情况!B11="自然人",项目基本情况!B10="北京市"),J6*M17/(1+'数据-取费表'!C42),J18+J19+J20),0)</f>
        <v>0</v>
      </c>
      <c r="K17" s="1345" t="s">
        <v>715</v>
      </c>
      <c r="L17" s="1344" t="s">
        <v>716</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677</v>
      </c>
      <c r="B18" s="302" t="s">
        <v>717</v>
      </c>
      <c r="C18" s="21">
        <f ca="1">ROUND(C14*F18,0)</f>
        <v>0</v>
      </c>
      <c r="D18" s="302" t="s">
        <v>706</v>
      </c>
      <c r="E18" s="302" t="s">
        <v>707</v>
      </c>
      <c r="F18" s="322">
        <f>'数据-取费表'!B36</f>
        <v>0.02</v>
      </c>
      <c r="G18" s="1396"/>
      <c r="H18" s="982" t="s">
        <v>397</v>
      </c>
      <c r="I18" s="302" t="s">
        <v>718</v>
      </c>
      <c r="J18" s="21">
        <f ca="1">ROUND(J6*M18/(1+'数据-取费表'!C42),0)</f>
        <v>0</v>
      </c>
      <c r="K18" s="1344" t="s">
        <v>719</v>
      </c>
      <c r="L18" s="302" t="s">
        <v>707</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720</v>
      </c>
      <c r="C19" s="21">
        <f ca="1">SUM(C14:C18)</f>
        <v>0</v>
      </c>
      <c r="D19" s="131" t="s">
        <v>721</v>
      </c>
      <c r="E19" s="1360"/>
      <c r="F19" s="23"/>
      <c r="G19" s="1384"/>
      <c r="H19" s="982" t="s">
        <v>399</v>
      </c>
      <c r="I19" s="302" t="s">
        <v>722</v>
      </c>
      <c r="J19" s="21">
        <f ca="1">IF(K19="按租金收入计税",ROUND(J6*M19/(1+'数据-取费表'!C42),0),ROUND(C29*M19*0.7,0))</f>
        <v>0</v>
      </c>
      <c r="K19" s="1370" t="s">
        <v>3324</v>
      </c>
      <c r="L19" s="302" t="s">
        <v>707</v>
      </c>
      <c r="M19" s="322">
        <f>IF(K19="按租金收入计税",'数据-取费表'!B51,'数据-取费表'!B50)</f>
        <v>0.12</v>
      </c>
    </row>
    <row r="20" spans="1:37" s="1397" customFormat="1" ht="18" customHeight="1">
      <c r="A20" s="982" t="s">
        <v>402</v>
      </c>
      <c r="B20" s="302" t="s">
        <v>723</v>
      </c>
      <c r="C20" s="21">
        <f ca="1">ROUND(C19*F20,0)</f>
        <v>0</v>
      </c>
      <c r="D20" s="323" t="s">
        <v>724</v>
      </c>
      <c r="E20" s="302" t="s">
        <v>707</v>
      </c>
      <c r="F20" s="322">
        <f>'数据-取费表'!B37</f>
        <v>0.03</v>
      </c>
      <c r="G20" s="1396"/>
      <c r="H20" s="982" t="s">
        <v>675</v>
      </c>
      <c r="I20" s="155" t="s">
        <v>725</v>
      </c>
      <c r="J20" s="22">
        <f ca="1">ROUND(M20*M21,0)</f>
        <v>0</v>
      </c>
      <c r="K20" s="324" t="s">
        <v>726</v>
      </c>
      <c r="L20" s="302" t="s">
        <v>727</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728</v>
      </c>
      <c r="C21" s="21" t="s">
        <v>0</v>
      </c>
      <c r="D21" s="323" t="s">
        <v>729</v>
      </c>
      <c r="E21" s="302" t="s">
        <v>730</v>
      </c>
      <c r="F21" s="322">
        <f>'数据-取费表'!B38</f>
        <v>0.03</v>
      </c>
      <c r="G21" s="1396"/>
      <c r="H21" s="326"/>
      <c r="I21" s="311"/>
      <c r="J21" s="26"/>
      <c r="K21" s="327"/>
      <c r="L21" s="302" t="s">
        <v>731</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678</v>
      </c>
      <c r="B22" s="302" t="s">
        <v>732</v>
      </c>
      <c r="C22" s="21"/>
      <c r="D22" s="131" t="str">
        <f>IF(F23&lt;=1,"单利计息。","复利计息。")&amp;"建造成本、管理费用、销售费用产生的利息。"</f>
        <v>复利计息。建造成本、管理费用、销售费用产生的利息。</v>
      </c>
      <c r="E22" s="1360"/>
      <c r="F22" s="23"/>
      <c r="G22" s="1384"/>
      <c r="H22" s="982" t="s">
        <v>402</v>
      </c>
      <c r="I22" s="302" t="s">
        <v>733</v>
      </c>
      <c r="J22" s="21">
        <f ca="1">ROUND(J14*M22,0)</f>
        <v>0</v>
      </c>
      <c r="K22" s="1344" t="s">
        <v>734</v>
      </c>
      <c r="L22" s="302" t="s">
        <v>707</v>
      </c>
      <c r="M22" s="328">
        <f ca="1">INDIRECT("'数据-取费表'!Ak"&amp;$G$1)</f>
        <v>0</v>
      </c>
    </row>
    <row r="23" spans="1:37" s="1397" customFormat="1" ht="18" customHeight="1">
      <c r="A23" s="982" t="s">
        <v>397</v>
      </c>
      <c r="B23" s="302" t="s">
        <v>735</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736</v>
      </c>
      <c r="F23" s="325">
        <f>'数据-取费表'!B20</f>
        <v>3</v>
      </c>
      <c r="G23" s="1396"/>
      <c r="H23" s="982" t="s">
        <v>437</v>
      </c>
      <c r="I23" s="302" t="s">
        <v>737</v>
      </c>
      <c r="J23" s="21">
        <f ca="1">ROUND(J13*M23,0)</f>
        <v>0</v>
      </c>
      <c r="K23" s="1344" t="s">
        <v>738</v>
      </c>
      <c r="L23" s="302" t="s">
        <v>739</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740</v>
      </c>
      <c r="B24" s="302" t="s">
        <v>741</v>
      </c>
      <c r="C24" s="21">
        <f ca="1">ROUND(IF('数据-取费表'!B22&lt;=1,F21*F24*F23/2,F21*(POWER((1+F24),F23/2)-1)),4)</f>
        <v>1.6000000000000001E-3</v>
      </c>
      <c r="D24" s="329" t="str">
        <f>IF(F23&lt;=1,"销售费用×利率×(建设周期÷2)","销售费用×((1+利率)^(建设周期÷2)-1)")</f>
        <v>销售费用×((1+利率)^(建设周期÷2)-1)</v>
      </c>
      <c r="E24" s="302" t="s">
        <v>742</v>
      </c>
      <c r="F24" s="331">
        <f ca="1">'数据-取费表'!B40</f>
        <v>3.4500000000000003E-2</v>
      </c>
      <c r="G24" s="1396"/>
      <c r="H24" s="1089" t="s">
        <v>679</v>
      </c>
      <c r="I24" s="1090" t="s">
        <v>723</v>
      </c>
      <c r="J24" s="1091">
        <f ca="1">ROUND(J5*M24,0)</f>
        <v>0</v>
      </c>
      <c r="K24" s="1092" t="s">
        <v>743</v>
      </c>
      <c r="L24" s="1090" t="s">
        <v>739</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744</v>
      </c>
      <c r="B25" s="302" t="s">
        <v>745</v>
      </c>
      <c r="C25" s="21"/>
      <c r="D25" s="131" t="s">
        <v>746</v>
      </c>
      <c r="E25" s="1360"/>
      <c r="F25" s="23"/>
      <c r="G25" s="1384"/>
      <c r="H25" s="1079" t="s">
        <v>394</v>
      </c>
      <c r="I25" s="1094" t="s">
        <v>747</v>
      </c>
      <c r="J25" s="310">
        <f ca="1">J5-J16</f>
        <v>0</v>
      </c>
      <c r="K25" s="1095" t="s">
        <v>748</v>
      </c>
      <c r="L25" s="1096"/>
      <c r="M25" s="1097"/>
    </row>
    <row r="26" spans="1:37" ht="18" customHeight="1">
      <c r="A26" s="982" t="s">
        <v>397</v>
      </c>
      <c r="B26" s="302" t="s">
        <v>749</v>
      </c>
      <c r="C26" s="21">
        <f ca="1">ROUND((C19+C20)*F26,0)</f>
        <v>0</v>
      </c>
      <c r="D26" s="323" t="s">
        <v>750</v>
      </c>
      <c r="E26" s="313" t="s">
        <v>751</v>
      </c>
      <c r="F26" s="312">
        <f ca="1">INDIRECT("'数据-取费表'!q"&amp;$G$1)</f>
        <v>0</v>
      </c>
      <c r="G26" s="1384"/>
      <c r="H26" s="299" t="s">
        <v>395</v>
      </c>
      <c r="I26" s="300" t="s">
        <v>752</v>
      </c>
      <c r="J26" s="301">
        <f ca="1">IF(J5&lt;&gt;0,ROUND(J25*(1-((1+M28)/(1+M26))^M27)/(M26-M28),0),0)</f>
        <v>0</v>
      </c>
      <c r="K26" s="324" t="s">
        <v>753</v>
      </c>
      <c r="L26" s="302" t="s">
        <v>754</v>
      </c>
      <c r="M26" s="312">
        <f ca="1">INDIRECT("'数据-取费表'!I"&amp;$G$1)</f>
        <v>0</v>
      </c>
    </row>
    <row r="27" spans="1:37" ht="18" customHeight="1">
      <c r="A27" s="982" t="s">
        <v>399</v>
      </c>
      <c r="B27" s="302" t="s">
        <v>755</v>
      </c>
      <c r="C27" s="21">
        <f ca="1">ROUND(F21*F26,4)</f>
        <v>0</v>
      </c>
      <c r="D27" s="323" t="s">
        <v>756</v>
      </c>
      <c r="E27" s="320"/>
      <c r="F27" s="321"/>
      <c r="G27" s="1384"/>
      <c r="H27" s="304"/>
      <c r="I27" s="305"/>
      <c r="J27" s="306"/>
      <c r="K27" s="332" t="s">
        <v>757</v>
      </c>
      <c r="L27" s="302" t="s">
        <v>758</v>
      </c>
      <c r="M27" s="333">
        <f ca="1">INDIRECT("'数据-取费表'!ag"&amp;$G$1)</f>
        <v>0</v>
      </c>
    </row>
    <row r="28" spans="1:37" s="1397" customFormat="1" ht="18" customHeight="1">
      <c r="A28" s="982" t="s">
        <v>400</v>
      </c>
      <c r="B28" s="302" t="s">
        <v>759</v>
      </c>
      <c r="C28" s="21">
        <f>ROUND(F28/(1+'数据-取费表'!C42),4)</f>
        <v>5.33E-2</v>
      </c>
      <c r="D28" s="323" t="s">
        <v>760</v>
      </c>
      <c r="E28" s="302" t="s">
        <v>707</v>
      </c>
      <c r="F28" s="322">
        <f>'数据-取费表'!B41</f>
        <v>5.6000000000000001E-2</v>
      </c>
      <c r="G28" s="1396"/>
      <c r="H28" s="308"/>
      <c r="I28" s="309"/>
      <c r="J28" s="310"/>
      <c r="K28" s="327"/>
      <c r="L28" s="302" t="s">
        <v>761</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762</v>
      </c>
      <c r="C29" s="1091">
        <f ca="1">ROUND((C19+C20+C23+C26)/(1-F21-C24-C27-C28),0)</f>
        <v>0</v>
      </c>
      <c r="D29" s="1092"/>
      <c r="E29" s="1090"/>
      <c r="F29" s="1093"/>
      <c r="G29" s="1396"/>
      <c r="H29" s="334" t="s">
        <v>396</v>
      </c>
      <c r="I29" s="335" t="s">
        <v>763</v>
      </c>
      <c r="J29" s="336">
        <f ca="1">ROUND(J26/(1+F40)^F41,0)</f>
        <v>0</v>
      </c>
      <c r="K29" s="337" t="s">
        <v>764</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709</v>
      </c>
      <c r="C30" s="310">
        <f ca="1">ROUND(C31+C36+C37+C38,0)</f>
        <v>0</v>
      </c>
      <c r="D30" s="1087" t="s">
        <v>710</v>
      </c>
      <c r="E30" s="1088"/>
      <c r="F30" s="1072"/>
      <c r="G30" s="1384"/>
      <c r="H30" s="2694"/>
      <c r="I30" s="1398"/>
      <c r="J30" s="1399"/>
      <c r="K30" s="2472"/>
      <c r="L30" s="2695"/>
      <c r="M30" s="2696"/>
    </row>
    <row r="31" spans="1:37" ht="18" customHeight="1">
      <c r="A31" s="982" t="s">
        <v>398</v>
      </c>
      <c r="B31" s="302" t="s">
        <v>714</v>
      </c>
      <c r="C31" s="2315">
        <f ca="1">ROUND(IF(AND(项目基本情况!B11="自然人",项目基本情况!B10="北京市"),C6*F31/(1+'数据-取费表'!C42),C32+C33+C34),0)</f>
        <v>0</v>
      </c>
      <c r="D31" s="1345" t="s">
        <v>715</v>
      </c>
      <c r="E31" s="1344" t="s">
        <v>765</v>
      </c>
      <c r="F31" s="2314" t="str">
        <f>IF(项目基本情况!B11="企业","——",IF(M47="住宅",IF(F6*F7*F8/12/(1+'数据-取费表'!F30)&gt;100000,4%,2.5%),IF(F6*F7*F8/12/(1+'数据-取费表'!F30)&gt;100000,12%,7%)))</f>
        <v>——</v>
      </c>
      <c r="G31" s="1384"/>
      <c r="H31" s="2805" t="s">
        <v>2296</v>
      </c>
      <c r="I31" s="1398"/>
      <c r="J31" s="1399"/>
      <c r="K31" s="2472"/>
      <c r="L31" s="2695"/>
      <c r="M31" s="2696"/>
    </row>
    <row r="32" spans="1:37" ht="18" customHeight="1">
      <c r="A32" s="982" t="s">
        <v>397</v>
      </c>
      <c r="B32" s="302" t="s">
        <v>718</v>
      </c>
      <c r="C32" s="21">
        <f ca="1">IF(项目基本情况!B11="自然人","——",ROUND(C6*F32/(1+'数据-取费表'!C42),0))</f>
        <v>0</v>
      </c>
      <c r="D32" s="1344" t="s">
        <v>719</v>
      </c>
      <c r="E32" s="302" t="s">
        <v>707</v>
      </c>
      <c r="F32" s="331">
        <f>'数据-取费表'!B41</f>
        <v>5.6000000000000001E-2</v>
      </c>
      <c r="G32" s="1384"/>
      <c r="H32" s="2694"/>
      <c r="I32" s="1398"/>
      <c r="J32" s="1399"/>
      <c r="K32" s="2472"/>
      <c r="L32" s="2695"/>
      <c r="M32" s="2696"/>
    </row>
    <row r="33" spans="1:18" ht="18" customHeight="1">
      <c r="A33" s="982" t="s">
        <v>399</v>
      </c>
      <c r="B33" s="302" t="s">
        <v>722</v>
      </c>
      <c r="C33" s="21">
        <f ca="1">IF(项目基本情况!B11="自然人","——",IF(D33="按租金收入计税",ROUND(C6*F33/(1+'数据-取费表'!C42),0),IF(D33="按房产原值计税",ROUND(C29*F33*0.7,0),INDIRECT("'数据-取费表'!Aj"&amp;$G$1))))</f>
        <v>0</v>
      </c>
      <c r="D33" s="1370" t="s">
        <v>3324</v>
      </c>
      <c r="E33" s="302" t="s">
        <v>707</v>
      </c>
      <c r="F33" s="322">
        <f>IF(D33="按票据","——",IF(D33="按租金收入计税",'数据-取费表'!B51,'数据-取费表'!B50))</f>
        <v>0.12</v>
      </c>
      <c r="G33" s="1384"/>
      <c r="H33" s="2697"/>
      <c r="I33" s="1398"/>
      <c r="J33" s="1399"/>
      <c r="K33" s="2698"/>
      <c r="L33" s="2697"/>
      <c r="M33" s="2697"/>
    </row>
    <row r="34" spans="1:18" ht="18" customHeight="1">
      <c r="A34" s="1069" t="s">
        <v>675</v>
      </c>
      <c r="B34" s="155" t="s">
        <v>725</v>
      </c>
      <c r="C34" s="22">
        <f ca="1">IF(项目基本情况!B11="自然人","——",ROUND(F34*F35,0))</f>
        <v>0</v>
      </c>
      <c r="D34" s="324" t="s">
        <v>726</v>
      </c>
      <c r="E34" s="302" t="s">
        <v>727</v>
      </c>
      <c r="F34" s="325">
        <f>'数据-取费表'!B52</f>
        <v>0</v>
      </c>
      <c r="G34" s="1384"/>
      <c r="H34" s="2694"/>
      <c r="I34" s="1398"/>
      <c r="J34" s="1399"/>
      <c r="K34" s="2699"/>
      <c r="L34" s="2700"/>
      <c r="M34" s="2700"/>
    </row>
    <row r="35" spans="1:18" ht="18" customHeight="1">
      <c r="A35" s="1103"/>
      <c r="B35" s="1101"/>
      <c r="C35" s="26"/>
      <c r="D35" s="327"/>
      <c r="E35" s="302" t="s">
        <v>731</v>
      </c>
      <c r="F35" s="303">
        <f ca="1">INDIRECT("'数据-取费表'!r"&amp;$G$1)</f>
        <v>0</v>
      </c>
      <c r="G35" s="1384"/>
      <c r="H35" s="2694"/>
      <c r="I35" s="1398"/>
      <c r="J35" s="1399"/>
      <c r="K35" s="2698"/>
      <c r="L35" s="2697"/>
      <c r="M35" s="2697"/>
    </row>
    <row r="36" spans="1:18" ht="18" customHeight="1">
      <c r="A36" s="1102" t="s">
        <v>402</v>
      </c>
      <c r="B36" s="302" t="s">
        <v>733</v>
      </c>
      <c r="C36" s="21">
        <f ca="1">ROUND(C29*F36,0)</f>
        <v>0</v>
      </c>
      <c r="D36" s="1344" t="s">
        <v>766</v>
      </c>
      <c r="E36" s="302" t="s">
        <v>707</v>
      </c>
      <c r="F36" s="328">
        <f ca="1">INDIRECT("'数据-取费表'!Ak"&amp;$G$1)</f>
        <v>0</v>
      </c>
      <c r="G36" s="1384"/>
      <c r="H36" s="2697"/>
      <c r="I36" s="1398"/>
      <c r="J36" s="1399"/>
      <c r="K36" s="2541"/>
      <c r="L36" s="2697"/>
      <c r="M36" s="2697"/>
    </row>
    <row r="37" spans="1:18" ht="18" customHeight="1">
      <c r="A37" s="982" t="s">
        <v>437</v>
      </c>
      <c r="B37" s="302" t="s">
        <v>737</v>
      </c>
      <c r="C37" s="21">
        <f ca="1">ROUND(C13*F37,0)</f>
        <v>0</v>
      </c>
      <c r="D37" s="1344" t="s">
        <v>738</v>
      </c>
      <c r="E37" s="302" t="s">
        <v>739</v>
      </c>
      <c r="F37" s="330">
        <f ca="1">INDIRECT("'数据-取费表'!Al"&amp;$G$1)</f>
        <v>0</v>
      </c>
      <c r="G37" s="1384"/>
      <c r="H37" s="2697"/>
      <c r="I37" s="1398"/>
      <c r="J37" s="1399"/>
      <c r="K37" s="2541"/>
      <c r="L37" s="2697"/>
      <c r="M37" s="2697"/>
    </row>
    <row r="38" spans="1:18" ht="18" customHeight="1" thickBot="1">
      <c r="A38" s="1089" t="s">
        <v>679</v>
      </c>
      <c r="B38" s="1090" t="s">
        <v>723</v>
      </c>
      <c r="C38" s="1091">
        <f ca="1">ROUND(C5*F38,0)</f>
        <v>0</v>
      </c>
      <c r="D38" s="1092" t="s">
        <v>743</v>
      </c>
      <c r="E38" s="1090" t="s">
        <v>739</v>
      </c>
      <c r="F38" s="1086">
        <f ca="1">INDIRECT("'数据-取费表'!Am"&amp;$G$1)</f>
        <v>0</v>
      </c>
      <c r="G38" s="1384"/>
      <c r="H38" s="2697"/>
      <c r="I38" s="1398"/>
      <c r="J38" s="1399"/>
      <c r="K38" s="2701"/>
      <c r="L38" s="2697"/>
      <c r="M38" s="2697"/>
    </row>
    <row r="39" spans="1:18" ht="24.6" customHeight="1" thickTop="1">
      <c r="A39" s="1079" t="s">
        <v>394</v>
      </c>
      <c r="B39" s="1094" t="s">
        <v>767</v>
      </c>
      <c r="C39" s="310">
        <f ca="1">C5-C30</f>
        <v>0</v>
      </c>
      <c r="D39" s="1095" t="s">
        <v>768</v>
      </c>
      <c r="E39" s="1096"/>
      <c r="F39" s="1097"/>
      <c r="G39" s="1384"/>
      <c r="H39" s="2697"/>
      <c r="I39" s="1398"/>
      <c r="J39" s="1399"/>
      <c r="K39" s="2701"/>
      <c r="L39" s="2697"/>
      <c r="M39" s="2697"/>
    </row>
    <row r="40" spans="1:18" ht="18" customHeight="1">
      <c r="A40" s="299" t="s">
        <v>395</v>
      </c>
      <c r="B40" s="300" t="s">
        <v>769</v>
      </c>
      <c r="C40" s="301" t="e">
        <f ca="1">ROUND(C39*(1-((1+F42)/(1+F40))^F41)/(F40-F42),0)</f>
        <v>#DIV/0!</v>
      </c>
      <c r="D40" s="324" t="s">
        <v>753</v>
      </c>
      <c r="E40" s="302" t="s">
        <v>754</v>
      </c>
      <c r="F40" s="312">
        <f ca="1">INDIRECT("'数据-取费表'!I"&amp;$G$1)</f>
        <v>0</v>
      </c>
      <c r="G40" s="1384"/>
      <c r="H40" s="1461"/>
      <c r="I40" s="1398"/>
      <c r="J40" s="1399"/>
      <c r="K40" s="2701"/>
      <c r="L40" s="1461"/>
      <c r="M40" s="1461"/>
    </row>
    <row r="41" spans="1:18" ht="18" customHeight="1">
      <c r="A41" s="304"/>
      <c r="B41" s="305"/>
      <c r="C41" s="306"/>
      <c r="D41" s="332" t="s">
        <v>770</v>
      </c>
      <c r="E41" s="302" t="s">
        <v>758</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761</v>
      </c>
      <c r="F42" s="312">
        <f ca="1">INDIRECT("'数据-取费表'!v"&amp;$G$1)</f>
        <v>0</v>
      </c>
      <c r="G42" s="1384"/>
      <c r="H42" s="1191"/>
      <c r="I42" s="1398"/>
      <c r="J42" s="1399"/>
      <c r="K42" s="2541"/>
      <c r="L42" s="1191"/>
      <c r="M42" s="1191"/>
    </row>
    <row r="43" spans="1:18" ht="18" customHeight="1" thickBot="1">
      <c r="A43" s="334" t="s">
        <v>396</v>
      </c>
      <c r="B43" s="335" t="s">
        <v>771</v>
      </c>
      <c r="C43" s="336" t="e">
        <f ca="1">ROUND(C40/F43,0)</f>
        <v>#DIV/0!</v>
      </c>
      <c r="D43" s="337" t="s">
        <v>772</v>
      </c>
      <c r="E43" s="338" t="s">
        <v>773</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6" t="s">
        <v>3340</v>
      </c>
      <c r="B45" s="1400"/>
      <c r="C45" s="1472" t="e">
        <f ca="1">ROUND((C68-C40)/10000,4)</f>
        <v>#DIV/0!</v>
      </c>
      <c r="D45" s="3427" t="s">
        <v>3341</v>
      </c>
      <c r="E45" s="1400"/>
      <c r="F45" s="1400"/>
      <c r="O45" s="1403" t="s">
        <v>803</v>
      </c>
      <c r="P45" s="1461"/>
      <c r="Q45" s="1461"/>
      <c r="R45" s="1461"/>
    </row>
    <row r="46" spans="1:18" s="1384" customFormat="1" ht="13.5" thickBot="1">
      <c r="A46" s="1404" t="s">
        <v>804</v>
      </c>
      <c r="C46" s="1405" t="e">
        <f ca="1">ROUND(C45,0)</f>
        <v>#DIV/0!</v>
      </c>
      <c r="D46" s="1406" t="str">
        <f>C2</f>
        <v>万元</v>
      </c>
      <c r="I46" s="1407" t="s">
        <v>805</v>
      </c>
      <c r="J46" s="1408"/>
      <c r="K46" s="1409"/>
      <c r="L46" s="1410" t="e">
        <f ca="1">IF(M47="住宅",0,IF(L48&gt;J51,L60,J60))</f>
        <v>#DIV/0!</v>
      </c>
      <c r="O46" s="1411" t="s">
        <v>806</v>
      </c>
      <c r="P46" s="1412" t="s">
        <v>807</v>
      </c>
      <c r="Q46" s="1413" t="s">
        <v>808</v>
      </c>
      <c r="R46" s="1413" t="s">
        <v>809</v>
      </c>
    </row>
    <row r="47" spans="1:18" s="1384" customFormat="1" ht="13.5" thickBot="1">
      <c r="A47" s="946" t="s">
        <v>682</v>
      </c>
      <c r="B47" s="978" t="s">
        <v>683</v>
      </c>
      <c r="C47" s="978" t="s">
        <v>684</v>
      </c>
      <c r="D47" s="978" t="s">
        <v>685</v>
      </c>
      <c r="E47" s="1058" t="s">
        <v>686</v>
      </c>
      <c r="F47" s="1059"/>
      <c r="G47" s="722"/>
      <c r="I47" s="1414" t="s">
        <v>810</v>
      </c>
      <c r="J47" s="1415"/>
      <c r="K47" s="1416" t="s">
        <v>811</v>
      </c>
      <c r="L47" s="1417">
        <f ca="1">INDIRECT("'数据-取费表'!d"&amp;$G$1)</f>
        <v>0</v>
      </c>
      <c r="M47" s="1380" t="str">
        <f>IF(ISNUMBER(FIND("住宅",C1)),"住宅","非住宅")</f>
        <v>非住宅</v>
      </c>
      <c r="O47" s="1418" t="s">
        <v>403</v>
      </c>
      <c r="P47" s="1419" t="s">
        <v>812</v>
      </c>
      <c r="Q47" s="1420" t="e">
        <f ca="1">C40+J29</f>
        <v>#DIV/0!</v>
      </c>
      <c r="R47" s="1420" t="s">
        <v>813</v>
      </c>
    </row>
    <row r="48" spans="1:18" s="1384" customFormat="1" ht="28.5" thickBot="1">
      <c r="A48" s="1110" t="s">
        <v>438</v>
      </c>
      <c r="B48" s="300" t="s">
        <v>687</v>
      </c>
      <c r="C48" s="1359">
        <f ca="1">C49+C53+C55</f>
        <v>0</v>
      </c>
      <c r="D48" s="1112"/>
      <c r="E48" s="1113"/>
      <c r="F48" s="962"/>
      <c r="G48" s="722"/>
      <c r="H48" s="723"/>
      <c r="I48" s="1421" t="s">
        <v>814</v>
      </c>
      <c r="J48" s="1422"/>
      <c r="K48" s="1423" t="s">
        <v>815</v>
      </c>
      <c r="L48" s="1424">
        <f ca="1">INDIRECT("'数据-取费表'!f"&amp;$G$1)</f>
        <v>0</v>
      </c>
      <c r="O48" s="1418" t="s">
        <v>404</v>
      </c>
      <c r="P48" s="1419" t="s">
        <v>816</v>
      </c>
      <c r="Q48" s="1420" t="e">
        <f ca="1">J60</f>
        <v>#DIV/0!</v>
      </c>
      <c r="R48" s="1420" t="s">
        <v>817</v>
      </c>
    </row>
    <row r="49" spans="1:18" s="1384" customFormat="1" ht="13.5" thickBot="1">
      <c r="A49" s="975" t="s">
        <v>439</v>
      </c>
      <c r="B49" s="1371" t="s">
        <v>774</v>
      </c>
      <c r="C49" s="1114">
        <f ca="1">ROUND(F49*F51*F50*(1-F52),0)</f>
        <v>0</v>
      </c>
      <c r="D49" s="1055" t="s">
        <v>690</v>
      </c>
      <c r="E49" s="1372" t="s">
        <v>775</v>
      </c>
      <c r="F49" s="1060"/>
      <c r="G49" s="1425"/>
      <c r="H49" s="723"/>
      <c r="I49" s="1421" t="s">
        <v>818</v>
      </c>
      <c r="J49" s="1426"/>
      <c r="K49" s="1423" t="s">
        <v>819</v>
      </c>
      <c r="L49" s="1427"/>
      <c r="O49" s="1428" t="s">
        <v>405</v>
      </c>
      <c r="P49" s="1419" t="s">
        <v>820</v>
      </c>
      <c r="Q49" s="1420">
        <f ca="1">C29</f>
        <v>0</v>
      </c>
      <c r="R49" s="1420" t="s">
        <v>813</v>
      </c>
    </row>
    <row r="50" spans="1:18" s="1384" customFormat="1" ht="13.5" thickBot="1">
      <c r="A50" s="976"/>
      <c r="B50" s="979"/>
      <c r="C50" s="980"/>
      <c r="D50" s="953"/>
      <c r="E50" s="1056" t="s">
        <v>692</v>
      </c>
      <c r="F50" s="1057">
        <f ca="1">F7</f>
        <v>0</v>
      </c>
      <c r="H50" s="723"/>
      <c r="I50" s="1421" t="s">
        <v>821</v>
      </c>
      <c r="J50" s="1429">
        <f>SUMPRODUCT((I63:I65=J47)*(J62:L62=J48)*(J63:L65))</f>
        <v>0</v>
      </c>
      <c r="K50" s="1423" t="s">
        <v>822</v>
      </c>
      <c r="L50" s="1427"/>
      <c r="M50" s="1430"/>
      <c r="O50" s="1428" t="s">
        <v>406</v>
      </c>
      <c r="P50" s="1419" t="s">
        <v>823</v>
      </c>
      <c r="Q50" s="1431" t="e">
        <f ca="1">J58</f>
        <v>#DIV/0!</v>
      </c>
      <c r="R50" s="1420"/>
    </row>
    <row r="51" spans="1:18" s="1384" customFormat="1" ht="13.5" thickBot="1">
      <c r="A51" s="977"/>
      <c r="B51" s="979"/>
      <c r="C51" s="980"/>
      <c r="D51" s="953"/>
      <c r="E51" s="981" t="s">
        <v>693</v>
      </c>
      <c r="F51" s="303">
        <f ca="1">F8</f>
        <v>0</v>
      </c>
      <c r="I51" s="1432" t="s">
        <v>824</v>
      </c>
      <c r="J51" s="1433">
        <f>IF(J49="",J50,J49+J50-YEAR('数据-取费表'!B2))</f>
        <v>0</v>
      </c>
      <c r="K51" s="1434" t="s">
        <v>825</v>
      </c>
      <c r="L51" s="1435">
        <f ca="1">ROUND(-PV(INDIRECT("'数据-取费表'!h"&amp;$G$1),J51,(C39-C13*C76),0),0)</f>
        <v>0</v>
      </c>
      <c r="M51" s="1436"/>
      <c r="O51" s="1428" t="s">
        <v>407</v>
      </c>
      <c r="P51" s="1419" t="s">
        <v>826</v>
      </c>
      <c r="Q51" s="1431">
        <f>J52</f>
        <v>0</v>
      </c>
      <c r="R51" s="1420"/>
    </row>
    <row r="52" spans="1:18" s="1384" customFormat="1" ht="13.5" thickBot="1">
      <c r="A52" s="977"/>
      <c r="B52" s="979"/>
      <c r="C52" s="980"/>
      <c r="D52" s="953"/>
      <c r="E52" s="981" t="s">
        <v>694</v>
      </c>
      <c r="F52" s="1054"/>
      <c r="I52" s="1437" t="s">
        <v>827</v>
      </c>
      <c r="J52" s="1438"/>
      <c r="K52" s="1437" t="s">
        <v>828</v>
      </c>
      <c r="L52" s="1438"/>
      <c r="O52" s="1428" t="s">
        <v>408</v>
      </c>
      <c r="P52" s="1419" t="s">
        <v>829</v>
      </c>
      <c r="Q52" s="1420">
        <f ca="1">J53</f>
        <v>0</v>
      </c>
      <c r="R52" s="1420" t="s">
        <v>830</v>
      </c>
    </row>
    <row r="53" spans="1:18" s="1384" customFormat="1" ht="30.75" customHeight="1" thickBot="1">
      <c r="A53" s="1111" t="s">
        <v>440</v>
      </c>
      <c r="B53" s="323" t="s">
        <v>695</v>
      </c>
      <c r="C53" s="316">
        <f ca="1">ROUND(IF(F53="押一",C49/12*F11,IF(F53="押二",C49/12*2*F11,IF(F53="押三",C49/12*3*F11,C54*F11))),0)</f>
        <v>0</v>
      </c>
      <c r="D53" s="1366" t="s">
        <v>2112</v>
      </c>
      <c r="E53" s="313" t="s">
        <v>696</v>
      </c>
      <c r="F53" s="1116"/>
      <c r="I53" s="1439" t="s">
        <v>831</v>
      </c>
      <c r="J53" s="2167">
        <f ca="1">IF(M47="住宅",IF(D1="——",MAX(J51,L48),MAX(J51,L48-'数据-取费表'!B24)),IF(D1="——",MIN(J51,L48),MIN(J51,L48-'数据-取费表'!B24)))</f>
        <v>0</v>
      </c>
      <c r="K53" s="3729" t="s">
        <v>832</v>
      </c>
      <c r="L53" s="3730"/>
      <c r="O53" s="1418" t="s">
        <v>409</v>
      </c>
      <c r="P53" s="1419" t="s">
        <v>833</v>
      </c>
      <c r="Q53" s="1420" t="e">
        <f ca="1">Q47+Q48</f>
        <v>#DIV/0!</v>
      </c>
      <c r="R53" s="1420" t="s">
        <v>410</v>
      </c>
    </row>
    <row r="54" spans="1:18" s="1384" customFormat="1" ht="13.5" thickBot="1">
      <c r="A54" s="975"/>
      <c r="B54" s="1473" t="s">
        <v>886</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834</v>
      </c>
      <c r="P54" s="1381"/>
      <c r="Q54" s="1381"/>
      <c r="R54" s="1381"/>
    </row>
    <row r="55" spans="1:18" s="1384" customFormat="1" ht="13.5" thickBot="1">
      <c r="A55" s="1083" t="s">
        <v>437</v>
      </c>
      <c r="B55" s="1369" t="s">
        <v>698</v>
      </c>
      <c r="C55" s="1084"/>
      <c r="D55" s="1366"/>
      <c r="E55" s="1374"/>
      <c r="F55" s="1440"/>
      <c r="I55" s="1443" t="s">
        <v>835</v>
      </c>
      <c r="J55" s="1444" t="e">
        <f ca="1">ROUND(IF(J47="钢混",J57/J50,1-(1-2%)*(J50-J57)/J50),3)</f>
        <v>#DIV/0!</v>
      </c>
      <c r="K55" s="1445" t="s">
        <v>836</v>
      </c>
      <c r="L55" s="1446"/>
      <c r="O55" s="1411" t="s">
        <v>806</v>
      </c>
      <c r="P55" s="1412" t="s">
        <v>807</v>
      </c>
      <c r="Q55" s="1413" t="s">
        <v>808</v>
      </c>
      <c r="R55" s="1413" t="s">
        <v>809</v>
      </c>
    </row>
    <row r="56" spans="1:18" s="1384" customFormat="1" ht="36" customHeight="1" thickTop="1" thickBot="1">
      <c r="A56" s="957">
        <v>2</v>
      </c>
      <c r="B56" s="958" t="s">
        <v>699</v>
      </c>
      <c r="C56" s="232">
        <f ca="1">C13</f>
        <v>0</v>
      </c>
      <c r="D56" s="1447"/>
      <c r="E56" s="1448"/>
      <c r="F56" s="1440"/>
      <c r="I56" s="1449" t="s">
        <v>837</v>
      </c>
      <c r="J56" s="1450"/>
      <c r="K56" s="1421" t="s">
        <v>838</v>
      </c>
      <c r="L56" s="1424">
        <f ca="1">IF(L48&lt;J51,"——",L48-J51)</f>
        <v>0</v>
      </c>
      <c r="O56" s="1418" t="s">
        <v>403</v>
      </c>
      <c r="P56" s="1419" t="s">
        <v>812</v>
      </c>
      <c r="Q56" s="1420" t="e">
        <f ca="1">C40+J29</f>
        <v>#DIV/0!</v>
      </c>
      <c r="R56" s="1420" t="s">
        <v>813</v>
      </c>
    </row>
    <row r="57" spans="1:18" s="1384" customFormat="1" ht="24.75" thickBot="1">
      <c r="A57" s="1451"/>
      <c r="B57" s="950" t="s">
        <v>762</v>
      </c>
      <c r="C57" s="238">
        <f ca="1">C29</f>
        <v>0</v>
      </c>
      <c r="D57" s="1452"/>
      <c r="E57" s="1453"/>
      <c r="F57" s="1454"/>
      <c r="I57" s="1455" t="s">
        <v>839</v>
      </c>
      <c r="J57" s="1456">
        <f ca="1">IF(OR(M47="住宅",J51&lt;L48,J56="是"),"——",J51-L48)</f>
        <v>0</v>
      </c>
      <c r="K57" s="1421" t="s">
        <v>887</v>
      </c>
      <c r="L57" s="1424">
        <f ca="1">IF(L48&lt;J51,"——",IF(L55="比较法",L49,IF(L55="基准地价",L50,L51)))</f>
        <v>0</v>
      </c>
      <c r="O57" s="1418" t="s">
        <v>404</v>
      </c>
      <c r="P57" s="1419" t="s">
        <v>888</v>
      </c>
      <c r="Q57" s="1420" t="e">
        <f ca="1">L60</f>
        <v>#DIV/0!</v>
      </c>
      <c r="R57" s="1420" t="s">
        <v>889</v>
      </c>
    </row>
    <row r="58" spans="1:18" s="1384" customFormat="1" ht="24.75" thickBot="1">
      <c r="A58" s="315" t="s">
        <v>393</v>
      </c>
      <c r="B58" s="958" t="s">
        <v>709</v>
      </c>
      <c r="C58" s="316">
        <f ca="1">ROUND(C59+C64+C65+C66,0)</f>
        <v>0</v>
      </c>
      <c r="D58" s="960" t="s">
        <v>710</v>
      </c>
      <c r="E58" s="961"/>
      <c r="F58" s="962"/>
      <c r="I58" s="1455" t="s">
        <v>843</v>
      </c>
      <c r="J58" s="1457" t="e">
        <f ca="1">IF(J55&lt;0.4,0.4,J55)</f>
        <v>#DIV/0!</v>
      </c>
      <c r="K58" s="1434" t="s">
        <v>890</v>
      </c>
      <c r="L58" s="1424" t="e">
        <f ca="1">ROUND(POWER(1+L52,L47-L48)*(POWER(1+L52,L48)-1)/(POWER(1+L52,L47)-1),4)</f>
        <v>#DIV/0!</v>
      </c>
      <c r="O58" s="1428" t="s">
        <v>405</v>
      </c>
      <c r="P58" s="1419" t="s">
        <v>845</v>
      </c>
      <c r="Q58" s="1420">
        <f>IF(L55="比较法",L49,IF(L55="基准地价",L50,0))</f>
        <v>0</v>
      </c>
      <c r="R58" s="1420" t="s">
        <v>813</v>
      </c>
    </row>
    <row r="59" spans="1:18" s="1384" customFormat="1" ht="24.75" thickBot="1">
      <c r="A59" s="982" t="s">
        <v>398</v>
      </c>
      <c r="B59" s="950" t="s">
        <v>714</v>
      </c>
      <c r="C59" s="2315">
        <f ca="1">ROUND(IF(AND(项目基本情况!B11="自然人",项目基本情况!B10="北京市"),C49*F59/(1+'数据-取费表'!C42),C60+C61+C62),0)</f>
        <v>0</v>
      </c>
      <c r="D59" s="963" t="s">
        <v>715</v>
      </c>
      <c r="E59" s="964" t="s">
        <v>716</v>
      </c>
      <c r="F59" s="2314" t="str">
        <f>IF(项目基本情况!B11="企业","——",IF('数据-取费表'!B10="住宅",IF(F49*F50*F51/12/(1+'数据-取费表'!F30)&gt;100000,4%,2.5%),IF(F49*F50*F51/12/(1+'数据-取费表'!F30)&gt;100000,12%,7%)))</f>
        <v>——</v>
      </c>
      <c r="I59" s="1455" t="s">
        <v>846</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847</v>
      </c>
      <c r="Q59" s="1431">
        <f>L52</f>
        <v>0</v>
      </c>
      <c r="R59" s="1420"/>
    </row>
    <row r="60" spans="1:18" s="1384" customFormat="1" ht="16.5" thickBot="1">
      <c r="A60" s="982" t="s">
        <v>397</v>
      </c>
      <c r="B60" s="950" t="s">
        <v>718</v>
      </c>
      <c r="C60" s="21">
        <f ca="1">IF(项目基本情况!B11="自然人","——",ROUND(C48*F60/(1+'数据-取费表'!C42),0))</f>
        <v>0</v>
      </c>
      <c r="D60" s="964" t="s">
        <v>719</v>
      </c>
      <c r="E60" s="950" t="s">
        <v>707</v>
      </c>
      <c r="F60" s="331">
        <f t="shared" ref="F60:F66" si="0">F32</f>
        <v>5.6000000000000001E-2</v>
      </c>
      <c r="I60" s="1458" t="s">
        <v>848</v>
      </c>
      <c r="J60" s="1459" t="e">
        <f ca="1">IF(OR(M47="住宅",J51&lt;L48,J56="是"),"0",ROUND(J59/(1+J52)^J53,0))</f>
        <v>#DIV/0!</v>
      </c>
      <c r="K60" s="1460" t="s">
        <v>849</v>
      </c>
      <c r="L60" s="1459" t="e">
        <f ca="1">IF(OR(M47="住宅",L48&lt;J51),0,ROUND(L57*(L58/L59-1),0))</f>
        <v>#DIV/0!</v>
      </c>
      <c r="O60" s="1428" t="s">
        <v>407</v>
      </c>
      <c r="P60" s="1419" t="s">
        <v>850</v>
      </c>
      <c r="Q60" s="1420" t="e">
        <f ca="1">L58</f>
        <v>#DIV/0!</v>
      </c>
      <c r="R60" s="1420" t="s">
        <v>851</v>
      </c>
    </row>
    <row r="61" spans="1:18" s="1384" customFormat="1" ht="13.5" thickBot="1">
      <c r="A61" s="982" t="s">
        <v>776</v>
      </c>
      <c r="B61" s="950" t="s">
        <v>777</v>
      </c>
      <c r="C61" s="21">
        <f ca="1">IF(项目基本情况!B11="自然人","——",IF(D61="按租金收入计税",ROUND(C49*F61/(1+'数据-取费表'!C42),0),IF(D61="按房产原值计税",ROUND(C57*F61*0.7,0),INDIRECT("'数据-取费表'!Aj"&amp;$G$1))))</f>
        <v>0</v>
      </c>
      <c r="D61" s="1370" t="s">
        <v>3324</v>
      </c>
      <c r="E61" s="950" t="s">
        <v>778</v>
      </c>
      <c r="F61" s="322">
        <f t="shared" si="0"/>
        <v>0.12</v>
      </c>
      <c r="I61" s="1461"/>
      <c r="J61" s="1461"/>
      <c r="K61" s="1461"/>
      <c r="L61" s="1461"/>
      <c r="O61" s="1428" t="s">
        <v>408</v>
      </c>
      <c r="P61" s="1419" t="str">
        <f>K59</f>
        <v>建筑物剩余耐用年限下的土地年期修正系数Kn</v>
      </c>
      <c r="Q61" s="1420" t="e">
        <f ca="1">L59</f>
        <v>#DIV/0!</v>
      </c>
      <c r="R61" s="1420" t="s">
        <v>852</v>
      </c>
    </row>
    <row r="62" spans="1:18" s="1384" customFormat="1" ht="13.5" thickBot="1">
      <c r="A62" s="982" t="s">
        <v>779</v>
      </c>
      <c r="B62" s="949" t="s">
        <v>780</v>
      </c>
      <c r="C62" s="22">
        <f ca="1">IF(项目基本情况!B11="自然人","——",ROUND(F62*F63,0))</f>
        <v>0</v>
      </c>
      <c r="D62" s="965" t="s">
        <v>781</v>
      </c>
      <c r="E62" s="950" t="s">
        <v>782</v>
      </c>
      <c r="F62" s="325">
        <f t="shared" si="0"/>
        <v>0</v>
      </c>
      <c r="I62" s="1462" t="s">
        <v>853</v>
      </c>
      <c r="J62" s="1463" t="s">
        <v>854</v>
      </c>
      <c r="K62" s="1463" t="s">
        <v>855</v>
      </c>
      <c r="L62" s="1463" t="s">
        <v>856</v>
      </c>
      <c r="M62" s="1464" t="s">
        <v>857</v>
      </c>
      <c r="O62" s="1418" t="s">
        <v>409</v>
      </c>
      <c r="P62" s="1419" t="s">
        <v>858</v>
      </c>
      <c r="Q62" s="1420" t="e">
        <f ca="1">Q56+Q57</f>
        <v>#DIV/0!</v>
      </c>
      <c r="R62" s="1420" t="s">
        <v>410</v>
      </c>
    </row>
    <row r="63" spans="1:18" s="1384" customFormat="1" ht="13.5" thickBot="1">
      <c r="A63" s="326"/>
      <c r="B63" s="956"/>
      <c r="C63" s="26"/>
      <c r="D63" s="966"/>
      <c r="E63" s="950" t="s">
        <v>783</v>
      </c>
      <c r="F63" s="303">
        <f t="shared" ca="1" si="0"/>
        <v>0</v>
      </c>
      <c r="I63" s="1462" t="s">
        <v>859</v>
      </c>
      <c r="J63" s="1463">
        <v>70</v>
      </c>
      <c r="K63" s="1463">
        <v>50</v>
      </c>
      <c r="L63" s="1463">
        <v>80</v>
      </c>
      <c r="M63" s="1465">
        <v>0.02</v>
      </c>
      <c r="O63" s="1403" t="s">
        <v>860</v>
      </c>
      <c r="P63" s="1381"/>
      <c r="Q63" s="1381"/>
      <c r="R63" s="1381"/>
    </row>
    <row r="64" spans="1:18" s="1384" customFormat="1" ht="13.5" thickBot="1">
      <c r="A64" s="982" t="s">
        <v>784</v>
      </c>
      <c r="B64" s="950" t="s">
        <v>785</v>
      </c>
      <c r="C64" s="21">
        <f ca="1">ROUND(C57*F64,0)</f>
        <v>0</v>
      </c>
      <c r="D64" s="964" t="s">
        <v>786</v>
      </c>
      <c r="E64" s="950" t="s">
        <v>778</v>
      </c>
      <c r="F64" s="328">
        <f t="shared" ca="1" si="0"/>
        <v>0</v>
      </c>
      <c r="I64" s="1462" t="s">
        <v>861</v>
      </c>
      <c r="J64" s="1463">
        <v>50</v>
      </c>
      <c r="K64" s="1463">
        <v>35</v>
      </c>
      <c r="L64" s="1463">
        <v>60</v>
      </c>
      <c r="M64" s="1464">
        <v>0</v>
      </c>
      <c r="O64" s="1411" t="s">
        <v>806</v>
      </c>
      <c r="P64" s="1412" t="s">
        <v>807</v>
      </c>
      <c r="Q64" s="1413" t="s">
        <v>808</v>
      </c>
      <c r="R64" s="1413" t="s">
        <v>809</v>
      </c>
    </row>
    <row r="65" spans="1:18" s="1384" customFormat="1" ht="13.5" thickBot="1">
      <c r="A65" s="982" t="s">
        <v>787</v>
      </c>
      <c r="B65" s="950" t="s">
        <v>737</v>
      </c>
      <c r="C65" s="21">
        <f ca="1">ROUND(C56*F65,0)</f>
        <v>0</v>
      </c>
      <c r="D65" s="964" t="s">
        <v>738</v>
      </c>
      <c r="E65" s="950" t="s">
        <v>739</v>
      </c>
      <c r="F65" s="330">
        <f t="shared" ca="1" si="0"/>
        <v>0</v>
      </c>
      <c r="I65" s="1462" t="s">
        <v>862</v>
      </c>
      <c r="J65" s="1463">
        <v>40</v>
      </c>
      <c r="K65" s="1463">
        <v>30</v>
      </c>
      <c r="L65" s="1463">
        <v>50</v>
      </c>
      <c r="M65" s="1465">
        <v>0.02</v>
      </c>
      <c r="O65" s="1418" t="s">
        <v>403</v>
      </c>
      <c r="P65" s="1419" t="s">
        <v>863</v>
      </c>
      <c r="Q65" s="1420" t="e">
        <f ca="1">C40+J29</f>
        <v>#DIV/0!</v>
      </c>
      <c r="R65" s="1420" t="s">
        <v>813</v>
      </c>
    </row>
    <row r="66" spans="1:18" s="1384" customFormat="1" ht="16.5" thickBot="1">
      <c r="A66" s="982" t="s">
        <v>788</v>
      </c>
      <c r="B66" s="950" t="s">
        <v>723</v>
      </c>
      <c r="C66" s="21">
        <f ca="1">ROUND(C48*F66,0)</f>
        <v>0</v>
      </c>
      <c r="D66" s="964" t="s">
        <v>789</v>
      </c>
      <c r="E66" s="950" t="s">
        <v>707</v>
      </c>
      <c r="F66" s="312">
        <f t="shared" ca="1" si="0"/>
        <v>0</v>
      </c>
      <c r="O66" s="1418" t="s">
        <v>404</v>
      </c>
      <c r="P66" s="1419" t="s">
        <v>841</v>
      </c>
      <c r="Q66" s="1420" t="e">
        <f ca="1">L60</f>
        <v>#DIV/0!</v>
      </c>
      <c r="R66" s="1420" t="s">
        <v>864</v>
      </c>
    </row>
    <row r="67" spans="1:18" s="1384" customFormat="1" ht="16.5" thickBot="1">
      <c r="A67" s="957" t="s">
        <v>394</v>
      </c>
      <c r="B67" s="967" t="s">
        <v>747</v>
      </c>
      <c r="C67" s="316">
        <f ca="1">C48-C58</f>
        <v>0</v>
      </c>
      <c r="D67" s="963" t="s">
        <v>748</v>
      </c>
      <c r="E67" s="968"/>
      <c r="F67" s="969"/>
      <c r="O67" s="1428" t="s">
        <v>405</v>
      </c>
      <c r="P67" s="1419" t="s">
        <v>845</v>
      </c>
      <c r="Q67" s="1466">
        <f ca="1">L51</f>
        <v>0</v>
      </c>
      <c r="R67" s="1420" t="s">
        <v>865</v>
      </c>
    </row>
    <row r="68" spans="1:18" s="1384" customFormat="1" ht="16.5" thickBot="1">
      <c r="A68" s="947" t="s">
        <v>395</v>
      </c>
      <c r="B68" s="948" t="s">
        <v>769</v>
      </c>
      <c r="C68" s="301" t="e">
        <f ca="1">ROUND(C67*(1-((1+F70)/(1+F68))^F69)/(F68-F70),0)</f>
        <v>#DIV/0!</v>
      </c>
      <c r="D68" s="965" t="s">
        <v>753</v>
      </c>
      <c r="E68" s="950" t="s">
        <v>754</v>
      </c>
      <c r="F68" s="312">
        <f ca="1">F40</f>
        <v>0</v>
      </c>
      <c r="O68" s="1428" t="s">
        <v>406</v>
      </c>
      <c r="P68" s="1467" t="s">
        <v>866</v>
      </c>
      <c r="Q68" s="1420">
        <f ca="1">ROUND(Q69-Q70*Q71,0)</f>
        <v>0</v>
      </c>
      <c r="R68" s="1420" t="s">
        <v>414</v>
      </c>
    </row>
    <row r="69" spans="1:18" s="1384" customFormat="1" ht="13.5" thickBot="1">
      <c r="A69" s="951"/>
      <c r="B69" s="952"/>
      <c r="C69" s="306"/>
      <c r="D69" s="970" t="s">
        <v>757</v>
      </c>
      <c r="E69" s="950" t="s">
        <v>758</v>
      </c>
      <c r="F69" s="333">
        <f ca="1">F41</f>
        <v>0</v>
      </c>
      <c r="O69" s="1428" t="s">
        <v>411</v>
      </c>
      <c r="P69" s="1467" t="s">
        <v>867</v>
      </c>
      <c r="Q69" s="1420">
        <f ca="1">C39</f>
        <v>0</v>
      </c>
      <c r="R69" s="1420" t="s">
        <v>813</v>
      </c>
    </row>
    <row r="70" spans="1:18" s="1384" customFormat="1" ht="13.5" thickBot="1">
      <c r="A70" s="954"/>
      <c r="B70" s="955"/>
      <c r="C70" s="310"/>
      <c r="D70" s="966"/>
      <c r="E70" s="950" t="s">
        <v>761</v>
      </c>
      <c r="F70" s="1054"/>
      <c r="O70" s="1428" t="s">
        <v>412</v>
      </c>
      <c r="P70" s="1467" t="s">
        <v>868</v>
      </c>
      <c r="Q70" s="1420">
        <f ca="1">C13</f>
        <v>0</v>
      </c>
      <c r="R70" s="1420" t="s">
        <v>813</v>
      </c>
    </row>
    <row r="71" spans="1:18" s="1384" customFormat="1" ht="13.5" thickBot="1">
      <c r="A71" s="971" t="s">
        <v>396</v>
      </c>
      <c r="B71" s="972" t="s">
        <v>771</v>
      </c>
      <c r="C71" s="336" t="e">
        <f ca="1">ROUND(C68/F71,0)</f>
        <v>#DIV/0!</v>
      </c>
      <c r="D71" s="973" t="s">
        <v>772</v>
      </c>
      <c r="E71" s="974" t="s">
        <v>773</v>
      </c>
      <c r="F71" s="339">
        <f ca="1">F43</f>
        <v>0</v>
      </c>
      <c r="O71" s="1428" t="s">
        <v>413</v>
      </c>
      <c r="P71" s="1467" t="s">
        <v>869</v>
      </c>
      <c r="Q71" s="1431">
        <f ca="1">C76</f>
        <v>0</v>
      </c>
      <c r="R71" s="1420"/>
    </row>
    <row r="72" spans="1:18" s="1384" customFormat="1" ht="13.5" thickBot="1">
      <c r="B72" s="726"/>
      <c r="C72" s="726"/>
      <c r="O72" s="1428" t="s">
        <v>407</v>
      </c>
      <c r="P72" s="1419" t="s">
        <v>847</v>
      </c>
      <c r="Q72" s="1431">
        <f>L52</f>
        <v>0</v>
      </c>
      <c r="R72" s="1420"/>
    </row>
    <row r="73" spans="1:18" ht="16.5" thickBot="1">
      <c r="A73" s="1384"/>
      <c r="B73" s="726"/>
      <c r="C73" s="726"/>
      <c r="D73" s="1384"/>
      <c r="E73" s="1384"/>
      <c r="F73" s="1384"/>
      <c r="O73" s="1428" t="s">
        <v>408</v>
      </c>
      <c r="P73" s="1419" t="s">
        <v>850</v>
      </c>
      <c r="Q73" s="1420" t="e">
        <f ca="1">L58</f>
        <v>#DIV/0!</v>
      </c>
      <c r="R73" s="1420" t="s">
        <v>851</v>
      </c>
    </row>
    <row r="74" spans="1:18" ht="13.5" thickBot="1">
      <c r="A74" s="1384"/>
      <c r="B74" s="273" t="s">
        <v>870</v>
      </c>
      <c r="C74" s="1469"/>
      <c r="D74" s="1384"/>
      <c r="E74" s="1384"/>
      <c r="F74" s="1384"/>
      <c r="O74" s="1428" t="s">
        <v>415</v>
      </c>
      <c r="P74" s="1419" t="str">
        <f>K59</f>
        <v>建筑物剩余耐用年限下的土地年期修正系数Kn</v>
      </c>
      <c r="Q74" s="1420" t="e">
        <f ca="1">L59</f>
        <v>#DIV/0!</v>
      </c>
      <c r="R74" s="1420" t="s">
        <v>852</v>
      </c>
    </row>
    <row r="75" spans="1:18" ht="13.5" thickBot="1">
      <c r="A75" s="1384"/>
      <c r="B75" s="340" t="s">
        <v>790</v>
      </c>
      <c r="C75" s="341">
        <f ca="1">ROUND(C13*C76,0)</f>
        <v>0</v>
      </c>
      <c r="D75" s="1384"/>
      <c r="E75" s="1384"/>
      <c r="F75" s="1384"/>
      <c r="K75" s="1402"/>
      <c r="L75" s="1384"/>
      <c r="O75" s="1418" t="s">
        <v>409</v>
      </c>
      <c r="P75" s="1419" t="s">
        <v>833</v>
      </c>
      <c r="Q75" s="1420" t="e">
        <f ca="1">Q65+Q66</f>
        <v>#DIV/0!</v>
      </c>
      <c r="R75" s="1420" t="s">
        <v>410</v>
      </c>
    </row>
    <row r="76" spans="1:18">
      <c r="B76" s="342" t="s">
        <v>791</v>
      </c>
      <c r="C76" s="343">
        <f ca="1">INDIRECT("'数据-取费表'!j"&amp;$G$1)</f>
        <v>0</v>
      </c>
      <c r="I76" s="1384"/>
      <c r="J76" s="1384"/>
      <c r="K76" s="1402"/>
      <c r="L76" s="1384"/>
    </row>
    <row r="77" spans="1:18">
      <c r="B77" s="344" t="s">
        <v>792</v>
      </c>
      <c r="C77" s="345"/>
      <c r="I77" s="1384"/>
      <c r="J77" s="1384"/>
      <c r="K77" s="1402"/>
      <c r="L77" s="1384"/>
    </row>
    <row r="78" spans="1:18">
      <c r="B78" s="270" t="s">
        <v>793</v>
      </c>
      <c r="C78" s="346"/>
    </row>
    <row r="79" spans="1:18">
      <c r="B79" s="340" t="s">
        <v>794</v>
      </c>
      <c r="C79" s="274" t="e">
        <f ca="1">1-C80</f>
        <v>#DIV/0!</v>
      </c>
    </row>
    <row r="80" spans="1:18">
      <c r="B80" s="340" t="s">
        <v>795</v>
      </c>
      <c r="C80" s="274" t="e">
        <f ca="1">ROUND(C75/C39,3)</f>
        <v>#DIV/0!</v>
      </c>
    </row>
    <row r="81" spans="2:3">
      <c r="B81" s="270" t="s">
        <v>796</v>
      </c>
      <c r="C81" s="238"/>
    </row>
    <row r="82" spans="2:3">
      <c r="B82" s="273" t="s">
        <v>797</v>
      </c>
      <c r="C82" s="275" t="e">
        <f ca="1">1-C83</f>
        <v>#DIV/0!</v>
      </c>
    </row>
    <row r="83" spans="2:3">
      <c r="B83" s="273" t="s">
        <v>798</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6" t="s">
        <v>1651</v>
      </c>
      <c r="B1" s="1867"/>
      <c r="C1" s="1867"/>
      <c r="D1" s="1867"/>
      <c r="E1" s="1868"/>
      <c r="F1" s="2704"/>
      <c r="G1" s="1489"/>
      <c r="H1" s="1489"/>
      <c r="I1" s="1489"/>
      <c r="J1" s="1489"/>
      <c r="K1" s="1489"/>
      <c r="L1" s="1489"/>
      <c r="M1" s="1489"/>
      <c r="N1" s="1489"/>
      <c r="O1" s="1489"/>
      <c r="P1" s="1489"/>
      <c r="Q1" s="1489"/>
      <c r="R1" s="1489"/>
      <c r="S1" s="1489"/>
    </row>
    <row r="2" spans="1:22" ht="15.75">
      <c r="A2" s="1869" t="s">
        <v>1455</v>
      </c>
      <c r="B2" s="1870">
        <f ca="1">SUMIF(B6:B13,"&lt;&gt;#ref!",B6:B13)</f>
        <v>0</v>
      </c>
      <c r="C2" s="1871" t="s">
        <v>1644</v>
      </c>
      <c r="D2" s="1872" t="s">
        <v>1645</v>
      </c>
      <c r="E2" s="2604">
        <f>SUM(E6:E13)</f>
        <v>0</v>
      </c>
      <c r="F2" s="2704"/>
      <c r="G2" s="1489"/>
      <c r="H2" s="1489"/>
      <c r="I2" s="1489"/>
      <c r="J2" s="1489"/>
      <c r="K2" s="1489"/>
      <c r="L2" s="1489"/>
      <c r="M2" s="1489"/>
      <c r="N2" s="1489"/>
      <c r="O2" s="1489"/>
      <c r="P2" s="1489"/>
      <c r="Q2" s="1489"/>
      <c r="R2" s="1489"/>
      <c r="S2" s="1489"/>
    </row>
    <row r="3" spans="1:22" ht="15.75">
      <c r="A3" s="1869" t="s">
        <v>681</v>
      </c>
      <c r="B3" s="2598" t="e">
        <f ca="1">ROUND(B2*10000/E2,0)</f>
        <v>#DIV/0!</v>
      </c>
      <c r="C3" s="1871" t="s">
        <v>1652</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1646</v>
      </c>
      <c r="B5" s="3731" t="s">
        <v>1647</v>
      </c>
      <c r="C5" s="3732"/>
      <c r="D5" s="2705"/>
      <c r="E5" s="1873" t="s">
        <v>1648</v>
      </c>
      <c r="F5" s="1874" t="s">
        <v>1649</v>
      </c>
      <c r="G5" s="1489"/>
      <c r="H5" s="1489"/>
      <c r="I5" s="1489"/>
      <c r="J5" s="1489"/>
      <c r="K5" s="1489"/>
      <c r="L5" s="1489"/>
      <c r="M5" s="1489"/>
      <c r="N5" s="1489"/>
      <c r="O5" s="1489"/>
      <c r="P5" s="1489"/>
      <c r="Q5" s="1489"/>
      <c r="R5" s="1489"/>
      <c r="S5" s="1489"/>
    </row>
    <row r="6" spans="1:22">
      <c r="A6" s="2601">
        <f>'数据-取费表'!AN6</f>
        <v>0</v>
      </c>
      <c r="B6" s="2599" t="e">
        <f ca="1">IF(F6="是",'数据-取费表'!AO6,0)</f>
        <v>#REF!</v>
      </c>
      <c r="C6" s="1871" t="s">
        <v>1644</v>
      </c>
      <c r="D6" s="2706"/>
      <c r="E6" s="2603">
        <f>IF(OR(A6=0,F6="否"),0,'数据-取费表'!K6+'数据-取费表'!S6)</f>
        <v>0</v>
      </c>
      <c r="F6" s="1875" t="s">
        <v>1650</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1" t="s">
        <v>1644</v>
      </c>
      <c r="D7" s="2706"/>
      <c r="E7" s="2603">
        <f>IF(OR(A7=0,F7="否"),0,'数据-取费表'!K7+'数据-取费表'!S7)</f>
        <v>0</v>
      </c>
      <c r="F7" s="1875" t="s">
        <v>1650</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1" t="s">
        <v>1644</v>
      </c>
      <c r="D8" s="2706"/>
      <c r="E8" s="2603">
        <f>IF(OR(A8=0,F8="否"),0,'数据-取费表'!K8+'数据-取费表'!S8)</f>
        <v>0</v>
      </c>
      <c r="F8" s="1875" t="s">
        <v>1650</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1" t="s">
        <v>1644</v>
      </c>
      <c r="D9" s="2706"/>
      <c r="E9" s="2603">
        <f>IF(OR(A9=0,F9="否"),0,'数据-取费表'!K9+'数据-取费表'!S9)</f>
        <v>0</v>
      </c>
      <c r="F9" s="1875" t="s">
        <v>1650</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1" t="s">
        <v>1644</v>
      </c>
      <c r="D10" s="2706"/>
      <c r="E10" s="2603">
        <f>IF(OR(A10=0,F10="否"),0,'数据-取费表'!K10+'数据-取费表'!S10)</f>
        <v>0</v>
      </c>
      <c r="F10" s="1875" t="s">
        <v>1650</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1" t="s">
        <v>1644</v>
      </c>
      <c r="D11" s="2706"/>
      <c r="E11" s="2603">
        <f>IF(OR(A11=0,F11="否"),0,'数据-取费表'!K11+'数据-取费表'!S11)</f>
        <v>0</v>
      </c>
      <c r="F11" s="1875" t="s">
        <v>1650</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1" t="s">
        <v>1644</v>
      </c>
      <c r="D12" s="2706"/>
      <c r="E12" s="2603">
        <f>IF(OR(A12=0,F12="否"),0,'数据-取费表'!K12+'数据-取费表'!S12)</f>
        <v>0</v>
      </c>
      <c r="F12" s="1875" t="s">
        <v>1650</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6" t="s">
        <v>1644</v>
      </c>
      <c r="D13" s="2707"/>
      <c r="E13" s="2603">
        <f>IF(OR(A13=0,F13="否"),0,'数据-取费表'!K13+'数据-取费表'!S13)</f>
        <v>0</v>
      </c>
      <c r="F13" s="1875" t="s">
        <v>1650</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877" t="s">
        <v>1654</v>
      </c>
      <c r="C1" s="1238" t="s">
        <v>1655</v>
      </c>
      <c r="D1" s="1225"/>
      <c r="E1" s="3421"/>
      <c r="F1" s="1878"/>
      <c r="G1" s="1235" t="s">
        <v>1656</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680</v>
      </c>
      <c r="B2" s="3422"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1657</v>
      </c>
      <c r="F2" s="1882"/>
      <c r="G2" s="907"/>
      <c r="H2" s="907"/>
      <c r="I2" s="907"/>
      <c r="J2" s="907"/>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681</v>
      </c>
      <c r="B3" s="353">
        <f>IF(C2="——",C49,ROUND(B2*10000/D3,0))</f>
        <v>0</v>
      </c>
      <c r="C3" s="354" t="s">
        <v>1658</v>
      </c>
      <c r="D3" s="353">
        <f>IF(D1="",'数据-汇总表'!E3,SUMIF('数据-汇总表'!$C19:$C33,D1,'数据-汇总表'!$E19:$E33))</f>
        <v>63063.880000000005</v>
      </c>
      <c r="E3" s="907"/>
      <c r="F3" s="1887"/>
      <c r="G3" s="907"/>
      <c r="H3" s="907"/>
      <c r="I3" s="907"/>
      <c r="J3" s="907"/>
      <c r="K3" s="1883"/>
      <c r="L3" s="2710"/>
      <c r="M3" s="2711"/>
      <c r="N3" s="2711"/>
      <c r="O3" s="2711"/>
      <c r="P3" s="1884"/>
      <c r="Q3" s="1885"/>
      <c r="R3" s="1885"/>
      <c r="S3" s="1885"/>
      <c r="T3" s="1885"/>
      <c r="U3" s="1885"/>
      <c r="V3" s="1885"/>
      <c r="W3" s="1885"/>
      <c r="X3" s="1885"/>
      <c r="Y3" s="1885"/>
      <c r="Z3" s="1885"/>
      <c r="AA3" s="1885"/>
      <c r="AB3" s="1885"/>
      <c r="AC3" s="1061"/>
    </row>
    <row r="4" spans="1:29" ht="15">
      <c r="A4" s="355" t="s">
        <v>1659</v>
      </c>
      <c r="B4" s="356"/>
      <c r="C4" s="3751" t="s">
        <v>1660</v>
      </c>
      <c r="D4" s="3752"/>
      <c r="E4" s="3753" t="s">
        <v>1661</v>
      </c>
      <c r="F4" s="3754"/>
      <c r="G4" s="3751" t="s">
        <v>1662</v>
      </c>
      <c r="H4" s="3752"/>
      <c r="I4" s="3751" t="s">
        <v>1663</v>
      </c>
      <c r="J4" s="3752"/>
      <c r="K4" s="1888" t="s">
        <v>1664</v>
      </c>
      <c r="L4" s="2712"/>
      <c r="M4" s="2713"/>
      <c r="N4" s="2713"/>
      <c r="O4" s="2713"/>
      <c r="P4" s="3755" t="s">
        <v>1665</v>
      </c>
      <c r="Q4" s="3756"/>
      <c r="R4" s="3738" t="s">
        <v>1661</v>
      </c>
      <c r="S4" s="3739"/>
      <c r="T4" s="3738" t="s">
        <v>1662</v>
      </c>
      <c r="U4" s="3739"/>
      <c r="V4" s="3763" t="s">
        <v>1663</v>
      </c>
      <c r="W4" s="3763"/>
      <c r="X4" s="1355"/>
      <c r="Y4" s="3738" t="s">
        <v>1665</v>
      </c>
      <c r="Z4" s="3739"/>
      <c r="AA4" s="3733" t="s">
        <v>1661</v>
      </c>
      <c r="AB4" s="3733" t="s">
        <v>1662</v>
      </c>
      <c r="AC4" s="3733" t="s">
        <v>1663</v>
      </c>
    </row>
    <row r="5" spans="1:29" ht="15">
      <c r="A5" s="358"/>
      <c r="B5" s="359"/>
      <c r="C5" s="3744" t="s">
        <v>1666</v>
      </c>
      <c r="D5" s="3745"/>
      <c r="E5" s="3742" t="s">
        <v>1667</v>
      </c>
      <c r="F5" s="3743"/>
      <c r="G5" s="3744" t="s">
        <v>1668</v>
      </c>
      <c r="H5" s="3745"/>
      <c r="I5" s="3744" t="s">
        <v>1669</v>
      </c>
      <c r="J5" s="3745"/>
      <c r="K5" s="1889"/>
      <c r="L5" s="2712"/>
      <c r="M5" s="2713"/>
      <c r="N5" s="2713"/>
      <c r="O5" s="2713"/>
      <c r="P5" s="3757"/>
      <c r="Q5" s="3758"/>
      <c r="R5" s="3740"/>
      <c r="S5" s="3741"/>
      <c r="T5" s="3740"/>
      <c r="U5" s="3741"/>
      <c r="V5" s="3763"/>
      <c r="W5" s="3763"/>
      <c r="X5" s="1355"/>
      <c r="Y5" s="3740"/>
      <c r="Z5" s="3741"/>
      <c r="AA5" s="3734"/>
      <c r="AB5" s="3734"/>
      <c r="AC5" s="3734"/>
    </row>
    <row r="6" spans="1:29" ht="15.75" thickBot="1">
      <c r="A6" s="360"/>
      <c r="B6" s="361"/>
      <c r="C6" s="3746" t="s">
        <v>1670</v>
      </c>
      <c r="D6" s="3747"/>
      <c r="E6" s="3748" t="s">
        <v>1670</v>
      </c>
      <c r="F6" s="3749"/>
      <c r="G6" s="3746" t="s">
        <v>1670</v>
      </c>
      <c r="H6" s="3747"/>
      <c r="I6" s="3746" t="s">
        <v>1670</v>
      </c>
      <c r="J6" s="3747"/>
      <c r="K6" s="1889" t="s">
        <v>1671</v>
      </c>
      <c r="L6" s="2712"/>
      <c r="M6" s="2713"/>
      <c r="N6" s="2713"/>
      <c r="O6" s="2713"/>
      <c r="P6" s="3759"/>
      <c r="Q6" s="3760"/>
      <c r="R6" s="3740"/>
      <c r="S6" s="3741"/>
      <c r="T6" s="3761"/>
      <c r="U6" s="3762"/>
      <c r="V6" s="3763"/>
      <c r="W6" s="3763"/>
      <c r="X6" s="1355"/>
      <c r="Y6" s="3761"/>
      <c r="Z6" s="3762"/>
      <c r="AA6" s="3735"/>
      <c r="AB6" s="3735"/>
      <c r="AC6" s="3735"/>
    </row>
    <row r="7" spans="1:29" s="108" customFormat="1" ht="15.75" thickBot="1">
      <c r="A7" s="362" t="s">
        <v>1672</v>
      </c>
      <c r="B7" s="363"/>
      <c r="C7" s="364">
        <f>'数据-取费表'!B2</f>
        <v>45352</v>
      </c>
      <c r="D7" s="365">
        <v>100</v>
      </c>
      <c r="E7" s="366"/>
      <c r="F7" s="367">
        <f>SUMIF(58:58,YEAR(E7)&amp;"-"&amp;MONTH(E7),59:59)</f>
        <v>0</v>
      </c>
      <c r="G7" s="366"/>
      <c r="H7" s="365">
        <f>SUMIF(58:58,YEAR(G7)&amp;"-"&amp;MONTH(G7),59:59)</f>
        <v>0</v>
      </c>
      <c r="I7" s="366"/>
      <c r="J7" s="365">
        <f>SUMIF(58:58,YEAR(I7)&amp;"-"&amp;MONTH(I7),59:59)</f>
        <v>0</v>
      </c>
      <c r="K7" s="1890"/>
      <c r="L7" s="2714"/>
      <c r="M7" s="2715"/>
      <c r="N7" s="2715"/>
      <c r="O7" s="2715"/>
      <c r="P7" s="3736" t="s">
        <v>1673</v>
      </c>
      <c r="Q7" s="3764"/>
      <c r="R7" s="701" t="s">
        <v>20</v>
      </c>
      <c r="S7" s="702">
        <f t="shared" ref="S7:S15" si="0">F7</f>
        <v>0</v>
      </c>
      <c r="T7" s="701" t="s">
        <v>20</v>
      </c>
      <c r="U7" s="702">
        <f t="shared" ref="U7:U15" si="1">H7</f>
        <v>0</v>
      </c>
      <c r="V7" s="701" t="s">
        <v>20</v>
      </c>
      <c r="W7" s="702">
        <f t="shared" ref="W7:W15" si="2">J7</f>
        <v>0</v>
      </c>
      <c r="X7" s="703"/>
      <c r="Y7" s="3736" t="s">
        <v>1673</v>
      </c>
      <c r="Z7" s="3737"/>
      <c r="AA7" s="704" t="e">
        <f>D7/F7</f>
        <v>#DIV/0!</v>
      </c>
      <c r="AB7" s="704" t="e">
        <f>D7/H7</f>
        <v>#DIV/0!</v>
      </c>
      <c r="AC7" s="704" t="e">
        <f>D7/J7</f>
        <v>#DIV/0!</v>
      </c>
    </row>
    <row r="8" spans="1:29" s="108" customFormat="1" ht="15.75" thickBot="1">
      <c r="A8" s="362" t="s">
        <v>1674</v>
      </c>
      <c r="B8" s="363"/>
      <c r="C8" s="368"/>
      <c r="D8" s="365">
        <v>100</v>
      </c>
      <c r="E8" s="1891"/>
      <c r="F8" s="367">
        <f>SUMIF(61:61,E8,62:62)-SUMIF(61:61,C8,62:62)+100</f>
        <v>100</v>
      </c>
      <c r="G8" s="368"/>
      <c r="H8" s="365">
        <f>SUMIF(61:61,G8,62:62)-SUMIF(61:61,C8,62:62)+100</f>
        <v>100</v>
      </c>
      <c r="I8" s="1891"/>
      <c r="J8" s="365">
        <f>SUMIF(61:61,I8,62:62)-SUMIF(61:61,C8,62:62)+100</f>
        <v>100</v>
      </c>
      <c r="K8" s="1890"/>
      <c r="L8" s="2714"/>
      <c r="M8" s="2715"/>
      <c r="N8" s="2715"/>
      <c r="O8" s="2715"/>
      <c r="P8" s="3736" t="s">
        <v>1676</v>
      </c>
      <c r="Q8" s="3737"/>
      <c r="R8" s="701" t="s">
        <v>20</v>
      </c>
      <c r="S8" s="702">
        <f t="shared" si="0"/>
        <v>100</v>
      </c>
      <c r="T8" s="701" t="s">
        <v>20</v>
      </c>
      <c r="U8" s="702">
        <f t="shared" si="1"/>
        <v>100</v>
      </c>
      <c r="V8" s="701" t="s">
        <v>20</v>
      </c>
      <c r="W8" s="702">
        <f t="shared" si="2"/>
        <v>100</v>
      </c>
      <c r="X8" s="703"/>
      <c r="Y8" s="3736" t="s">
        <v>1676</v>
      </c>
      <c r="Z8" s="3737"/>
      <c r="AA8" s="704">
        <f t="shared" ref="AA8:AA19" si="3">D8/F8</f>
        <v>1</v>
      </c>
      <c r="AB8" s="704">
        <f t="shared" ref="AB8:AB19" si="4">D8/H8</f>
        <v>1</v>
      </c>
      <c r="AC8" s="704">
        <f t="shared" ref="AC8:AC19" si="5">D8/J8</f>
        <v>1</v>
      </c>
    </row>
    <row r="9" spans="1:29" s="108" customFormat="1">
      <c r="A9" s="369" t="s">
        <v>1677</v>
      </c>
      <c r="B9" s="63" t="s">
        <v>1678</v>
      </c>
      <c r="C9" s="370"/>
      <c r="D9" s="126">
        <v>100</v>
      </c>
      <c r="E9" s="371"/>
      <c r="F9" s="372">
        <f>SUMIF(63:63,E9,64:64)-SUMIF(63:63,C9,64:64)+100</f>
        <v>100</v>
      </c>
      <c r="G9" s="373"/>
      <c r="H9" s="126">
        <f>SUMIF(63:63,G9,64:64)-SUMIF(63:63,C9,64:64)+100</f>
        <v>100</v>
      </c>
      <c r="I9" s="373"/>
      <c r="J9" s="126">
        <f>SUMIF(63:63,I9,64:64)-SUMIF(63:63,C9,64:64)+100</f>
        <v>100</v>
      </c>
      <c r="K9" s="1890"/>
      <c r="L9" s="2714"/>
      <c r="M9" s="2715"/>
      <c r="N9" s="2715"/>
      <c r="O9" s="2715"/>
      <c r="P9" s="3750" t="s">
        <v>1679</v>
      </c>
      <c r="Q9" s="1343" t="str">
        <f t="shared" ref="Q9:Q15" si="6">B9</f>
        <v>用途</v>
      </c>
      <c r="R9" s="701" t="s">
        <v>14</v>
      </c>
      <c r="S9" s="702">
        <f t="shared" si="0"/>
        <v>100</v>
      </c>
      <c r="T9" s="701" t="s">
        <v>14</v>
      </c>
      <c r="U9" s="702">
        <f t="shared" si="1"/>
        <v>100</v>
      </c>
      <c r="V9" s="701" t="s">
        <v>14</v>
      </c>
      <c r="W9" s="702">
        <f t="shared" si="2"/>
        <v>100</v>
      </c>
      <c r="X9" s="703"/>
      <c r="Y9" s="3661" t="s">
        <v>1680</v>
      </c>
      <c r="Z9" s="52" t="str">
        <f t="shared" ref="Z9:Z15" si="7">Q9</f>
        <v>用途</v>
      </c>
      <c r="AA9" s="704">
        <f t="shared" si="3"/>
        <v>1</v>
      </c>
      <c r="AB9" s="704">
        <f t="shared" si="4"/>
        <v>1</v>
      </c>
      <c r="AC9" s="704">
        <f t="shared" si="5"/>
        <v>1</v>
      </c>
    </row>
    <row r="10" spans="1:29" s="378" customFormat="1" ht="27">
      <c r="A10" s="374"/>
      <c r="B10" s="375" t="s">
        <v>1681</v>
      </c>
      <c r="C10" s="3429"/>
      <c r="D10" s="127">
        <v>100</v>
      </c>
      <c r="E10" s="3430"/>
      <c r="F10" s="376">
        <f>SUMIF(65:65,E10,66:66)-SUMIF(65:65,C10,66:66)+100</f>
        <v>100</v>
      </c>
      <c r="G10" s="3429"/>
      <c r="H10" s="127">
        <f>SUMIF(65:65,G10,66:66)-SUMIF(65:65,C10,66:66)+100</f>
        <v>100</v>
      </c>
      <c r="I10" s="3429"/>
      <c r="J10" s="127">
        <f>SUMIF(65:65,I10,66:66)-SUMIF(65:65,C10,66:66)+100</f>
        <v>100</v>
      </c>
      <c r="K10" s="1890"/>
      <c r="L10" s="2716"/>
      <c r="M10" s="2717"/>
      <c r="N10" s="2717"/>
      <c r="O10" s="2717"/>
      <c r="P10" s="3750"/>
      <c r="Q10" s="1343" t="str">
        <f t="shared" si="6"/>
        <v>土地使用年限（年）</v>
      </c>
      <c r="R10" s="701" t="s">
        <v>14</v>
      </c>
      <c r="S10" s="702">
        <f t="shared" si="0"/>
        <v>100</v>
      </c>
      <c r="T10" s="701" t="s">
        <v>14</v>
      </c>
      <c r="U10" s="702">
        <f t="shared" si="1"/>
        <v>100</v>
      </c>
      <c r="V10" s="701" t="s">
        <v>14</v>
      </c>
      <c r="W10" s="702">
        <f t="shared" si="2"/>
        <v>100</v>
      </c>
      <c r="X10" s="703"/>
      <c r="Y10" s="3661"/>
      <c r="Z10" s="52" t="str">
        <f t="shared" si="7"/>
        <v>土地使用年限（年）</v>
      </c>
      <c r="AA10" s="704">
        <f t="shared" si="3"/>
        <v>1</v>
      </c>
      <c r="AB10" s="704">
        <f t="shared" si="4"/>
        <v>1</v>
      </c>
      <c r="AC10" s="704">
        <f t="shared" si="5"/>
        <v>1</v>
      </c>
    </row>
    <row r="11" spans="1:29" ht="15">
      <c r="A11" s="379"/>
      <c r="B11" s="375" t="s">
        <v>1682</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50"/>
      <c r="Q11" s="1343" t="str">
        <f t="shared" si="6"/>
        <v>容积率</v>
      </c>
      <c r="R11" s="701" t="s">
        <v>18</v>
      </c>
      <c r="S11" s="702" t="e">
        <f t="shared" si="0"/>
        <v>#N/A</v>
      </c>
      <c r="T11" s="701" t="s">
        <v>18</v>
      </c>
      <c r="U11" s="702" t="e">
        <f t="shared" si="1"/>
        <v>#N/A</v>
      </c>
      <c r="V11" s="701" t="s">
        <v>18</v>
      </c>
      <c r="W11" s="702" t="e">
        <f t="shared" si="2"/>
        <v>#N/A</v>
      </c>
      <c r="X11" s="703"/>
      <c r="Y11" s="3661"/>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750"/>
      <c r="Q12" s="1343">
        <f t="shared" si="6"/>
        <v>111</v>
      </c>
      <c r="R12" s="701" t="s">
        <v>18</v>
      </c>
      <c r="S12" s="702">
        <f t="shared" si="0"/>
        <v>100</v>
      </c>
      <c r="T12" s="701" t="s">
        <v>18</v>
      </c>
      <c r="U12" s="702">
        <f t="shared" si="1"/>
        <v>100</v>
      </c>
      <c r="V12" s="701" t="s">
        <v>18</v>
      </c>
      <c r="W12" s="702">
        <f t="shared" si="2"/>
        <v>100</v>
      </c>
      <c r="X12" s="703"/>
      <c r="Y12" s="3661"/>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750"/>
      <c r="Q13" s="1343">
        <f t="shared" si="6"/>
        <v>111</v>
      </c>
      <c r="R13" s="701" t="s">
        <v>18</v>
      </c>
      <c r="S13" s="702">
        <f t="shared" si="0"/>
        <v>100</v>
      </c>
      <c r="T13" s="701" t="s">
        <v>18</v>
      </c>
      <c r="U13" s="702">
        <f t="shared" si="1"/>
        <v>100</v>
      </c>
      <c r="V13" s="701" t="s">
        <v>18</v>
      </c>
      <c r="W13" s="702">
        <f t="shared" si="2"/>
        <v>100</v>
      </c>
      <c r="X13" s="703"/>
      <c r="Y13" s="3661"/>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750"/>
      <c r="Q14" s="1343">
        <f t="shared" si="6"/>
        <v>111</v>
      </c>
      <c r="R14" s="701" t="s">
        <v>18</v>
      </c>
      <c r="S14" s="702">
        <f t="shared" si="0"/>
        <v>100</v>
      </c>
      <c r="T14" s="701" t="s">
        <v>18</v>
      </c>
      <c r="U14" s="702">
        <f t="shared" si="1"/>
        <v>100</v>
      </c>
      <c r="V14" s="701" t="s">
        <v>18</v>
      </c>
      <c r="W14" s="702">
        <f t="shared" si="2"/>
        <v>100</v>
      </c>
      <c r="X14" s="703"/>
      <c r="Y14" s="3661"/>
      <c r="Z14" s="52">
        <f t="shared" si="7"/>
        <v>111</v>
      </c>
      <c r="AA14" s="704">
        <f t="shared" si="3"/>
        <v>1</v>
      </c>
      <c r="AB14" s="704">
        <f t="shared" si="4"/>
        <v>1</v>
      </c>
      <c r="AC14" s="704">
        <f t="shared" si="5"/>
        <v>1</v>
      </c>
    </row>
    <row r="15" spans="1:29" ht="15">
      <c r="A15" s="391" t="s">
        <v>1683</v>
      </c>
      <c r="B15" s="61" t="s">
        <v>1250</v>
      </c>
      <c r="C15" s="1895"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77" t="s">
        <v>1684</v>
      </c>
      <c r="Q15" s="1352" t="str">
        <f t="shared" si="6"/>
        <v>居住社区成熟度</v>
      </c>
      <c r="R15" s="705" t="s">
        <v>18</v>
      </c>
      <c r="S15" s="706">
        <f t="shared" si="0"/>
        <v>100</v>
      </c>
      <c r="T15" s="705" t="s">
        <v>18</v>
      </c>
      <c r="U15" s="706">
        <f t="shared" si="1"/>
        <v>100</v>
      </c>
      <c r="V15" s="705" t="s">
        <v>18</v>
      </c>
      <c r="W15" s="706">
        <f t="shared" si="2"/>
        <v>100</v>
      </c>
      <c r="X15" s="1355"/>
      <c r="Y15" s="3770" t="s">
        <v>1684</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19"/>
      <c r="M16" s="2713"/>
      <c r="N16" s="2713"/>
      <c r="O16" s="2713"/>
      <c r="P16" s="3778"/>
      <c r="Q16" s="1352"/>
      <c r="R16" s="705"/>
      <c r="S16" s="706"/>
      <c r="T16" s="705"/>
      <c r="U16" s="706"/>
      <c r="V16" s="705"/>
      <c r="W16" s="706"/>
      <c r="X16" s="1355"/>
      <c r="Y16" s="3771"/>
      <c r="Z16" s="1356"/>
      <c r="AA16" s="1353">
        <v>1</v>
      </c>
      <c r="AB16" s="1353">
        <v>1</v>
      </c>
      <c r="AC16" s="1353">
        <v>1</v>
      </c>
    </row>
    <row r="17" spans="1:29" ht="15">
      <c r="A17" s="379"/>
      <c r="B17" s="402" t="s">
        <v>1252</v>
      </c>
      <c r="C17" s="1899"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78"/>
      <c r="Q17" s="1352" t="str">
        <f>B17</f>
        <v>交通便捷度</v>
      </c>
      <c r="R17" s="705" t="s">
        <v>18</v>
      </c>
      <c r="S17" s="706">
        <f>F17</f>
        <v>100</v>
      </c>
      <c r="T17" s="705" t="s">
        <v>18</v>
      </c>
      <c r="U17" s="706">
        <f>H17</f>
        <v>100</v>
      </c>
      <c r="V17" s="705" t="s">
        <v>18</v>
      </c>
      <c r="W17" s="706">
        <f>J17</f>
        <v>100</v>
      </c>
      <c r="X17" s="1355"/>
      <c r="Y17" s="3771"/>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19"/>
      <c r="M18" s="2713"/>
      <c r="N18" s="2713"/>
      <c r="O18" s="2713"/>
      <c r="P18" s="3778"/>
      <c r="Q18" s="1352"/>
      <c r="R18" s="705"/>
      <c r="S18" s="706"/>
      <c r="T18" s="705"/>
      <c r="U18" s="706"/>
      <c r="V18" s="705"/>
      <c r="W18" s="706"/>
      <c r="X18" s="1355"/>
      <c r="Y18" s="3771"/>
      <c r="Z18" s="1356"/>
      <c r="AA18" s="1353">
        <v>1</v>
      </c>
      <c r="AB18" s="1353">
        <v>1</v>
      </c>
      <c r="AC18" s="1353">
        <v>1</v>
      </c>
    </row>
    <row r="19" spans="1:29" ht="15">
      <c r="A19" s="379"/>
      <c r="B19" s="402" t="s">
        <v>1251</v>
      </c>
      <c r="C19" s="1899"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78"/>
      <c r="Q19" s="1352" t="str">
        <f>B19</f>
        <v>公共配套设施</v>
      </c>
      <c r="R19" s="705" t="s">
        <v>18</v>
      </c>
      <c r="S19" s="706">
        <f>F19</f>
        <v>100</v>
      </c>
      <c r="T19" s="705" t="s">
        <v>18</v>
      </c>
      <c r="U19" s="706">
        <f>H19</f>
        <v>100</v>
      </c>
      <c r="V19" s="705" t="s">
        <v>18</v>
      </c>
      <c r="W19" s="706">
        <f>J19</f>
        <v>100</v>
      </c>
      <c r="X19" s="1355"/>
      <c r="Y19" s="3771"/>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19"/>
      <c r="M20" s="2713"/>
      <c r="N20" s="2713"/>
      <c r="O20" s="2713"/>
      <c r="P20" s="3778"/>
      <c r="Q20" s="1352"/>
      <c r="R20" s="705"/>
      <c r="S20" s="706"/>
      <c r="T20" s="705"/>
      <c r="U20" s="706"/>
      <c r="V20" s="705"/>
      <c r="W20" s="706"/>
      <c r="X20" s="1355"/>
      <c r="Y20" s="3771"/>
      <c r="Z20" s="1356"/>
      <c r="AA20" s="1353">
        <v>1</v>
      </c>
      <c r="AB20" s="1353">
        <v>1</v>
      </c>
      <c r="AC20" s="1353">
        <v>1</v>
      </c>
    </row>
    <row r="21" spans="1:29" ht="15">
      <c r="A21" s="379"/>
      <c r="B21" s="1131" t="s">
        <v>1253</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78"/>
      <c r="Q21" s="1352" t="str">
        <f>B21</f>
        <v>基础设施水平</v>
      </c>
      <c r="R21" s="705" t="s">
        <v>14</v>
      </c>
      <c r="S21" s="706">
        <f>F21</f>
        <v>100</v>
      </c>
      <c r="T21" s="705" t="s">
        <v>14</v>
      </c>
      <c r="U21" s="706">
        <f>H21</f>
        <v>100</v>
      </c>
      <c r="V21" s="705" t="s">
        <v>14</v>
      </c>
      <c r="W21" s="706">
        <f>J21</f>
        <v>100</v>
      </c>
      <c r="X21" s="1355"/>
      <c r="Y21" s="3771"/>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19"/>
      <c r="M22" s="2713"/>
      <c r="N22" s="2713"/>
      <c r="O22" s="2713"/>
      <c r="P22" s="3778"/>
      <c r="Q22" s="1352"/>
      <c r="R22" s="705"/>
      <c r="S22" s="706"/>
      <c r="T22" s="705"/>
      <c r="U22" s="706"/>
      <c r="V22" s="705"/>
      <c r="W22" s="706"/>
      <c r="X22" s="1355"/>
      <c r="Y22" s="3771"/>
      <c r="Z22" s="1356"/>
      <c r="AA22" s="1353">
        <v>1</v>
      </c>
      <c r="AB22" s="1353">
        <v>1</v>
      </c>
      <c r="AC22" s="1353">
        <v>1</v>
      </c>
    </row>
    <row r="23" spans="1:29" ht="15">
      <c r="A23" s="379"/>
      <c r="B23" s="402" t="s">
        <v>1254</v>
      </c>
      <c r="C23" s="1899"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78"/>
      <c r="Q23" s="1352" t="str">
        <f>B23</f>
        <v>自然及人文环境</v>
      </c>
      <c r="R23" s="705" t="s">
        <v>18</v>
      </c>
      <c r="S23" s="706">
        <f>F23</f>
        <v>100</v>
      </c>
      <c r="T23" s="705" t="s">
        <v>18</v>
      </c>
      <c r="U23" s="706">
        <f>H23</f>
        <v>100</v>
      </c>
      <c r="V23" s="705" t="s">
        <v>18</v>
      </c>
      <c r="W23" s="706">
        <f>J23</f>
        <v>100</v>
      </c>
      <c r="X23" s="1355"/>
      <c r="Y23" s="3771"/>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19"/>
      <c r="M24" s="2713"/>
      <c r="N24" s="2713"/>
      <c r="O24" s="2713"/>
      <c r="P24" s="3778"/>
      <c r="Q24" s="1352"/>
      <c r="R24" s="705"/>
      <c r="S24" s="706"/>
      <c r="T24" s="705"/>
      <c r="U24" s="706"/>
      <c r="V24" s="705"/>
      <c r="W24" s="706"/>
      <c r="X24" s="1355"/>
      <c r="Y24" s="3771"/>
      <c r="Z24" s="1356"/>
      <c r="AA24" s="1353">
        <v>1</v>
      </c>
      <c r="AB24" s="1353">
        <v>1</v>
      </c>
      <c r="AC24" s="1353">
        <v>1</v>
      </c>
    </row>
    <row r="25" spans="1:29" ht="15">
      <c r="A25" s="379"/>
      <c r="B25" s="375" t="s">
        <v>1685</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7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71"/>
      <c r="Z25" s="1356" t="str">
        <f>Q25</f>
        <v>楼层-1</v>
      </c>
      <c r="AA25" s="1353">
        <f t="shared" ref="AA25:AA46" si="15">D25/F25</f>
        <v>1</v>
      </c>
      <c r="AB25" s="1353">
        <f t="shared" ref="AB25:AB46" si="16">D25/H25</f>
        <v>1</v>
      </c>
      <c r="AC25" s="1353">
        <f t="shared" ref="AC25:AC46" si="17">D25/J25</f>
        <v>1</v>
      </c>
    </row>
    <row r="26" spans="1:29" ht="15">
      <c r="A26" s="379"/>
      <c r="B26" s="375" t="s">
        <v>1686</v>
      </c>
      <c r="C26" s="411"/>
      <c r="D26" s="386">
        <v>100</v>
      </c>
      <c r="E26" s="1905"/>
      <c r="F26" s="386">
        <f>SUMIF(88:88,E26,89:89)-SUMIF(88:88,C26,89:89)+100</f>
        <v>100</v>
      </c>
      <c r="G26" s="1906"/>
      <c r="H26" s="386">
        <f>SUMIF(88:88,G26,89:89)-SUMIF(88:88,C26,89:89)+100</f>
        <v>100</v>
      </c>
      <c r="I26" s="1906"/>
      <c r="J26" s="386">
        <f>SUMIF(88:88,I26,89:89)-SUMIF(88:88,C26,89:89)+100</f>
        <v>100</v>
      </c>
      <c r="K26" s="377"/>
      <c r="L26" s="2719"/>
      <c r="M26" s="2713"/>
      <c r="N26" s="2713"/>
      <c r="O26" s="2713"/>
      <c r="P26" s="3778"/>
      <c r="Q26" s="1352" t="str">
        <f t="shared" si="11"/>
        <v>朝向</v>
      </c>
      <c r="R26" s="705" t="s">
        <v>18</v>
      </c>
      <c r="S26" s="706">
        <f t="shared" si="12"/>
        <v>100</v>
      </c>
      <c r="T26" s="705" t="s">
        <v>18</v>
      </c>
      <c r="U26" s="706">
        <f t="shared" si="13"/>
        <v>100</v>
      </c>
      <c r="V26" s="705" t="s">
        <v>18</v>
      </c>
      <c r="W26" s="706">
        <f t="shared" si="14"/>
        <v>100</v>
      </c>
      <c r="X26" s="1355"/>
      <c r="Y26" s="377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4"/>
      <c r="M27" s="2715"/>
      <c r="N27" s="2715"/>
      <c r="O27" s="2715"/>
      <c r="P27" s="3778"/>
      <c r="Q27" s="1343">
        <f t="shared" si="11"/>
        <v>111</v>
      </c>
      <c r="R27" s="701" t="s">
        <v>18</v>
      </c>
      <c r="S27" s="702">
        <f t="shared" si="12"/>
        <v>100</v>
      </c>
      <c r="T27" s="701" t="s">
        <v>18</v>
      </c>
      <c r="U27" s="702">
        <f t="shared" si="13"/>
        <v>100</v>
      </c>
      <c r="V27" s="701" t="s">
        <v>18</v>
      </c>
      <c r="W27" s="702">
        <f t="shared" si="14"/>
        <v>100</v>
      </c>
      <c r="X27" s="703"/>
      <c r="Y27" s="377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778"/>
      <c r="Q28" s="1352">
        <f t="shared" si="11"/>
        <v>111</v>
      </c>
      <c r="R28" s="705" t="s">
        <v>18</v>
      </c>
      <c r="S28" s="706">
        <f t="shared" si="12"/>
        <v>100</v>
      </c>
      <c r="T28" s="705" t="s">
        <v>18</v>
      </c>
      <c r="U28" s="706">
        <f t="shared" si="13"/>
        <v>100</v>
      </c>
      <c r="V28" s="705" t="s">
        <v>18</v>
      </c>
      <c r="W28" s="706">
        <f t="shared" si="14"/>
        <v>100</v>
      </c>
      <c r="X28" s="1355"/>
      <c r="Y28" s="377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78"/>
      <c r="Q29" s="1352">
        <f t="shared" si="11"/>
        <v>111</v>
      </c>
      <c r="R29" s="705" t="s">
        <v>18</v>
      </c>
      <c r="S29" s="706">
        <f t="shared" si="12"/>
        <v>100</v>
      </c>
      <c r="T29" s="705" t="s">
        <v>18</v>
      </c>
      <c r="U29" s="706">
        <f t="shared" si="13"/>
        <v>100</v>
      </c>
      <c r="V29" s="705" t="s">
        <v>18</v>
      </c>
      <c r="W29" s="706">
        <f t="shared" si="14"/>
        <v>100</v>
      </c>
      <c r="X29" s="1355"/>
      <c r="Y29" s="377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78"/>
      <c r="Q30" s="1352">
        <f t="shared" si="11"/>
        <v>111</v>
      </c>
      <c r="R30" s="705" t="s">
        <v>18</v>
      </c>
      <c r="S30" s="706">
        <f t="shared" si="12"/>
        <v>100</v>
      </c>
      <c r="T30" s="705" t="s">
        <v>18</v>
      </c>
      <c r="U30" s="706">
        <f t="shared" si="13"/>
        <v>100</v>
      </c>
      <c r="V30" s="705" t="s">
        <v>18</v>
      </c>
      <c r="W30" s="706">
        <f t="shared" si="14"/>
        <v>100</v>
      </c>
      <c r="X30" s="1355"/>
      <c r="Y30" s="377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78"/>
      <c r="Q31" s="1352">
        <f t="shared" si="11"/>
        <v>111</v>
      </c>
      <c r="R31" s="705" t="s">
        <v>18</v>
      </c>
      <c r="S31" s="706">
        <f t="shared" si="12"/>
        <v>100</v>
      </c>
      <c r="T31" s="705" t="s">
        <v>18</v>
      </c>
      <c r="U31" s="706">
        <f t="shared" si="13"/>
        <v>100</v>
      </c>
      <c r="V31" s="705" t="s">
        <v>18</v>
      </c>
      <c r="W31" s="706">
        <f t="shared" si="14"/>
        <v>100</v>
      </c>
      <c r="X31" s="1355"/>
      <c r="Y31" s="3771"/>
      <c r="Z31" s="1356">
        <f t="shared" si="18"/>
        <v>111</v>
      </c>
      <c r="AA31" s="1353">
        <f t="shared" si="15"/>
        <v>1</v>
      </c>
      <c r="AB31" s="1353">
        <f t="shared" si="16"/>
        <v>1</v>
      </c>
      <c r="AC31" s="1353">
        <f t="shared" si="17"/>
        <v>1</v>
      </c>
    </row>
    <row r="32" spans="1:29" ht="15">
      <c r="A32" s="391" t="s">
        <v>1687</v>
      </c>
      <c r="B32" s="63" t="s">
        <v>1688</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9"/>
      <c r="M32" s="2713"/>
      <c r="N32" s="2713"/>
      <c r="O32" s="2713"/>
      <c r="P32" s="3772" t="s">
        <v>1689</v>
      </c>
      <c r="Q32" s="1352" t="str">
        <f t="shared" si="11"/>
        <v>建筑类型</v>
      </c>
      <c r="R32" s="705" t="s">
        <v>18</v>
      </c>
      <c r="S32" s="706">
        <f t="shared" si="12"/>
        <v>100</v>
      </c>
      <c r="T32" s="705" t="s">
        <v>18</v>
      </c>
      <c r="U32" s="706">
        <f t="shared" si="13"/>
        <v>100</v>
      </c>
      <c r="V32" s="705" t="s">
        <v>18</v>
      </c>
      <c r="W32" s="706">
        <f t="shared" si="14"/>
        <v>100</v>
      </c>
      <c r="X32" s="1355"/>
      <c r="Y32" s="3775" t="s">
        <v>1689</v>
      </c>
      <c r="Z32" s="1356" t="str">
        <f t="shared" si="18"/>
        <v>建筑类型</v>
      </c>
      <c r="AA32" s="1353">
        <f t="shared" si="15"/>
        <v>1</v>
      </c>
      <c r="AB32" s="1353">
        <f t="shared" si="16"/>
        <v>1</v>
      </c>
      <c r="AC32" s="1353">
        <f t="shared" si="17"/>
        <v>1</v>
      </c>
    </row>
    <row r="33" spans="1:29" s="422" customFormat="1" ht="15">
      <c r="A33" s="419"/>
      <c r="B33" s="375" t="s">
        <v>1690</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8"/>
      <c r="M33" s="2720"/>
      <c r="N33" s="2720"/>
      <c r="O33" s="2720"/>
      <c r="P33" s="3773"/>
      <c r="Q33" s="707" t="str">
        <f t="shared" si="11"/>
        <v>项目建筑规模</v>
      </c>
      <c r="R33" s="708" t="s">
        <v>18</v>
      </c>
      <c r="S33" s="709" t="e">
        <f t="shared" si="12"/>
        <v>#N/A</v>
      </c>
      <c r="T33" s="708" t="s">
        <v>18</v>
      </c>
      <c r="U33" s="709" t="e">
        <f t="shared" si="13"/>
        <v>#N/A</v>
      </c>
      <c r="V33" s="708" t="s">
        <v>18</v>
      </c>
      <c r="W33" s="709" t="e">
        <f t="shared" si="14"/>
        <v>#N/A</v>
      </c>
      <c r="X33" s="710"/>
      <c r="Y33" s="3775"/>
      <c r="Z33" s="711" t="str">
        <f t="shared" si="18"/>
        <v>项目建筑规模</v>
      </c>
      <c r="AA33" s="1353" t="e">
        <f t="shared" si="15"/>
        <v>#N/A</v>
      </c>
      <c r="AB33" s="1353" t="e">
        <f t="shared" si="16"/>
        <v>#N/A</v>
      </c>
      <c r="AC33" s="1353" t="e">
        <f t="shared" si="17"/>
        <v>#N/A</v>
      </c>
    </row>
    <row r="34" spans="1:29" ht="15">
      <c r="A34" s="423"/>
      <c r="B34" s="375" t="s">
        <v>1691</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773"/>
      <c r="Q34" s="1352" t="str">
        <f t="shared" si="11"/>
        <v>建筑结构</v>
      </c>
      <c r="R34" s="705" t="s">
        <v>18</v>
      </c>
      <c r="S34" s="706">
        <f t="shared" si="12"/>
        <v>100</v>
      </c>
      <c r="T34" s="705" t="s">
        <v>18</v>
      </c>
      <c r="U34" s="706">
        <f t="shared" si="13"/>
        <v>100</v>
      </c>
      <c r="V34" s="705" t="s">
        <v>18</v>
      </c>
      <c r="W34" s="706">
        <f t="shared" si="14"/>
        <v>100</v>
      </c>
      <c r="X34" s="1355"/>
      <c r="Y34" s="3775"/>
      <c r="Z34" s="1356" t="str">
        <f t="shared" si="18"/>
        <v>建筑结构</v>
      </c>
      <c r="AA34" s="1353">
        <f t="shared" si="15"/>
        <v>1</v>
      </c>
      <c r="AB34" s="1353">
        <f t="shared" si="16"/>
        <v>1</v>
      </c>
      <c r="AC34" s="1353">
        <f t="shared" si="17"/>
        <v>1</v>
      </c>
    </row>
    <row r="35" spans="1:29" ht="15">
      <c r="A35" s="423"/>
      <c r="B35" s="375" t="s">
        <v>1692</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773"/>
      <c r="Q35" s="1352" t="str">
        <f t="shared" si="11"/>
        <v>建筑品质</v>
      </c>
      <c r="R35" s="705" t="s">
        <v>18</v>
      </c>
      <c r="S35" s="706">
        <f t="shared" si="12"/>
        <v>100</v>
      </c>
      <c r="T35" s="705" t="s">
        <v>18</v>
      </c>
      <c r="U35" s="706">
        <f t="shared" si="13"/>
        <v>100</v>
      </c>
      <c r="V35" s="705" t="s">
        <v>18</v>
      </c>
      <c r="W35" s="706">
        <f t="shared" si="14"/>
        <v>100</v>
      </c>
      <c r="X35" s="1355"/>
      <c r="Y35" s="3775"/>
      <c r="Z35" s="1356" t="str">
        <f t="shared" si="18"/>
        <v>建筑品质</v>
      </c>
      <c r="AA35" s="1353">
        <f t="shared" si="15"/>
        <v>1</v>
      </c>
      <c r="AB35" s="1353">
        <f t="shared" si="16"/>
        <v>1</v>
      </c>
      <c r="AC35" s="1353">
        <f t="shared" si="17"/>
        <v>1</v>
      </c>
    </row>
    <row r="36" spans="1:29" ht="15">
      <c r="A36" s="423"/>
      <c r="B36" s="375" t="s">
        <v>1693</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773"/>
      <c r="Q36" s="1352" t="str">
        <f t="shared" si="11"/>
        <v>公共部分装修</v>
      </c>
      <c r="R36" s="705" t="s">
        <v>18</v>
      </c>
      <c r="S36" s="706">
        <f t="shared" si="12"/>
        <v>100</v>
      </c>
      <c r="T36" s="705" t="s">
        <v>18</v>
      </c>
      <c r="U36" s="706">
        <f t="shared" si="13"/>
        <v>100</v>
      </c>
      <c r="V36" s="705" t="s">
        <v>18</v>
      </c>
      <c r="W36" s="706">
        <f t="shared" si="14"/>
        <v>100</v>
      </c>
      <c r="X36" s="1355"/>
      <c r="Y36" s="3775"/>
      <c r="Z36" s="1356" t="str">
        <f t="shared" si="18"/>
        <v>公共部分装修</v>
      </c>
      <c r="AA36" s="1353">
        <f t="shared" si="15"/>
        <v>1</v>
      </c>
      <c r="AB36" s="1353">
        <f t="shared" si="16"/>
        <v>1</v>
      </c>
      <c r="AC36" s="1353">
        <f t="shared" si="17"/>
        <v>1</v>
      </c>
    </row>
    <row r="37" spans="1:29" s="108" customFormat="1" ht="15">
      <c r="A37" s="424"/>
      <c r="B37" s="375" t="s">
        <v>1694</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73"/>
      <c r="Q37" s="1343" t="str">
        <f t="shared" si="11"/>
        <v>成新度</v>
      </c>
      <c r="R37" s="701" t="s">
        <v>18</v>
      </c>
      <c r="S37" s="702" t="e">
        <f t="shared" si="12"/>
        <v>#N/A</v>
      </c>
      <c r="T37" s="701" t="s">
        <v>18</v>
      </c>
      <c r="U37" s="702" t="e">
        <f t="shared" si="13"/>
        <v>#N/A</v>
      </c>
      <c r="V37" s="701" t="s">
        <v>18</v>
      </c>
      <c r="W37" s="702" t="e">
        <f t="shared" si="14"/>
        <v>#N/A</v>
      </c>
      <c r="X37" s="703"/>
      <c r="Y37" s="3775"/>
      <c r="Z37" s="52" t="str">
        <f t="shared" si="18"/>
        <v>成新度</v>
      </c>
      <c r="AA37" s="704" t="e">
        <f t="shared" si="15"/>
        <v>#N/A</v>
      </c>
      <c r="AB37" s="704" t="e">
        <f t="shared" si="16"/>
        <v>#N/A</v>
      </c>
      <c r="AC37" s="704" t="e">
        <f t="shared" si="17"/>
        <v>#N/A</v>
      </c>
    </row>
    <row r="38" spans="1:29" ht="15">
      <c r="A38" s="423"/>
      <c r="B38" s="375" t="s">
        <v>1695</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773" t="s">
        <v>1689</v>
      </c>
      <c r="Q38" s="1352" t="str">
        <f t="shared" si="11"/>
        <v>物业管理</v>
      </c>
      <c r="R38" s="705" t="s">
        <v>18</v>
      </c>
      <c r="S38" s="706">
        <f t="shared" si="12"/>
        <v>100</v>
      </c>
      <c r="T38" s="705" t="s">
        <v>18</v>
      </c>
      <c r="U38" s="706">
        <f t="shared" si="13"/>
        <v>100</v>
      </c>
      <c r="V38" s="705" t="s">
        <v>18</v>
      </c>
      <c r="W38" s="706">
        <f t="shared" si="14"/>
        <v>100</v>
      </c>
      <c r="X38" s="1355"/>
      <c r="Y38" s="3775" t="s">
        <v>1689</v>
      </c>
      <c r="Z38" s="1356" t="str">
        <f t="shared" si="18"/>
        <v>物业管理</v>
      </c>
      <c r="AA38" s="1353">
        <f t="shared" si="15"/>
        <v>1</v>
      </c>
      <c r="AB38" s="1353">
        <f t="shared" si="16"/>
        <v>1</v>
      </c>
      <c r="AC38" s="1353">
        <f t="shared" si="17"/>
        <v>1</v>
      </c>
    </row>
    <row r="39" spans="1:29" ht="15">
      <c r="A39" s="423"/>
      <c r="B39" s="375" t="s">
        <v>1696</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773"/>
      <c r="Q39" s="1352" t="str">
        <f t="shared" si="11"/>
        <v>市政基础设施</v>
      </c>
      <c r="R39" s="705" t="s">
        <v>18</v>
      </c>
      <c r="S39" s="706">
        <f t="shared" si="12"/>
        <v>100</v>
      </c>
      <c r="T39" s="705" t="s">
        <v>18</v>
      </c>
      <c r="U39" s="706">
        <f t="shared" si="13"/>
        <v>100</v>
      </c>
      <c r="V39" s="705" t="s">
        <v>18</v>
      </c>
      <c r="W39" s="706">
        <f t="shared" si="14"/>
        <v>100</v>
      </c>
      <c r="X39" s="1355"/>
      <c r="Y39" s="3775"/>
      <c r="Z39" s="1356" t="str">
        <f t="shared" si="18"/>
        <v>市政基础设施</v>
      </c>
      <c r="AA39" s="1353">
        <f t="shared" si="15"/>
        <v>1</v>
      </c>
      <c r="AB39" s="1353">
        <f t="shared" si="16"/>
        <v>1</v>
      </c>
      <c r="AC39" s="1353">
        <f t="shared" si="17"/>
        <v>1</v>
      </c>
    </row>
    <row r="40" spans="1:29" ht="15">
      <c r="A40" s="423"/>
      <c r="B40" s="375" t="s">
        <v>1697</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773"/>
      <c r="Q40" s="1352" t="str">
        <f t="shared" si="11"/>
        <v>房型</v>
      </c>
      <c r="R40" s="705" t="s">
        <v>18</v>
      </c>
      <c r="S40" s="706">
        <f t="shared" si="12"/>
        <v>100</v>
      </c>
      <c r="T40" s="705" t="s">
        <v>18</v>
      </c>
      <c r="U40" s="706">
        <f t="shared" si="13"/>
        <v>100</v>
      </c>
      <c r="V40" s="705" t="s">
        <v>18</v>
      </c>
      <c r="W40" s="706">
        <f t="shared" si="14"/>
        <v>100</v>
      </c>
      <c r="X40" s="1355"/>
      <c r="Y40" s="3775"/>
      <c r="Z40" s="1356" t="str">
        <f t="shared" si="18"/>
        <v>房型</v>
      </c>
      <c r="AA40" s="1353">
        <f t="shared" si="15"/>
        <v>1</v>
      </c>
      <c r="AB40" s="1353">
        <f t="shared" si="16"/>
        <v>1</v>
      </c>
      <c r="AC40" s="1353">
        <f t="shared" si="17"/>
        <v>1</v>
      </c>
    </row>
    <row r="41" spans="1:29" s="422" customFormat="1" ht="28.5">
      <c r="A41" s="419"/>
      <c r="B41" s="375" t="s">
        <v>1698</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773"/>
      <c r="Q41" s="707" t="str">
        <f t="shared" si="11"/>
        <v>单套/主力户型建筑面积</v>
      </c>
      <c r="R41" s="708" t="s">
        <v>18</v>
      </c>
      <c r="S41" s="709">
        <f t="shared" si="12"/>
        <v>100</v>
      </c>
      <c r="T41" s="708" t="s">
        <v>18</v>
      </c>
      <c r="U41" s="709">
        <f t="shared" si="13"/>
        <v>100</v>
      </c>
      <c r="V41" s="708" t="s">
        <v>18</v>
      </c>
      <c r="W41" s="709">
        <f t="shared" si="14"/>
        <v>100</v>
      </c>
      <c r="X41" s="710"/>
      <c r="Y41" s="3775"/>
      <c r="Z41" s="711" t="str">
        <f t="shared" si="18"/>
        <v>单套/主力户型建筑面积</v>
      </c>
      <c r="AA41" s="1353">
        <f t="shared" si="15"/>
        <v>1</v>
      </c>
      <c r="AB41" s="1353">
        <f t="shared" si="16"/>
        <v>1</v>
      </c>
      <c r="AC41" s="1353">
        <f t="shared" si="17"/>
        <v>1</v>
      </c>
    </row>
    <row r="42" spans="1:29" ht="15">
      <c r="A42" s="423"/>
      <c r="B42" s="375" t="s">
        <v>1699</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9"/>
      <c r="M42" s="2713"/>
      <c r="N42" s="2713"/>
      <c r="O42" s="2713"/>
      <c r="P42" s="3773"/>
      <c r="Q42" s="1352" t="str">
        <f t="shared" si="11"/>
        <v>内部装修</v>
      </c>
      <c r="R42" s="705" t="s">
        <v>18</v>
      </c>
      <c r="S42" s="706">
        <f t="shared" si="12"/>
        <v>100</v>
      </c>
      <c r="T42" s="705" t="s">
        <v>18</v>
      </c>
      <c r="U42" s="706">
        <f t="shared" si="13"/>
        <v>100</v>
      </c>
      <c r="V42" s="705" t="s">
        <v>18</v>
      </c>
      <c r="W42" s="706">
        <f t="shared" si="14"/>
        <v>100</v>
      </c>
      <c r="X42" s="1355"/>
      <c r="Y42" s="3775"/>
      <c r="Z42" s="1356" t="str">
        <f t="shared" si="18"/>
        <v>内部装修</v>
      </c>
      <c r="AA42" s="1353">
        <f t="shared" si="15"/>
        <v>1</v>
      </c>
      <c r="AB42" s="1353">
        <f t="shared" si="16"/>
        <v>1</v>
      </c>
      <c r="AC42" s="1353">
        <f t="shared" si="17"/>
        <v>1</v>
      </c>
    </row>
    <row r="43" spans="1:29" ht="15">
      <c r="A43" s="423"/>
      <c r="B43" s="375" t="s">
        <v>1700</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773"/>
      <c r="Q43" s="1352" t="str">
        <f t="shared" si="11"/>
        <v>内部装修维护情况</v>
      </c>
      <c r="R43" s="705" t="s">
        <v>18</v>
      </c>
      <c r="S43" s="706">
        <f t="shared" si="12"/>
        <v>100</v>
      </c>
      <c r="T43" s="705" t="s">
        <v>18</v>
      </c>
      <c r="U43" s="706">
        <f t="shared" si="13"/>
        <v>100</v>
      </c>
      <c r="V43" s="705" t="s">
        <v>18</v>
      </c>
      <c r="W43" s="706">
        <f t="shared" si="14"/>
        <v>100</v>
      </c>
      <c r="X43" s="1355"/>
      <c r="Y43" s="377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4"/>
      <c r="M44" s="2715"/>
      <c r="N44" s="2715"/>
      <c r="O44" s="2715"/>
      <c r="P44" s="3773"/>
      <c r="Q44" s="1343">
        <f t="shared" si="11"/>
        <v>111</v>
      </c>
      <c r="R44" s="701" t="s">
        <v>18</v>
      </c>
      <c r="S44" s="702">
        <f t="shared" si="12"/>
        <v>100</v>
      </c>
      <c r="T44" s="701" t="s">
        <v>18</v>
      </c>
      <c r="U44" s="702">
        <f t="shared" si="13"/>
        <v>100</v>
      </c>
      <c r="V44" s="701" t="s">
        <v>18</v>
      </c>
      <c r="W44" s="702">
        <f t="shared" si="14"/>
        <v>100</v>
      </c>
      <c r="X44" s="703"/>
      <c r="Y44" s="377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73"/>
      <c r="Q45" s="1352">
        <f t="shared" si="11"/>
        <v>111</v>
      </c>
      <c r="R45" s="705" t="s">
        <v>18</v>
      </c>
      <c r="S45" s="706">
        <f t="shared" si="12"/>
        <v>100</v>
      </c>
      <c r="T45" s="705" t="s">
        <v>18</v>
      </c>
      <c r="U45" s="706">
        <f t="shared" si="13"/>
        <v>100</v>
      </c>
      <c r="V45" s="705" t="s">
        <v>18</v>
      </c>
      <c r="W45" s="706">
        <f t="shared" si="14"/>
        <v>100</v>
      </c>
      <c r="X45" s="1355"/>
      <c r="Y45" s="3775"/>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74"/>
      <c r="Q46" s="1352">
        <f t="shared" si="11"/>
        <v>111</v>
      </c>
      <c r="R46" s="705" t="s">
        <v>17</v>
      </c>
      <c r="S46" s="706">
        <f t="shared" si="12"/>
        <v>100</v>
      </c>
      <c r="T46" s="705" t="s">
        <v>17</v>
      </c>
      <c r="U46" s="706">
        <f t="shared" si="13"/>
        <v>100</v>
      </c>
      <c r="V46" s="705" t="s">
        <v>17</v>
      </c>
      <c r="W46" s="706">
        <f t="shared" si="14"/>
        <v>100</v>
      </c>
      <c r="X46" s="1355"/>
      <c r="Y46" s="3776"/>
      <c r="Z46" s="1356">
        <f t="shared" si="18"/>
        <v>111</v>
      </c>
      <c r="AA46" s="1353">
        <f t="shared" si="15"/>
        <v>1</v>
      </c>
      <c r="AB46" s="1353">
        <f t="shared" si="16"/>
        <v>1</v>
      </c>
      <c r="AC46" s="1353">
        <f t="shared" si="17"/>
        <v>1</v>
      </c>
    </row>
    <row r="47" spans="1:29" ht="15">
      <c r="A47" s="430" t="s">
        <v>1701</v>
      </c>
      <c r="B47" s="431"/>
      <c r="C47" s="1154" t="s">
        <v>16</v>
      </c>
      <c r="D47" s="1155"/>
      <c r="E47" s="1156"/>
      <c r="F47" s="1157"/>
      <c r="G47" s="1158"/>
      <c r="H47" s="1159"/>
      <c r="I47" s="1156"/>
      <c r="J47" s="1159"/>
      <c r="K47" s="1913"/>
      <c r="L47" s="2721"/>
      <c r="M47" s="2722"/>
      <c r="N47" s="2713"/>
      <c r="O47" s="2722"/>
      <c r="P47" s="3768" t="str">
        <f>A47</f>
        <v>成交单价（元/平方米）</v>
      </c>
      <c r="Q47" s="3768"/>
      <c r="R47" s="3769">
        <f>E47</f>
        <v>0</v>
      </c>
      <c r="S47" s="3769"/>
      <c r="T47" s="3769">
        <f>G47</f>
        <v>0</v>
      </c>
      <c r="U47" s="3769"/>
      <c r="V47" s="3769">
        <f>I47</f>
        <v>0</v>
      </c>
      <c r="W47" s="3769"/>
      <c r="X47" s="690"/>
      <c r="Y47" s="712"/>
      <c r="Z47" s="690"/>
      <c r="AA47" s="690"/>
      <c r="AB47" s="690"/>
      <c r="AC47" s="690"/>
    </row>
    <row r="48" spans="1:29" ht="15.75" thickBot="1">
      <c r="A48" s="437" t="s">
        <v>1702</v>
      </c>
      <c r="B48" s="438"/>
      <c r="C48" s="1160" t="e">
        <f>R49</f>
        <v>#DIV/0!</v>
      </c>
      <c r="D48" s="2316" t="s">
        <v>2131</v>
      </c>
      <c r="E48" s="1161" t="e">
        <f>R48</f>
        <v>#DIV/0!</v>
      </c>
      <c r="F48" s="2317"/>
      <c r="G48" s="1160" t="e">
        <f>T48</f>
        <v>#DIV/0!</v>
      </c>
      <c r="H48" s="2317"/>
      <c r="I48" s="1161" t="e">
        <f>V48</f>
        <v>#DIV/0!</v>
      </c>
      <c r="J48" s="2317"/>
      <c r="K48" s="2318">
        <f>F48+H48+J48</f>
        <v>0</v>
      </c>
      <c r="L48" s="2721"/>
      <c r="M48" s="2722"/>
      <c r="N48" s="2722"/>
      <c r="O48" s="2722"/>
      <c r="P48" s="3768" t="str">
        <f>A48</f>
        <v>比较价值（元/平方米）</v>
      </c>
      <c r="Q48" s="3768"/>
      <c r="R48" s="3769" t="e">
        <f>IF(F1="售价",ROUND(PRODUCT(R47,AA7:AA46),0),ROUND(PRODUCT(R47,AA7:AA46),1))</f>
        <v>#DIV/0!</v>
      </c>
      <c r="S48" s="3769"/>
      <c r="T48" s="3769" t="e">
        <f>IF(F1="售价",ROUND(PRODUCT(T47,AB7:AB46),0),ROUND(PRODUCT(T47,AB7:AB46),1))</f>
        <v>#DIV/0!</v>
      </c>
      <c r="U48" s="3769"/>
      <c r="V48" s="3769" t="e">
        <f>IF(F1="售价",ROUND(PRODUCT(V47,AC7:AC46),0),ROUND(PRODUCT(V47,AC7:AC46),1))</f>
        <v>#DIV/0!</v>
      </c>
      <c r="W48" s="3769"/>
      <c r="X48" s="690"/>
      <c r="Y48" s="690"/>
      <c r="Z48" s="690"/>
      <c r="AA48" s="690"/>
      <c r="AB48" s="690"/>
      <c r="AC48" s="690"/>
    </row>
    <row r="49" spans="1:29" ht="15.75" thickBot="1">
      <c r="A49" s="441" t="s">
        <v>1703</v>
      </c>
      <c r="B49" s="442"/>
      <c r="C49" s="1162" t="e">
        <f>R49</f>
        <v>#DIV/0!</v>
      </c>
      <c r="D49" s="1163"/>
      <c r="E49" s="1163"/>
      <c r="F49" s="1163"/>
      <c r="G49" s="1163"/>
      <c r="H49" s="1163"/>
      <c r="I49" s="1163"/>
      <c r="J49" s="1163"/>
      <c r="K49" s="1914"/>
      <c r="L49" s="2721"/>
      <c r="M49" s="2722"/>
      <c r="N49" s="2722"/>
      <c r="O49" s="2722"/>
      <c r="P49" s="3765" t="str">
        <f>A49</f>
        <v>估价对象XX用房的比较价值（楼面单价，元/平方米）</v>
      </c>
      <c r="Q49" s="3766"/>
      <c r="R49" s="3767" t="e">
        <f>IF(F1="售价",ROUND(IF(D48="简单平均",AVERAGE(R48:V48),R48*F48+T48*H48+V48*J48),0),ROUND(IF(D48="简单平均",AVERAGE(R48:V48),R48*F48+T48*H48+V48*J48),1))</f>
        <v>#DIV/0!</v>
      </c>
      <c r="S49" s="3767"/>
      <c r="T49" s="3767"/>
      <c r="U49" s="3767"/>
      <c r="V49" s="3767"/>
      <c r="W49" s="3767"/>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1705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1706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4" t="s">
        <v>1707</v>
      </c>
      <c r="B57" s="690"/>
      <c r="C57" s="695"/>
      <c r="D57" s="695"/>
      <c r="E57" s="695"/>
      <c r="F57" s="696"/>
      <c r="G57" s="696"/>
      <c r="H57" s="695"/>
      <c r="I57" s="695"/>
      <c r="J57" s="695"/>
      <c r="K57" s="941"/>
      <c r="L57" s="942"/>
      <c r="M57" s="940"/>
      <c r="N57" s="940"/>
      <c r="O57" s="940"/>
      <c r="P57" s="1917"/>
      <c r="Q57" s="453"/>
    </row>
    <row r="58" spans="1:29" s="457" customFormat="1" ht="15">
      <c r="A58" s="454" t="s">
        <v>1708</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1709</v>
      </c>
      <c r="B60" s="465"/>
      <c r="C60" s="466"/>
      <c r="D60" s="467"/>
      <c r="E60" s="467"/>
      <c r="F60" s="467"/>
      <c r="G60" s="467"/>
      <c r="H60" s="467"/>
      <c r="I60" s="467"/>
      <c r="J60" s="467"/>
      <c r="K60" s="467"/>
      <c r="L60" s="467"/>
      <c r="M60" s="468"/>
      <c r="N60" s="467"/>
      <c r="O60" s="468"/>
      <c r="P60" s="1919"/>
      <c r="Q60" s="453"/>
    </row>
    <row r="61" spans="1:29" s="108" customFormat="1" ht="15">
      <c r="A61" s="470" t="s">
        <v>1710</v>
      </c>
      <c r="B61" s="459"/>
      <c r="C61" s="471" t="s">
        <v>1711</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1712</v>
      </c>
      <c r="B63" s="477" t="s">
        <v>1678</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1681</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1682</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1683</v>
      </c>
      <c r="B76" s="477" t="s">
        <v>1713</v>
      </c>
      <c r="C76" s="522" t="s">
        <v>1714</v>
      </c>
      <c r="D76" s="522" t="s">
        <v>1715</v>
      </c>
      <c r="E76" s="522" t="s">
        <v>1716</v>
      </c>
      <c r="F76" s="522" t="s">
        <v>1717</v>
      </c>
      <c r="G76" s="522" t="s">
        <v>1718</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1719</v>
      </c>
      <c r="C78" s="527" t="s">
        <v>1714</v>
      </c>
      <c r="D78" s="527" t="s">
        <v>1715</v>
      </c>
      <c r="E78" s="527" t="s">
        <v>1716</v>
      </c>
      <c r="F78" s="527" t="s">
        <v>1717</v>
      </c>
      <c r="G78" s="527" t="s">
        <v>1718</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1720</v>
      </c>
      <c r="C80" s="527" t="s">
        <v>1714</v>
      </c>
      <c r="D80" s="527" t="s">
        <v>1715</v>
      </c>
      <c r="E80" s="527" t="s">
        <v>1716</v>
      </c>
      <c r="F80" s="527" t="s">
        <v>1717</v>
      </c>
      <c r="G80" s="527" t="s">
        <v>1718</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1253</v>
      </c>
      <c r="C82" s="488" t="s">
        <v>1721</v>
      </c>
      <c r="D82" s="488" t="s">
        <v>1722</v>
      </c>
      <c r="E82" s="488" t="s">
        <v>1723</v>
      </c>
      <c r="F82" s="488" t="s">
        <v>1724</v>
      </c>
      <c r="G82" s="488" t="s">
        <v>1725</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1726</v>
      </c>
      <c r="C84" s="527" t="s">
        <v>1714</v>
      </c>
      <c r="D84" s="527" t="s">
        <v>1715</v>
      </c>
      <c r="E84" s="527" t="s">
        <v>1716</v>
      </c>
      <c r="F84" s="527" t="s">
        <v>1717</v>
      </c>
      <c r="G84" s="527" t="s">
        <v>1718</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1727</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1728</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1687</v>
      </c>
      <c r="B100" s="477" t="s">
        <v>1729</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1730</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1731</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1732</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1733</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1183</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1734</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1735</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1736</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1698</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1737</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1738</v>
      </c>
      <c r="C124" s="527" t="s">
        <v>1714</v>
      </c>
      <c r="D124" s="527" t="s">
        <v>1715</v>
      </c>
      <c r="E124" s="527" t="s">
        <v>1716</v>
      </c>
      <c r="F124" s="527" t="s">
        <v>1717</v>
      </c>
      <c r="G124" s="527" t="s">
        <v>1718</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1739</v>
      </c>
    </row>
    <row r="137" spans="1:17" ht="15">
      <c r="B137" s="1929" t="s">
        <v>1740</v>
      </c>
      <c r="C137" s="1930"/>
      <c r="D137" s="1930"/>
      <c r="E137" s="1930"/>
      <c r="F137" s="1930"/>
      <c r="G137" s="1931"/>
      <c r="H137" s="1932"/>
      <c r="I137" s="1933" t="s">
        <v>1741</v>
      </c>
      <c r="J137" s="1930"/>
      <c r="K137" s="1934"/>
    </row>
    <row r="138" spans="1:17" ht="15">
      <c r="B138" s="1935"/>
      <c r="C138" s="137" t="s">
        <v>1742</v>
      </c>
      <c r="D138" s="137" t="s">
        <v>1743</v>
      </c>
      <c r="E138" s="1936" t="s">
        <v>1744</v>
      </c>
      <c r="F138" s="1937" t="s">
        <v>1745</v>
      </c>
      <c r="G138" s="137" t="s">
        <v>1743</v>
      </c>
      <c r="H138" s="138" t="s">
        <v>1744</v>
      </c>
      <c r="I138" s="1938"/>
      <c r="J138" s="137" t="s">
        <v>1746</v>
      </c>
      <c r="K138" s="138" t="s">
        <v>1747</v>
      </c>
    </row>
    <row r="139" spans="1:17" ht="15">
      <c r="B139" s="867">
        <v>6</v>
      </c>
      <c r="C139" s="868">
        <v>96</v>
      </c>
      <c r="D139" s="1939" t="s">
        <v>1748</v>
      </c>
      <c r="E139" s="869">
        <v>100</v>
      </c>
      <c r="F139" s="870">
        <v>102.5</v>
      </c>
      <c r="G139" s="1939" t="s">
        <v>1748</v>
      </c>
      <c r="H139" s="871">
        <v>105</v>
      </c>
      <c r="I139" s="1940" t="s">
        <v>1749</v>
      </c>
      <c r="J139" s="868">
        <v>20</v>
      </c>
      <c r="K139" s="872">
        <f>C145/(J139-2)</f>
        <v>4.0555555555555553E-3</v>
      </c>
    </row>
    <row r="140" spans="1:17" ht="15">
      <c r="B140" s="873">
        <v>5</v>
      </c>
      <c r="C140" s="874">
        <v>100</v>
      </c>
      <c r="D140" s="874"/>
      <c r="E140" s="875"/>
      <c r="F140" s="876">
        <v>102</v>
      </c>
      <c r="G140" s="874"/>
      <c r="H140" s="877"/>
      <c r="I140" s="1941" t="s">
        <v>1750</v>
      </c>
      <c r="J140" s="271">
        <f>ROUNDUP((J139-1)/2,0)</f>
        <v>10</v>
      </c>
      <c r="K140" s="878">
        <v>100</v>
      </c>
    </row>
    <row r="141" spans="1:17" ht="15">
      <c r="B141" s="873">
        <v>4</v>
      </c>
      <c r="C141" s="874">
        <v>102</v>
      </c>
      <c r="D141" s="874"/>
      <c r="E141" s="875"/>
      <c r="F141" s="876">
        <v>101.5</v>
      </c>
      <c r="G141" s="874"/>
      <c r="H141" s="877"/>
      <c r="I141" s="1941" t="s">
        <v>1751</v>
      </c>
      <c r="J141" s="271">
        <v>1</v>
      </c>
      <c r="K141" s="879">
        <f>ROUND(100+(J141-J140)*K139*100,1)</f>
        <v>96.4</v>
      </c>
    </row>
    <row r="142" spans="1:17" ht="15">
      <c r="B142" s="873">
        <v>3</v>
      </c>
      <c r="C142" s="874">
        <v>103</v>
      </c>
      <c r="D142" s="874"/>
      <c r="E142" s="875"/>
      <c r="F142" s="876">
        <v>101</v>
      </c>
      <c r="G142" s="874"/>
      <c r="H142" s="877"/>
      <c r="I142" s="1941" t="s">
        <v>1752</v>
      </c>
      <c r="J142" s="271">
        <f>J139</f>
        <v>20</v>
      </c>
      <c r="K142" s="880">
        <v>95</v>
      </c>
    </row>
    <row r="143" spans="1:17" ht="15">
      <c r="B143" s="873">
        <v>2</v>
      </c>
      <c r="C143" s="874">
        <v>100</v>
      </c>
      <c r="D143" s="874"/>
      <c r="E143" s="875"/>
      <c r="F143" s="876">
        <v>100.5</v>
      </c>
      <c r="G143" s="874"/>
      <c r="H143" s="877"/>
      <c r="I143" s="1941" t="s">
        <v>1753</v>
      </c>
      <c r="J143" s="874">
        <v>15</v>
      </c>
      <c r="K143" s="879">
        <f>ROUND(100+(J143-J140)*K139*100,1)</f>
        <v>102</v>
      </c>
    </row>
    <row r="144" spans="1:17" ht="15">
      <c r="B144" s="873">
        <v>1</v>
      </c>
      <c r="C144" s="874">
        <v>98</v>
      </c>
      <c r="D144" s="1942" t="s">
        <v>1754</v>
      </c>
      <c r="E144" s="875">
        <v>102</v>
      </c>
      <c r="F144" s="881">
        <v>100</v>
      </c>
      <c r="G144" s="1942" t="s">
        <v>1754</v>
      </c>
      <c r="H144" s="877">
        <v>105</v>
      </c>
      <c r="I144" s="1941" t="s">
        <v>1753</v>
      </c>
      <c r="J144" s="874">
        <v>18</v>
      </c>
      <c r="K144" s="879">
        <f>ROUND(100+(J144-J140)*K139*100,1)</f>
        <v>103.2</v>
      </c>
    </row>
    <row r="145" spans="2:11" ht="15.75" thickBot="1">
      <c r="B145" s="1943" t="s">
        <v>1755</v>
      </c>
      <c r="C145" s="882">
        <f>ROUND(MAX(C139:C144)/MIN(C139:C144)-1,3)</f>
        <v>7.2999999999999995E-2</v>
      </c>
      <c r="D145" s="883"/>
      <c r="E145" s="883"/>
      <c r="F145" s="1944" t="s">
        <v>1756</v>
      </c>
      <c r="G145" s="1945"/>
      <c r="H145" s="1946"/>
      <c r="I145" s="1947" t="s">
        <v>1753</v>
      </c>
      <c r="J145" s="884">
        <v>8</v>
      </c>
      <c r="K145" s="885">
        <f>ROUND(100+(J145-J140)*K139*100,1)</f>
        <v>99.2</v>
      </c>
    </row>
    <row r="147" spans="2:11">
      <c r="B147" s="1928" t="s">
        <v>1757</v>
      </c>
    </row>
    <row r="148" spans="2:11">
      <c r="B148" s="1928" t="s">
        <v>1758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877" t="s">
        <v>1759</v>
      </c>
      <c r="C1" s="1238" t="s">
        <v>1655</v>
      </c>
      <c r="D1" s="1225"/>
      <c r="E1" s="3421"/>
      <c r="F1" s="1878"/>
      <c r="G1" s="1235" t="s">
        <v>1760</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1455</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1456</v>
      </c>
      <c r="F2" s="1882"/>
      <c r="G2" s="908"/>
      <c r="H2" s="908"/>
      <c r="I2" s="908"/>
      <c r="J2" s="908"/>
      <c r="K2" s="908"/>
      <c r="L2" s="2731"/>
      <c r="M2" s="2732"/>
      <c r="N2" s="2732"/>
      <c r="O2" s="2732"/>
      <c r="P2" s="1951"/>
      <c r="Q2" s="912"/>
      <c r="R2" s="912"/>
      <c r="S2" s="912"/>
      <c r="T2" s="912"/>
      <c r="U2" s="912"/>
      <c r="V2" s="912"/>
      <c r="W2" s="912"/>
      <c r="X2" s="912"/>
      <c r="Y2" s="912"/>
      <c r="Z2" s="912"/>
      <c r="AA2" s="912"/>
      <c r="AB2" s="912"/>
      <c r="AC2" s="1952"/>
    </row>
    <row r="3" spans="1:29" s="352" customFormat="1" ht="28.5" customHeight="1" thickBot="1">
      <c r="A3" s="203" t="s">
        <v>1457</v>
      </c>
      <c r="B3" s="558">
        <f>IF(C2="——",C49,ROUND(B2*10000/D3,0))</f>
        <v>0</v>
      </c>
      <c r="C3" s="354" t="s">
        <v>1761</v>
      </c>
      <c r="D3" s="353">
        <f>IF(D1="",'数据-汇总表'!E3,SUMIF('数据-汇总表'!$C19:$C33,D1,'数据-汇总表'!$E19:$E33))</f>
        <v>63063.880000000005</v>
      </c>
      <c r="E3" s="1953"/>
      <c r="F3" s="909"/>
      <c r="G3" s="908"/>
      <c r="H3" s="908"/>
      <c r="I3" s="908"/>
      <c r="J3" s="908"/>
      <c r="K3" s="910"/>
      <c r="L3" s="2731"/>
      <c r="M3" s="2732"/>
      <c r="N3" s="2732"/>
      <c r="O3" s="2732"/>
      <c r="P3" s="1951"/>
      <c r="Q3" s="912"/>
      <c r="R3" s="912"/>
      <c r="S3" s="912"/>
      <c r="T3" s="912"/>
      <c r="U3" s="912"/>
      <c r="V3" s="912"/>
      <c r="W3" s="912"/>
      <c r="X3" s="912"/>
      <c r="Y3" s="912"/>
      <c r="Z3" s="912"/>
      <c r="AA3" s="912"/>
      <c r="AB3" s="912"/>
      <c r="AC3" s="1953"/>
    </row>
    <row r="4" spans="1:29" ht="15">
      <c r="A4" s="355" t="s">
        <v>1762</v>
      </c>
      <c r="B4" s="356"/>
      <c r="C4" s="3751" t="s">
        <v>1763</v>
      </c>
      <c r="D4" s="3752"/>
      <c r="E4" s="3753" t="s">
        <v>1764</v>
      </c>
      <c r="F4" s="3754"/>
      <c r="G4" s="3751" t="s">
        <v>1765</v>
      </c>
      <c r="H4" s="3752"/>
      <c r="I4" s="3751" t="s">
        <v>1766</v>
      </c>
      <c r="J4" s="3752"/>
      <c r="K4" s="559" t="s">
        <v>1767</v>
      </c>
      <c r="L4" s="2712"/>
      <c r="M4" s="2713"/>
      <c r="N4" s="2713"/>
      <c r="O4" s="2713"/>
      <c r="P4" s="3755" t="s">
        <v>1768</v>
      </c>
      <c r="Q4" s="3756"/>
      <c r="R4" s="3738" t="s">
        <v>1764</v>
      </c>
      <c r="S4" s="3739"/>
      <c r="T4" s="3738" t="s">
        <v>1765</v>
      </c>
      <c r="U4" s="3739"/>
      <c r="V4" s="3763" t="s">
        <v>1766</v>
      </c>
      <c r="W4" s="3763"/>
      <c r="X4" s="1355"/>
      <c r="Y4" s="3738" t="s">
        <v>1768</v>
      </c>
      <c r="Z4" s="3739"/>
      <c r="AA4" s="3733" t="s">
        <v>1764</v>
      </c>
      <c r="AB4" s="3763" t="s">
        <v>1765</v>
      </c>
      <c r="AC4" s="3733" t="s">
        <v>1766</v>
      </c>
    </row>
    <row r="5" spans="1:29" ht="15">
      <c r="A5" s="358"/>
      <c r="B5" s="359"/>
      <c r="C5" s="3744" t="s">
        <v>1666</v>
      </c>
      <c r="D5" s="3745"/>
      <c r="E5" s="3742" t="s">
        <v>1667</v>
      </c>
      <c r="F5" s="3743"/>
      <c r="G5" s="3744" t="s">
        <v>1668</v>
      </c>
      <c r="H5" s="3745"/>
      <c r="I5" s="3744" t="s">
        <v>1669</v>
      </c>
      <c r="J5" s="3745"/>
      <c r="K5" s="559"/>
      <c r="L5" s="2712"/>
      <c r="M5" s="2713"/>
      <c r="N5" s="2713"/>
      <c r="O5" s="2713"/>
      <c r="P5" s="3757"/>
      <c r="Q5" s="3758"/>
      <c r="R5" s="3740"/>
      <c r="S5" s="3741"/>
      <c r="T5" s="3740"/>
      <c r="U5" s="3741"/>
      <c r="V5" s="3763"/>
      <c r="W5" s="3763"/>
      <c r="X5" s="1355"/>
      <c r="Y5" s="3740"/>
      <c r="Z5" s="3741"/>
      <c r="AA5" s="3734"/>
      <c r="AB5" s="3763"/>
      <c r="AC5" s="3734"/>
    </row>
    <row r="6" spans="1:29" ht="15.75" thickBot="1">
      <c r="A6" s="360"/>
      <c r="B6" s="361"/>
      <c r="C6" s="3746" t="s">
        <v>1670</v>
      </c>
      <c r="D6" s="3747"/>
      <c r="E6" s="3748" t="s">
        <v>1670</v>
      </c>
      <c r="F6" s="3749"/>
      <c r="G6" s="3746" t="s">
        <v>1670</v>
      </c>
      <c r="H6" s="3747"/>
      <c r="I6" s="3746" t="s">
        <v>1670</v>
      </c>
      <c r="J6" s="3747"/>
      <c r="K6" s="559" t="s">
        <v>1671</v>
      </c>
      <c r="L6" s="2712"/>
      <c r="M6" s="2713"/>
      <c r="N6" s="2713"/>
      <c r="O6" s="2713"/>
      <c r="P6" s="3759"/>
      <c r="Q6" s="3760"/>
      <c r="R6" s="3740"/>
      <c r="S6" s="3741"/>
      <c r="T6" s="3761"/>
      <c r="U6" s="3762"/>
      <c r="V6" s="3763"/>
      <c r="W6" s="3763"/>
      <c r="X6" s="1355"/>
      <c r="Y6" s="3761"/>
      <c r="Z6" s="3762"/>
      <c r="AA6" s="3735"/>
      <c r="AB6" s="3763"/>
      <c r="AC6" s="3735"/>
    </row>
    <row r="7" spans="1:29" s="108" customFormat="1" ht="15.75" thickBot="1">
      <c r="A7" s="362" t="s">
        <v>1672</v>
      </c>
      <c r="B7" s="363"/>
      <c r="C7" s="364">
        <f>'数据-取费表'!B2</f>
        <v>45352</v>
      </c>
      <c r="D7" s="365">
        <v>100</v>
      </c>
      <c r="E7" s="366"/>
      <c r="F7" s="367">
        <f>SUMIF(58:58,YEAR(E7)&amp;"-"&amp;MONTH(E7),59:59)</f>
        <v>0</v>
      </c>
      <c r="G7" s="366"/>
      <c r="H7" s="365">
        <f>SUMIF(58:58,YEAR(G7)&amp;"-"&amp;MONTH(G7),59:59)</f>
        <v>0</v>
      </c>
      <c r="I7" s="366"/>
      <c r="J7" s="365">
        <f>SUMIF(58:58,YEAR(I7)&amp;"-"&amp;MONTH(I7),59:59)</f>
        <v>0</v>
      </c>
      <c r="K7" s="560"/>
      <c r="L7" s="2714"/>
      <c r="M7" s="2715"/>
      <c r="N7" s="2715"/>
      <c r="O7" s="2715"/>
      <c r="P7" s="3736" t="s">
        <v>1673</v>
      </c>
      <c r="Q7" s="3764"/>
      <c r="R7" s="701" t="s">
        <v>14</v>
      </c>
      <c r="S7" s="702">
        <f t="shared" ref="S7:S15" si="0">F7</f>
        <v>0</v>
      </c>
      <c r="T7" s="701" t="s">
        <v>14</v>
      </c>
      <c r="U7" s="702">
        <f t="shared" ref="U7:U15" si="1">H7</f>
        <v>0</v>
      </c>
      <c r="V7" s="701" t="s">
        <v>14</v>
      </c>
      <c r="W7" s="702">
        <f t="shared" ref="W7:W15" si="2">J7</f>
        <v>0</v>
      </c>
      <c r="X7" s="703"/>
      <c r="Y7" s="3736" t="s">
        <v>1673</v>
      </c>
      <c r="Z7" s="3737"/>
      <c r="AA7" s="704" t="e">
        <f>D7/F7</f>
        <v>#DIV/0!</v>
      </c>
      <c r="AB7" s="704" t="e">
        <f>D7/H7</f>
        <v>#DIV/0!</v>
      </c>
      <c r="AC7" s="704" t="e">
        <f>D7/J7</f>
        <v>#DIV/0!</v>
      </c>
    </row>
    <row r="8" spans="1:29" s="108" customFormat="1" ht="15.75" thickBot="1">
      <c r="A8" s="362" t="s">
        <v>1674</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736" t="s">
        <v>1676</v>
      </c>
      <c r="Q8" s="3737"/>
      <c r="R8" s="701" t="s">
        <v>14</v>
      </c>
      <c r="S8" s="702">
        <f t="shared" si="0"/>
        <v>100</v>
      </c>
      <c r="T8" s="701" t="s">
        <v>14</v>
      </c>
      <c r="U8" s="702">
        <f t="shared" si="1"/>
        <v>100</v>
      </c>
      <c r="V8" s="701" t="s">
        <v>14</v>
      </c>
      <c r="W8" s="702">
        <f t="shared" si="2"/>
        <v>100</v>
      </c>
      <c r="X8" s="703"/>
      <c r="Y8" s="3736" t="s">
        <v>1676</v>
      </c>
      <c r="Z8" s="3737"/>
      <c r="AA8" s="704">
        <f t="shared" ref="AA8:AA46" si="3">D8/F8</f>
        <v>1</v>
      </c>
      <c r="AB8" s="704">
        <f t="shared" ref="AB8:AB46" si="4">D8/H8</f>
        <v>1</v>
      </c>
      <c r="AC8" s="704">
        <f t="shared" ref="AC8:AC46" si="5">D8/J8</f>
        <v>1</v>
      </c>
    </row>
    <row r="9" spans="1:29" s="108" customFormat="1">
      <c r="A9" s="369" t="s">
        <v>1677</v>
      </c>
      <c r="B9" s="63" t="s">
        <v>1678</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50" t="s">
        <v>1679</v>
      </c>
      <c r="Q9" s="1343" t="str">
        <f t="shared" ref="Q9:Q15" si="6">B9</f>
        <v>用途</v>
      </c>
      <c r="R9" s="701" t="s">
        <v>14</v>
      </c>
      <c r="S9" s="702">
        <f t="shared" si="0"/>
        <v>100</v>
      </c>
      <c r="T9" s="701" t="s">
        <v>14</v>
      </c>
      <c r="U9" s="702">
        <f t="shared" si="1"/>
        <v>100</v>
      </c>
      <c r="V9" s="701" t="s">
        <v>14</v>
      </c>
      <c r="W9" s="702">
        <f t="shared" si="2"/>
        <v>100</v>
      </c>
      <c r="X9" s="703"/>
      <c r="Y9" s="3661" t="s">
        <v>1680</v>
      </c>
      <c r="Z9" s="52" t="str">
        <f t="shared" ref="Z9:Z15" si="7">Q9</f>
        <v>用途</v>
      </c>
      <c r="AA9" s="704">
        <f t="shared" si="3"/>
        <v>1</v>
      </c>
      <c r="AB9" s="704">
        <f t="shared" si="4"/>
        <v>1</v>
      </c>
      <c r="AC9" s="704">
        <f t="shared" si="5"/>
        <v>1</v>
      </c>
    </row>
    <row r="10" spans="1:29" s="378" customFormat="1" ht="27">
      <c r="A10" s="374"/>
      <c r="B10" s="375" t="s">
        <v>1681</v>
      </c>
      <c r="C10" s="3429"/>
      <c r="D10" s="127">
        <v>100</v>
      </c>
      <c r="E10" s="3430"/>
      <c r="F10" s="376">
        <f>SUMIF(65:65,E10,66:66)-SUMIF(65:65,C10,66:66)+100</f>
        <v>100</v>
      </c>
      <c r="G10" s="3429"/>
      <c r="H10" s="127">
        <f>SUMIF(65:65,G10,66:66)-SUMIF(65:65,C10,66:66)+100</f>
        <v>100</v>
      </c>
      <c r="I10" s="3429"/>
      <c r="J10" s="127">
        <f>SUMIF(65:65,I10,66:66)-SUMIF(65:65,C10,66:66)+100</f>
        <v>100</v>
      </c>
      <c r="K10" s="560"/>
      <c r="L10" s="2716"/>
      <c r="M10" s="2717"/>
      <c r="N10" s="2717"/>
      <c r="O10" s="2717"/>
      <c r="P10" s="3750"/>
      <c r="Q10" s="1343" t="str">
        <f t="shared" si="6"/>
        <v>土地使用年限（年）</v>
      </c>
      <c r="R10" s="701" t="s">
        <v>14</v>
      </c>
      <c r="S10" s="702">
        <f t="shared" si="0"/>
        <v>100</v>
      </c>
      <c r="T10" s="701" t="s">
        <v>14</v>
      </c>
      <c r="U10" s="702">
        <f t="shared" si="1"/>
        <v>100</v>
      </c>
      <c r="V10" s="701" t="s">
        <v>14</v>
      </c>
      <c r="W10" s="702">
        <f t="shared" si="2"/>
        <v>100</v>
      </c>
      <c r="X10" s="703"/>
      <c r="Y10" s="3661"/>
      <c r="Z10" s="52" t="str">
        <f t="shared" si="7"/>
        <v>土地使用年限（年）</v>
      </c>
      <c r="AA10" s="704">
        <f t="shared" si="3"/>
        <v>1</v>
      </c>
      <c r="AB10" s="704">
        <f t="shared" si="4"/>
        <v>1</v>
      </c>
      <c r="AC10" s="704">
        <f t="shared" si="5"/>
        <v>1</v>
      </c>
    </row>
    <row r="11" spans="1:29" ht="15">
      <c r="A11" s="379"/>
      <c r="B11" s="375" t="s">
        <v>1682</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50"/>
      <c r="Q11" s="1343" t="str">
        <f t="shared" si="6"/>
        <v>容积率</v>
      </c>
      <c r="R11" s="701" t="s">
        <v>14</v>
      </c>
      <c r="S11" s="702" t="e">
        <f t="shared" si="0"/>
        <v>#N/A</v>
      </c>
      <c r="T11" s="701" t="s">
        <v>14</v>
      </c>
      <c r="U11" s="702" t="e">
        <f t="shared" si="1"/>
        <v>#N/A</v>
      </c>
      <c r="V11" s="701" t="s">
        <v>14</v>
      </c>
      <c r="W11" s="702" t="e">
        <f t="shared" si="2"/>
        <v>#N/A</v>
      </c>
      <c r="X11" s="703"/>
      <c r="Y11" s="3661"/>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50"/>
      <c r="Q12" s="1343">
        <f t="shared" si="6"/>
        <v>111</v>
      </c>
      <c r="R12" s="701" t="s">
        <v>14</v>
      </c>
      <c r="S12" s="702">
        <f t="shared" si="0"/>
        <v>100</v>
      </c>
      <c r="T12" s="701" t="s">
        <v>14</v>
      </c>
      <c r="U12" s="702">
        <f t="shared" si="1"/>
        <v>100</v>
      </c>
      <c r="V12" s="701" t="s">
        <v>14</v>
      </c>
      <c r="W12" s="702">
        <f t="shared" si="2"/>
        <v>100</v>
      </c>
      <c r="X12" s="703"/>
      <c r="Y12" s="3661"/>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50"/>
      <c r="Q13" s="1343">
        <f t="shared" si="6"/>
        <v>111</v>
      </c>
      <c r="R13" s="701" t="s">
        <v>14</v>
      </c>
      <c r="S13" s="702">
        <f t="shared" si="0"/>
        <v>100</v>
      </c>
      <c r="T13" s="701" t="s">
        <v>14</v>
      </c>
      <c r="U13" s="702">
        <f t="shared" si="1"/>
        <v>100</v>
      </c>
      <c r="V13" s="701" t="s">
        <v>14</v>
      </c>
      <c r="W13" s="702">
        <f t="shared" si="2"/>
        <v>100</v>
      </c>
      <c r="X13" s="703"/>
      <c r="Y13" s="3661"/>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50"/>
      <c r="Q14" s="1343">
        <f t="shared" si="6"/>
        <v>111</v>
      </c>
      <c r="R14" s="701" t="s">
        <v>14</v>
      </c>
      <c r="S14" s="702">
        <f t="shared" si="0"/>
        <v>100</v>
      </c>
      <c r="T14" s="701" t="s">
        <v>14</v>
      </c>
      <c r="U14" s="702">
        <f t="shared" si="1"/>
        <v>100</v>
      </c>
      <c r="V14" s="701" t="s">
        <v>14</v>
      </c>
      <c r="W14" s="702">
        <f t="shared" si="2"/>
        <v>100</v>
      </c>
      <c r="X14" s="703"/>
      <c r="Y14" s="3661"/>
      <c r="Z14" s="52">
        <f t="shared" si="7"/>
        <v>111</v>
      </c>
      <c r="AA14" s="704">
        <f t="shared" si="3"/>
        <v>1</v>
      </c>
      <c r="AB14" s="704">
        <f t="shared" si="4"/>
        <v>1</v>
      </c>
      <c r="AC14" s="704">
        <f t="shared" si="5"/>
        <v>1</v>
      </c>
    </row>
    <row r="15" spans="1:29" ht="15">
      <c r="A15" s="391" t="s">
        <v>1683</v>
      </c>
      <c r="B15" s="61" t="s">
        <v>1770</v>
      </c>
      <c r="C15" s="1895"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77" t="s">
        <v>1684</v>
      </c>
      <c r="Q15" s="1352" t="str">
        <f t="shared" si="6"/>
        <v>商业繁华度</v>
      </c>
      <c r="R15" s="705" t="s">
        <v>14</v>
      </c>
      <c r="S15" s="706">
        <f t="shared" si="0"/>
        <v>100</v>
      </c>
      <c r="T15" s="705" t="s">
        <v>14</v>
      </c>
      <c r="U15" s="706">
        <f t="shared" si="1"/>
        <v>100</v>
      </c>
      <c r="V15" s="705" t="s">
        <v>14</v>
      </c>
      <c r="W15" s="706">
        <f t="shared" si="2"/>
        <v>100</v>
      </c>
      <c r="X15" s="1355"/>
      <c r="Y15" s="3770" t="s">
        <v>1684</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78"/>
      <c r="Q16" s="1352"/>
      <c r="R16" s="705"/>
      <c r="S16" s="706"/>
      <c r="T16" s="705"/>
      <c r="U16" s="706"/>
      <c r="V16" s="705"/>
      <c r="W16" s="706"/>
      <c r="X16" s="1355"/>
      <c r="Y16" s="3771"/>
      <c r="Z16" s="1356"/>
      <c r="AA16" s="1353">
        <v>1</v>
      </c>
      <c r="AB16" s="1353">
        <v>1</v>
      </c>
      <c r="AC16" s="1353">
        <v>1</v>
      </c>
    </row>
    <row r="17" spans="1:29" ht="15">
      <c r="A17" s="379"/>
      <c r="B17" s="402" t="s">
        <v>1252</v>
      </c>
      <c r="C17" s="1899"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78"/>
      <c r="Q17" s="1352" t="str">
        <f>B17</f>
        <v>交通便捷度</v>
      </c>
      <c r="R17" s="705" t="s">
        <v>14</v>
      </c>
      <c r="S17" s="706">
        <f>F17</f>
        <v>100</v>
      </c>
      <c r="T17" s="705" t="s">
        <v>14</v>
      </c>
      <c r="U17" s="706">
        <f>H17</f>
        <v>100</v>
      </c>
      <c r="V17" s="705" t="s">
        <v>14</v>
      </c>
      <c r="W17" s="706">
        <f>J17</f>
        <v>100</v>
      </c>
      <c r="X17" s="1355"/>
      <c r="Y17" s="3771"/>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19"/>
      <c r="M18" s="2713"/>
      <c r="N18" s="2713"/>
      <c r="O18" s="2713"/>
      <c r="P18" s="3778"/>
      <c r="Q18" s="1352"/>
      <c r="R18" s="705"/>
      <c r="S18" s="706"/>
      <c r="T18" s="705"/>
      <c r="U18" s="706"/>
      <c r="V18" s="705"/>
      <c r="W18" s="706"/>
      <c r="X18" s="1355"/>
      <c r="Y18" s="3771"/>
      <c r="Z18" s="1356"/>
      <c r="AA18" s="1353">
        <v>1</v>
      </c>
      <c r="AB18" s="1353">
        <v>1</v>
      </c>
      <c r="AC18" s="1353">
        <v>1</v>
      </c>
    </row>
    <row r="19" spans="1:29" ht="15">
      <c r="A19" s="379"/>
      <c r="B19" s="402" t="s">
        <v>1771</v>
      </c>
      <c r="C19" s="1899"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78"/>
      <c r="Q19" s="1352" t="str">
        <f>B19</f>
        <v>公共配套设施</v>
      </c>
      <c r="R19" s="705" t="s">
        <v>14</v>
      </c>
      <c r="S19" s="706">
        <f>F19</f>
        <v>100</v>
      </c>
      <c r="T19" s="705" t="s">
        <v>14</v>
      </c>
      <c r="U19" s="706">
        <f>H19</f>
        <v>100</v>
      </c>
      <c r="V19" s="705" t="s">
        <v>14</v>
      </c>
      <c r="W19" s="706">
        <f>J19</f>
        <v>100</v>
      </c>
      <c r="X19" s="1355"/>
      <c r="Y19" s="3771"/>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19"/>
      <c r="M20" s="2713"/>
      <c r="N20" s="2713"/>
      <c r="O20" s="2713"/>
      <c r="P20" s="3778"/>
      <c r="Q20" s="1352"/>
      <c r="R20" s="705"/>
      <c r="S20" s="706"/>
      <c r="T20" s="705"/>
      <c r="U20" s="706"/>
      <c r="V20" s="705"/>
      <c r="W20" s="706"/>
      <c r="X20" s="1355"/>
      <c r="Y20" s="3771"/>
      <c r="Z20" s="1356"/>
      <c r="AA20" s="1353">
        <v>1</v>
      </c>
      <c r="AB20" s="1353">
        <v>1</v>
      </c>
      <c r="AC20" s="1353">
        <v>1</v>
      </c>
    </row>
    <row r="21" spans="1:29" ht="15">
      <c r="A21" s="379"/>
      <c r="B21" s="1131" t="s">
        <v>1772</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78"/>
      <c r="Q21" s="1352" t="str">
        <f>B21</f>
        <v>基础设施水平</v>
      </c>
      <c r="R21" s="705" t="s">
        <v>14</v>
      </c>
      <c r="S21" s="706">
        <f>F21</f>
        <v>100</v>
      </c>
      <c r="T21" s="705" t="s">
        <v>14</v>
      </c>
      <c r="U21" s="706">
        <f>H21</f>
        <v>100</v>
      </c>
      <c r="V21" s="705" t="s">
        <v>14</v>
      </c>
      <c r="W21" s="706">
        <f>J21</f>
        <v>100</v>
      </c>
      <c r="X21" s="1355"/>
      <c r="Y21" s="3771"/>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19"/>
      <c r="M22" s="2713"/>
      <c r="N22" s="2713"/>
      <c r="O22" s="2713"/>
      <c r="P22" s="3778"/>
      <c r="Q22" s="1352"/>
      <c r="R22" s="705"/>
      <c r="S22" s="706"/>
      <c r="T22" s="705"/>
      <c r="U22" s="706"/>
      <c r="V22" s="705"/>
      <c r="W22" s="706"/>
      <c r="X22" s="1355"/>
      <c r="Y22" s="3771"/>
      <c r="Z22" s="1356"/>
      <c r="AA22" s="1353">
        <v>1</v>
      </c>
      <c r="AB22" s="1353">
        <v>1</v>
      </c>
      <c r="AC22" s="1353">
        <v>1</v>
      </c>
    </row>
    <row r="23" spans="1:29" ht="15">
      <c r="A23" s="379"/>
      <c r="B23" s="402" t="s">
        <v>1254</v>
      </c>
      <c r="C23" s="1954"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78"/>
      <c r="Q23" s="1352" t="str">
        <f>B23</f>
        <v>自然及人文环境</v>
      </c>
      <c r="R23" s="705" t="s">
        <v>14</v>
      </c>
      <c r="S23" s="706">
        <f>F23</f>
        <v>100</v>
      </c>
      <c r="T23" s="705" t="s">
        <v>14</v>
      </c>
      <c r="U23" s="706">
        <f>H23</f>
        <v>100</v>
      </c>
      <c r="V23" s="705" t="s">
        <v>14</v>
      </c>
      <c r="W23" s="706">
        <f>J23</f>
        <v>100</v>
      </c>
      <c r="X23" s="1355"/>
      <c r="Y23" s="3771"/>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19"/>
      <c r="M24" s="2713"/>
      <c r="N24" s="2713"/>
      <c r="O24" s="2713"/>
      <c r="P24" s="3778"/>
      <c r="Q24" s="1352"/>
      <c r="R24" s="705"/>
      <c r="S24" s="706"/>
      <c r="T24" s="705"/>
      <c r="U24" s="706"/>
      <c r="V24" s="705"/>
      <c r="W24" s="706"/>
      <c r="X24" s="1355"/>
      <c r="Y24" s="3771"/>
      <c r="Z24" s="1356"/>
      <c r="AA24" s="1353">
        <v>1</v>
      </c>
      <c r="AB24" s="1353">
        <v>1</v>
      </c>
      <c r="AC24" s="1353">
        <v>1</v>
      </c>
    </row>
    <row r="25" spans="1:29" ht="15">
      <c r="A25" s="379"/>
      <c r="B25" s="375" t="s">
        <v>1773</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78"/>
      <c r="Q25" s="1352" t="str">
        <f t="shared" ref="Q25:Q46" si="11">B25</f>
        <v>临街状况</v>
      </c>
      <c r="R25" s="705" t="s">
        <v>14</v>
      </c>
      <c r="S25" s="706">
        <f>F25</f>
        <v>100</v>
      </c>
      <c r="T25" s="705" t="s">
        <v>14</v>
      </c>
      <c r="U25" s="706">
        <f>H25</f>
        <v>100</v>
      </c>
      <c r="V25" s="705" t="s">
        <v>14</v>
      </c>
      <c r="W25" s="706">
        <f>J25</f>
        <v>100</v>
      </c>
      <c r="X25" s="1355"/>
      <c r="Y25" s="3771"/>
      <c r="Z25" s="1356" t="str">
        <f>Q25</f>
        <v>临街状况</v>
      </c>
      <c r="AA25" s="1353">
        <f t="shared" si="3"/>
        <v>1</v>
      </c>
      <c r="AB25" s="1353">
        <f t="shared" si="4"/>
        <v>1</v>
      </c>
      <c r="AC25" s="1353">
        <f t="shared" si="5"/>
        <v>1</v>
      </c>
    </row>
    <row r="26" spans="1:29" ht="15">
      <c r="A26" s="379"/>
      <c r="B26" s="1133" t="s">
        <v>1774</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78"/>
      <c r="Q26" s="1352" t="str">
        <f t="shared" si="11"/>
        <v>平面位置/可视性</v>
      </c>
      <c r="R26" s="705" t="s">
        <v>14</v>
      </c>
      <c r="S26" s="706">
        <f>F26</f>
        <v>100</v>
      </c>
      <c r="T26" s="705" t="s">
        <v>14</v>
      </c>
      <c r="U26" s="706">
        <f>H26</f>
        <v>100</v>
      </c>
      <c r="V26" s="705" t="s">
        <v>14</v>
      </c>
      <c r="W26" s="706">
        <f>J26</f>
        <v>100</v>
      </c>
      <c r="X26" s="1355"/>
      <c r="Y26" s="3771"/>
      <c r="Z26" s="1356" t="str">
        <f>Q26</f>
        <v>平面位置/可视性</v>
      </c>
      <c r="AA26" s="1353">
        <f t="shared" si="3"/>
        <v>1</v>
      </c>
      <c r="AB26" s="1353">
        <f t="shared" si="4"/>
        <v>1</v>
      </c>
      <c r="AC26" s="1353">
        <f t="shared" si="5"/>
        <v>1</v>
      </c>
    </row>
    <row r="27" spans="1:29" s="108" customFormat="1" ht="15">
      <c r="A27" s="382"/>
      <c r="B27" s="402" t="s">
        <v>1775</v>
      </c>
      <c r="C27" s="1955"/>
      <c r="D27" s="413">
        <v>100</v>
      </c>
      <c r="E27" s="1955"/>
      <c r="F27" s="415">
        <f>SUMIF(90:90,E27,91:91)-SUMIF(90:90,C27,91:91)+100</f>
        <v>100</v>
      </c>
      <c r="G27" s="1955"/>
      <c r="H27" s="413">
        <f>SUMIF(90:90,G27,91:91)-SUMIF(90:90,C27,91:91)+100</f>
        <v>100</v>
      </c>
      <c r="I27" s="1955"/>
      <c r="J27" s="413">
        <f>SUMIF(90:90,I27,91:91)-SUMIF(90:90,C27,91:91)+100</f>
        <v>100</v>
      </c>
      <c r="K27" s="561"/>
      <c r="L27" s="2714"/>
      <c r="M27" s="2715"/>
      <c r="N27" s="2715"/>
      <c r="O27" s="2715"/>
      <c r="P27" s="3778"/>
      <c r="Q27" s="1343" t="str">
        <f t="shared" si="11"/>
        <v>人流量</v>
      </c>
      <c r="R27" s="701" t="s">
        <v>14</v>
      </c>
      <c r="S27" s="702">
        <f>F27</f>
        <v>100</v>
      </c>
      <c r="T27" s="701" t="s">
        <v>14</v>
      </c>
      <c r="U27" s="702">
        <f>H27</f>
        <v>100</v>
      </c>
      <c r="V27" s="701" t="s">
        <v>14</v>
      </c>
      <c r="W27" s="702">
        <f>J27</f>
        <v>100</v>
      </c>
      <c r="X27" s="703"/>
      <c r="Y27" s="3771"/>
      <c r="Z27" s="52" t="str">
        <f>Q27</f>
        <v>人流量</v>
      </c>
      <c r="AA27" s="1353">
        <f>D27/F27</f>
        <v>1</v>
      </c>
      <c r="AB27" s="1353">
        <f>D27/H27</f>
        <v>1</v>
      </c>
      <c r="AC27" s="1353">
        <f>D27/J27</f>
        <v>1</v>
      </c>
    </row>
    <row r="28" spans="1:29" ht="15">
      <c r="A28" s="379"/>
      <c r="B28" s="375" t="s">
        <v>1776</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7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7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78"/>
      <c r="Q29" s="1352">
        <f t="shared" si="11"/>
        <v>111</v>
      </c>
      <c r="R29" s="705" t="s">
        <v>14</v>
      </c>
      <c r="S29" s="706">
        <f t="shared" si="12"/>
        <v>100</v>
      </c>
      <c r="T29" s="705" t="s">
        <v>14</v>
      </c>
      <c r="U29" s="706">
        <f t="shared" si="13"/>
        <v>100</v>
      </c>
      <c r="V29" s="705" t="s">
        <v>14</v>
      </c>
      <c r="W29" s="706">
        <f t="shared" si="14"/>
        <v>100</v>
      </c>
      <c r="X29" s="1355"/>
      <c r="Y29" s="377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78"/>
      <c r="Q30" s="1352">
        <f t="shared" si="11"/>
        <v>111</v>
      </c>
      <c r="R30" s="705" t="s">
        <v>14</v>
      </c>
      <c r="S30" s="706">
        <f t="shared" si="12"/>
        <v>100</v>
      </c>
      <c r="T30" s="705" t="s">
        <v>14</v>
      </c>
      <c r="U30" s="706">
        <f t="shared" si="13"/>
        <v>100</v>
      </c>
      <c r="V30" s="705" t="s">
        <v>14</v>
      </c>
      <c r="W30" s="706">
        <f t="shared" si="14"/>
        <v>100</v>
      </c>
      <c r="X30" s="1355"/>
      <c r="Y30" s="377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78"/>
      <c r="Q31" s="1352">
        <f t="shared" si="11"/>
        <v>111</v>
      </c>
      <c r="R31" s="705" t="s">
        <v>14</v>
      </c>
      <c r="S31" s="706">
        <f t="shared" si="12"/>
        <v>100</v>
      </c>
      <c r="T31" s="705" t="s">
        <v>14</v>
      </c>
      <c r="U31" s="706">
        <f t="shared" si="13"/>
        <v>100</v>
      </c>
      <c r="V31" s="705" t="s">
        <v>14</v>
      </c>
      <c r="W31" s="706">
        <f t="shared" si="14"/>
        <v>100</v>
      </c>
      <c r="X31" s="1355"/>
      <c r="Y31" s="3771"/>
      <c r="Z31" s="1356">
        <f t="shared" si="15"/>
        <v>111</v>
      </c>
      <c r="AA31" s="1353">
        <f t="shared" si="3"/>
        <v>1</v>
      </c>
      <c r="AB31" s="1353">
        <f t="shared" si="4"/>
        <v>1</v>
      </c>
      <c r="AC31" s="1353">
        <f t="shared" si="5"/>
        <v>1</v>
      </c>
    </row>
    <row r="32" spans="1:29" ht="15">
      <c r="A32" s="391" t="s">
        <v>1687</v>
      </c>
      <c r="B32" s="63" t="s">
        <v>1777</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772" t="s">
        <v>1689</v>
      </c>
      <c r="Q32" s="1352" t="str">
        <f t="shared" si="11"/>
        <v>商业类型</v>
      </c>
      <c r="R32" s="705" t="s">
        <v>14</v>
      </c>
      <c r="S32" s="706">
        <f t="shared" si="12"/>
        <v>100</v>
      </c>
      <c r="T32" s="705" t="s">
        <v>14</v>
      </c>
      <c r="U32" s="706">
        <f t="shared" si="13"/>
        <v>100</v>
      </c>
      <c r="V32" s="705" t="s">
        <v>14</v>
      </c>
      <c r="W32" s="706">
        <f t="shared" si="14"/>
        <v>100</v>
      </c>
      <c r="X32" s="1355"/>
      <c r="Y32" s="3775" t="s">
        <v>1689</v>
      </c>
      <c r="Z32" s="1356" t="str">
        <f t="shared" si="15"/>
        <v>商业类型</v>
      </c>
      <c r="AA32" s="1353">
        <f t="shared" si="3"/>
        <v>1</v>
      </c>
      <c r="AB32" s="1353">
        <f t="shared" si="4"/>
        <v>1</v>
      </c>
      <c r="AC32" s="1353">
        <f t="shared" si="5"/>
        <v>1</v>
      </c>
    </row>
    <row r="33" spans="1:29" s="422" customFormat="1" ht="15">
      <c r="A33" s="419"/>
      <c r="B33" s="375" t="s">
        <v>1690</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73"/>
      <c r="Q33" s="707" t="str">
        <f t="shared" si="11"/>
        <v>项目建筑规模</v>
      </c>
      <c r="R33" s="708" t="s">
        <v>14</v>
      </c>
      <c r="S33" s="709" t="e">
        <f t="shared" si="12"/>
        <v>#N/A</v>
      </c>
      <c r="T33" s="708" t="s">
        <v>14</v>
      </c>
      <c r="U33" s="709" t="e">
        <f t="shared" si="13"/>
        <v>#N/A</v>
      </c>
      <c r="V33" s="708" t="s">
        <v>14</v>
      </c>
      <c r="W33" s="709" t="e">
        <f t="shared" si="14"/>
        <v>#N/A</v>
      </c>
      <c r="X33" s="710"/>
      <c r="Y33" s="3775"/>
      <c r="Z33" s="711" t="str">
        <f t="shared" si="15"/>
        <v>项目建筑规模</v>
      </c>
      <c r="AA33" s="1353" t="e">
        <f t="shared" si="3"/>
        <v>#N/A</v>
      </c>
      <c r="AB33" s="1353" t="e">
        <f t="shared" si="4"/>
        <v>#N/A</v>
      </c>
      <c r="AC33" s="1353" t="e">
        <f t="shared" si="5"/>
        <v>#N/A</v>
      </c>
    </row>
    <row r="34" spans="1:29" ht="15">
      <c r="A34" s="423"/>
      <c r="B34" s="375" t="s">
        <v>1691</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773"/>
      <c r="Q34" s="1352" t="str">
        <f t="shared" si="11"/>
        <v>建筑结构</v>
      </c>
      <c r="R34" s="705" t="s">
        <v>14</v>
      </c>
      <c r="S34" s="706">
        <f t="shared" si="12"/>
        <v>100</v>
      </c>
      <c r="T34" s="705" t="s">
        <v>14</v>
      </c>
      <c r="U34" s="706">
        <f t="shared" si="13"/>
        <v>100</v>
      </c>
      <c r="V34" s="705" t="s">
        <v>14</v>
      </c>
      <c r="W34" s="706">
        <f t="shared" si="14"/>
        <v>100</v>
      </c>
      <c r="X34" s="1355"/>
      <c r="Y34" s="3775"/>
      <c r="Z34" s="1356" t="str">
        <f t="shared" si="15"/>
        <v>建筑结构</v>
      </c>
      <c r="AA34" s="1353">
        <f t="shared" si="3"/>
        <v>1</v>
      </c>
      <c r="AB34" s="1353">
        <f t="shared" si="4"/>
        <v>1</v>
      </c>
      <c r="AC34" s="1353">
        <f t="shared" si="5"/>
        <v>1</v>
      </c>
    </row>
    <row r="35" spans="1:29" ht="15">
      <c r="A35" s="423"/>
      <c r="B35" s="375" t="s">
        <v>1778</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773"/>
      <c r="Q35" s="1352" t="str">
        <f t="shared" si="11"/>
        <v>公共部分装修</v>
      </c>
      <c r="R35" s="705" t="s">
        <v>14</v>
      </c>
      <c r="S35" s="706">
        <f t="shared" si="12"/>
        <v>100</v>
      </c>
      <c r="T35" s="705" t="s">
        <v>14</v>
      </c>
      <c r="U35" s="706">
        <f t="shared" si="13"/>
        <v>100</v>
      </c>
      <c r="V35" s="705" t="s">
        <v>14</v>
      </c>
      <c r="W35" s="706">
        <f t="shared" si="14"/>
        <v>100</v>
      </c>
      <c r="X35" s="1355"/>
      <c r="Y35" s="3775"/>
      <c r="Z35" s="1356" t="str">
        <f t="shared" si="15"/>
        <v>公共部分装修</v>
      </c>
      <c r="AA35" s="1353">
        <f t="shared" si="3"/>
        <v>1</v>
      </c>
      <c r="AB35" s="1353">
        <f t="shared" si="4"/>
        <v>1</v>
      </c>
      <c r="AC35" s="1353">
        <f t="shared" si="5"/>
        <v>1</v>
      </c>
    </row>
    <row r="36" spans="1:29" ht="15">
      <c r="A36" s="423"/>
      <c r="B36" s="375" t="s">
        <v>1779</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73"/>
      <c r="Q36" s="1352" t="str">
        <f t="shared" si="11"/>
        <v>成新度</v>
      </c>
      <c r="R36" s="705" t="s">
        <v>14</v>
      </c>
      <c r="S36" s="706" t="e">
        <f t="shared" si="12"/>
        <v>#N/A</v>
      </c>
      <c r="T36" s="705" t="s">
        <v>14</v>
      </c>
      <c r="U36" s="706" t="e">
        <f t="shared" si="13"/>
        <v>#N/A</v>
      </c>
      <c r="V36" s="705" t="s">
        <v>14</v>
      </c>
      <c r="W36" s="706" t="e">
        <f t="shared" si="14"/>
        <v>#N/A</v>
      </c>
      <c r="X36" s="1355"/>
      <c r="Y36" s="3775"/>
      <c r="Z36" s="1356" t="str">
        <f t="shared" si="15"/>
        <v>成新度</v>
      </c>
      <c r="AA36" s="1353" t="e">
        <f t="shared" si="3"/>
        <v>#N/A</v>
      </c>
      <c r="AB36" s="1353" t="e">
        <f t="shared" si="4"/>
        <v>#N/A</v>
      </c>
      <c r="AC36" s="1353" t="e">
        <f t="shared" si="5"/>
        <v>#N/A</v>
      </c>
    </row>
    <row r="37" spans="1:29" s="108" customFormat="1" ht="15">
      <c r="A37" s="424"/>
      <c r="B37" s="375" t="s">
        <v>1780</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73"/>
      <c r="Q37" s="1343" t="str">
        <f t="shared" si="11"/>
        <v>市政基础设施</v>
      </c>
      <c r="R37" s="701" t="s">
        <v>14</v>
      </c>
      <c r="S37" s="702">
        <f t="shared" si="12"/>
        <v>100</v>
      </c>
      <c r="T37" s="701" t="s">
        <v>14</v>
      </c>
      <c r="U37" s="702">
        <f t="shared" si="13"/>
        <v>100</v>
      </c>
      <c r="V37" s="701" t="s">
        <v>14</v>
      </c>
      <c r="W37" s="702">
        <f t="shared" si="14"/>
        <v>100</v>
      </c>
      <c r="X37" s="703"/>
      <c r="Y37" s="3775"/>
      <c r="Z37" s="52" t="str">
        <f t="shared" si="15"/>
        <v>市政基础设施</v>
      </c>
      <c r="AA37" s="704">
        <f t="shared" si="3"/>
        <v>1</v>
      </c>
      <c r="AB37" s="704">
        <f t="shared" si="4"/>
        <v>1</v>
      </c>
      <c r="AC37" s="704">
        <f t="shared" si="5"/>
        <v>1</v>
      </c>
    </row>
    <row r="38" spans="1:29" ht="15">
      <c r="A38" s="423"/>
      <c r="B38" s="375" t="s">
        <v>1781</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773" t="s">
        <v>1689</v>
      </c>
      <c r="Q38" s="1352" t="str">
        <f t="shared" si="11"/>
        <v>业态</v>
      </c>
      <c r="R38" s="705" t="s">
        <v>14</v>
      </c>
      <c r="S38" s="706">
        <f t="shared" si="12"/>
        <v>100</v>
      </c>
      <c r="T38" s="705" t="s">
        <v>14</v>
      </c>
      <c r="U38" s="706">
        <f t="shared" si="13"/>
        <v>100</v>
      </c>
      <c r="V38" s="705" t="s">
        <v>14</v>
      </c>
      <c r="W38" s="706">
        <f t="shared" si="14"/>
        <v>100</v>
      </c>
      <c r="X38" s="1355"/>
      <c r="Y38" s="3775" t="s">
        <v>1689</v>
      </c>
      <c r="Z38" s="1356" t="str">
        <f t="shared" si="15"/>
        <v>业态</v>
      </c>
      <c r="AA38" s="1353">
        <f t="shared" si="3"/>
        <v>1</v>
      </c>
      <c r="AB38" s="1353">
        <f t="shared" si="4"/>
        <v>1</v>
      </c>
      <c r="AC38" s="1353">
        <f t="shared" si="5"/>
        <v>1</v>
      </c>
    </row>
    <row r="39" spans="1:29" ht="15">
      <c r="A39" s="423"/>
      <c r="B39" s="375" t="s">
        <v>1782</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773"/>
      <c r="Q39" s="1352" t="str">
        <f t="shared" si="11"/>
        <v>层高</v>
      </c>
      <c r="R39" s="705" t="s">
        <v>14</v>
      </c>
      <c r="S39" s="706">
        <f t="shared" si="12"/>
        <v>100</v>
      </c>
      <c r="T39" s="705" t="s">
        <v>14</v>
      </c>
      <c r="U39" s="706">
        <f t="shared" si="13"/>
        <v>100</v>
      </c>
      <c r="V39" s="705" t="s">
        <v>14</v>
      </c>
      <c r="W39" s="706">
        <f t="shared" si="14"/>
        <v>100</v>
      </c>
      <c r="X39" s="1355"/>
      <c r="Y39" s="3775"/>
      <c r="Z39" s="1356" t="str">
        <f t="shared" si="15"/>
        <v>层高</v>
      </c>
      <c r="AA39" s="1353">
        <f t="shared" si="3"/>
        <v>1</v>
      </c>
      <c r="AB39" s="1353">
        <f t="shared" si="4"/>
        <v>1</v>
      </c>
      <c r="AC39" s="1353">
        <f t="shared" si="5"/>
        <v>1</v>
      </c>
    </row>
    <row r="40" spans="1:29" ht="15">
      <c r="A40" s="423"/>
      <c r="B40" s="375" t="s">
        <v>1783</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73"/>
      <c r="Q40" s="1352" t="str">
        <f t="shared" si="11"/>
        <v>单套建筑面积</v>
      </c>
      <c r="R40" s="705" t="s">
        <v>14</v>
      </c>
      <c r="S40" s="706">
        <f t="shared" si="12"/>
        <v>100</v>
      </c>
      <c r="T40" s="705" t="s">
        <v>14</v>
      </c>
      <c r="U40" s="706">
        <f t="shared" si="13"/>
        <v>100</v>
      </c>
      <c r="V40" s="705" t="s">
        <v>14</v>
      </c>
      <c r="W40" s="706">
        <f t="shared" si="14"/>
        <v>100</v>
      </c>
      <c r="X40" s="1355"/>
      <c r="Y40" s="3775"/>
      <c r="Z40" s="1356" t="str">
        <f t="shared" si="15"/>
        <v>单套建筑面积</v>
      </c>
      <c r="AA40" s="1353">
        <f t="shared" si="3"/>
        <v>1</v>
      </c>
      <c r="AB40" s="1353">
        <f t="shared" si="4"/>
        <v>1</v>
      </c>
      <c r="AC40" s="1353">
        <f t="shared" si="5"/>
        <v>1</v>
      </c>
    </row>
    <row r="41" spans="1:29" s="422" customFormat="1" ht="15">
      <c r="A41" s="419"/>
      <c r="B41" s="1354" t="s">
        <v>1784</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73"/>
      <c r="Q41" s="707" t="str">
        <f t="shared" si="11"/>
        <v>进深比</v>
      </c>
      <c r="R41" s="708" t="s">
        <v>14</v>
      </c>
      <c r="S41" s="709">
        <f t="shared" si="12"/>
        <v>100</v>
      </c>
      <c r="T41" s="708" t="s">
        <v>14</v>
      </c>
      <c r="U41" s="709">
        <f t="shared" si="13"/>
        <v>100</v>
      </c>
      <c r="V41" s="708" t="s">
        <v>14</v>
      </c>
      <c r="W41" s="709">
        <f t="shared" si="14"/>
        <v>100</v>
      </c>
      <c r="X41" s="710"/>
      <c r="Y41" s="3775"/>
      <c r="Z41" s="711" t="str">
        <f t="shared" si="15"/>
        <v>进深比</v>
      </c>
      <c r="AA41" s="1353">
        <f t="shared" si="3"/>
        <v>1</v>
      </c>
      <c r="AB41" s="1353">
        <f t="shared" si="4"/>
        <v>1</v>
      </c>
      <c r="AC41" s="1353">
        <f t="shared" si="5"/>
        <v>1</v>
      </c>
    </row>
    <row r="42" spans="1:29" ht="15">
      <c r="A42" s="423"/>
      <c r="B42" s="375" t="s">
        <v>1785</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773"/>
      <c r="Q42" s="1352" t="str">
        <f t="shared" si="11"/>
        <v>内部装修</v>
      </c>
      <c r="R42" s="705" t="s">
        <v>14</v>
      </c>
      <c r="S42" s="706">
        <f t="shared" si="12"/>
        <v>100</v>
      </c>
      <c r="T42" s="705" t="s">
        <v>14</v>
      </c>
      <c r="U42" s="706">
        <f t="shared" si="13"/>
        <v>100</v>
      </c>
      <c r="V42" s="705" t="s">
        <v>14</v>
      </c>
      <c r="W42" s="706">
        <f t="shared" si="14"/>
        <v>100</v>
      </c>
      <c r="X42" s="1355"/>
      <c r="Y42" s="3775"/>
      <c r="Z42" s="1356" t="str">
        <f t="shared" si="15"/>
        <v>内部装修</v>
      </c>
      <c r="AA42" s="1353">
        <f t="shared" si="3"/>
        <v>1</v>
      </c>
      <c r="AB42" s="1353">
        <f t="shared" si="4"/>
        <v>1</v>
      </c>
      <c r="AC42" s="1353">
        <f t="shared" si="5"/>
        <v>1</v>
      </c>
    </row>
    <row r="43" spans="1:29" ht="15">
      <c r="A43" s="423"/>
      <c r="B43" s="375" t="s">
        <v>1700</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773"/>
      <c r="Q43" s="1352" t="str">
        <f t="shared" si="11"/>
        <v>内部装修维护情况</v>
      </c>
      <c r="R43" s="705" t="s">
        <v>14</v>
      </c>
      <c r="S43" s="706">
        <f t="shared" si="12"/>
        <v>100</v>
      </c>
      <c r="T43" s="705" t="s">
        <v>14</v>
      </c>
      <c r="U43" s="706">
        <f t="shared" si="13"/>
        <v>100</v>
      </c>
      <c r="V43" s="705" t="s">
        <v>14</v>
      </c>
      <c r="W43" s="706">
        <f t="shared" si="14"/>
        <v>100</v>
      </c>
      <c r="X43" s="1355"/>
      <c r="Y43" s="377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73"/>
      <c r="Q44" s="1343">
        <f t="shared" si="11"/>
        <v>111</v>
      </c>
      <c r="R44" s="701" t="s">
        <v>14</v>
      </c>
      <c r="S44" s="702">
        <f t="shared" si="12"/>
        <v>100</v>
      </c>
      <c r="T44" s="701" t="s">
        <v>14</v>
      </c>
      <c r="U44" s="702">
        <f t="shared" si="13"/>
        <v>100</v>
      </c>
      <c r="V44" s="701" t="s">
        <v>14</v>
      </c>
      <c r="W44" s="702">
        <f t="shared" si="14"/>
        <v>100</v>
      </c>
      <c r="X44" s="703"/>
      <c r="Y44" s="377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73"/>
      <c r="Q45" s="1352">
        <f t="shared" si="11"/>
        <v>111</v>
      </c>
      <c r="R45" s="705" t="s">
        <v>14</v>
      </c>
      <c r="S45" s="706">
        <f t="shared" si="12"/>
        <v>100</v>
      </c>
      <c r="T45" s="705" t="s">
        <v>14</v>
      </c>
      <c r="U45" s="706">
        <f t="shared" si="13"/>
        <v>100</v>
      </c>
      <c r="V45" s="705" t="s">
        <v>14</v>
      </c>
      <c r="W45" s="706">
        <f t="shared" si="14"/>
        <v>100</v>
      </c>
      <c r="X45" s="1355"/>
      <c r="Y45" s="3775"/>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74"/>
      <c r="Q46" s="1352">
        <f t="shared" si="11"/>
        <v>111</v>
      </c>
      <c r="R46" s="705" t="s">
        <v>14</v>
      </c>
      <c r="S46" s="706">
        <f t="shared" si="12"/>
        <v>100</v>
      </c>
      <c r="T46" s="705" t="s">
        <v>14</v>
      </c>
      <c r="U46" s="706">
        <f t="shared" si="13"/>
        <v>100</v>
      </c>
      <c r="V46" s="705" t="s">
        <v>14</v>
      </c>
      <c r="W46" s="706">
        <f t="shared" si="14"/>
        <v>100</v>
      </c>
      <c r="X46" s="1355"/>
      <c r="Y46" s="3776"/>
      <c r="Z46" s="1356">
        <f t="shared" si="15"/>
        <v>111</v>
      </c>
      <c r="AA46" s="1353">
        <f t="shared" si="3"/>
        <v>1</v>
      </c>
      <c r="AB46" s="1353">
        <f t="shared" si="4"/>
        <v>1</v>
      </c>
      <c r="AC46" s="1353">
        <f t="shared" si="5"/>
        <v>1</v>
      </c>
    </row>
    <row r="47" spans="1:29" ht="15">
      <c r="A47" s="430" t="s">
        <v>1701</v>
      </c>
      <c r="B47" s="431"/>
      <c r="C47" s="1154" t="s">
        <v>0</v>
      </c>
      <c r="D47" s="1155"/>
      <c r="E47" s="1156"/>
      <c r="F47" s="1157"/>
      <c r="G47" s="1158"/>
      <c r="H47" s="1159"/>
      <c r="I47" s="1156"/>
      <c r="J47" s="1159"/>
      <c r="K47" s="714"/>
      <c r="L47" s="2721"/>
      <c r="M47" s="2722"/>
      <c r="N47" s="2713"/>
      <c r="O47" s="2722"/>
      <c r="P47" s="3768" t="str">
        <f>A47</f>
        <v>成交单价（元/平方米）</v>
      </c>
      <c r="Q47" s="3768"/>
      <c r="R47" s="3763">
        <f>E47</f>
        <v>0</v>
      </c>
      <c r="S47" s="3763"/>
      <c r="T47" s="3763">
        <f>G47</f>
        <v>0</v>
      </c>
      <c r="U47" s="3763"/>
      <c r="V47" s="3763">
        <f>I47</f>
        <v>0</v>
      </c>
      <c r="W47" s="3763"/>
      <c r="X47" s="690"/>
      <c r="Y47" s="712"/>
      <c r="Z47" s="690"/>
      <c r="AA47" s="690"/>
      <c r="AB47" s="690"/>
      <c r="AC47" s="690"/>
    </row>
    <row r="48" spans="1:29" ht="15.75" thickBot="1">
      <c r="A48" s="437" t="s">
        <v>1786</v>
      </c>
      <c r="B48" s="438"/>
      <c r="C48" s="1160" t="e">
        <f>R49</f>
        <v>#DIV/0!</v>
      </c>
      <c r="D48" s="2316" t="s">
        <v>2131</v>
      </c>
      <c r="E48" s="1161" t="e">
        <f>R48</f>
        <v>#DIV/0!</v>
      </c>
      <c r="F48" s="2317"/>
      <c r="G48" s="1160" t="e">
        <f>T48</f>
        <v>#DIV/0!</v>
      </c>
      <c r="H48" s="2317"/>
      <c r="I48" s="1161" t="e">
        <f>V48</f>
        <v>#DIV/0!</v>
      </c>
      <c r="J48" s="2317"/>
      <c r="K48" s="2319">
        <f>F48+H48+J48</f>
        <v>0</v>
      </c>
      <c r="L48" s="2721"/>
      <c r="M48" s="2722"/>
      <c r="N48" s="2713"/>
      <c r="O48" s="2722"/>
      <c r="P48" s="3768" t="str">
        <f>A48</f>
        <v>比较价值（元/平方米）</v>
      </c>
      <c r="Q48" s="3768"/>
      <c r="R48" s="3769" t="e">
        <f>IF(F1="售价",ROUND(PRODUCT(R47,AA7:AA46),0),ROUND(PRODUCT(R47,AA7:AA46),1))</f>
        <v>#DIV/0!</v>
      </c>
      <c r="S48" s="3769"/>
      <c r="T48" s="3769" t="e">
        <f>IF(F1="售价",ROUND(PRODUCT(T47,AB7:AB46),0),ROUND(PRODUCT(T47,AB7:AB46),1))</f>
        <v>#DIV/0!</v>
      </c>
      <c r="U48" s="3769"/>
      <c r="V48" s="3769" t="e">
        <f>IF(F1="售价",ROUND(PRODUCT(V47,AC7:AC46),0),ROUND(PRODUCT(V47,AC7:AC46),1))</f>
        <v>#DIV/0!</v>
      </c>
      <c r="W48" s="3769"/>
      <c r="X48" s="690"/>
      <c r="Y48" s="690"/>
      <c r="Z48" s="690"/>
      <c r="AA48" s="690"/>
      <c r="AB48" s="690"/>
      <c r="AC48" s="690"/>
    </row>
    <row r="49" spans="1:29" ht="15.75" thickBot="1">
      <c r="A49" s="441" t="s">
        <v>1787</v>
      </c>
      <c r="B49" s="442"/>
      <c r="C49" s="1163" t="e">
        <f>R49</f>
        <v>#DIV/0!</v>
      </c>
      <c r="D49" s="1163"/>
      <c r="E49" s="1163"/>
      <c r="F49" s="1163"/>
      <c r="G49" s="1163"/>
      <c r="H49" s="1163"/>
      <c r="I49" s="1163"/>
      <c r="J49" s="1163"/>
      <c r="K49" s="715"/>
      <c r="L49" s="2721"/>
      <c r="M49" s="2722"/>
      <c r="N49" s="2713"/>
      <c r="O49" s="2722"/>
      <c r="P49" s="3765" t="str">
        <f>A49</f>
        <v>估价对象XX用房的比较价值（楼面单价，元/平方米）</v>
      </c>
      <c r="Q49" s="3766"/>
      <c r="R49" s="3767" t="e">
        <f>IF(F1="售价",ROUND(IF(D48="简单平均",AVERAGE(R48:V48),R48*F48+T48*H48+V48*J48),0),ROUND(IF(D48="简单平均",AVERAGE(R48:V48),R48*F48+T48*H48+V48*J48),1))</f>
        <v>#DIV/0!</v>
      </c>
      <c r="S49" s="3767"/>
      <c r="T49" s="3767"/>
      <c r="U49" s="3767"/>
      <c r="V49" s="3767"/>
      <c r="W49" s="3767"/>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1788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1789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1791</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1672</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1709</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1674</v>
      </c>
      <c r="B61" s="459"/>
      <c r="C61" s="471" t="s">
        <v>1769</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1712</v>
      </c>
      <c r="B63" s="477" t="s">
        <v>1678</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1681</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1682</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1683</v>
      </c>
      <c r="B76" s="477" t="s">
        <v>1713</v>
      </c>
      <c r="C76" s="522" t="s">
        <v>1714</v>
      </c>
      <c r="D76" s="522" t="s">
        <v>1715</v>
      </c>
      <c r="E76" s="522" t="s">
        <v>1716</v>
      </c>
      <c r="F76" s="522" t="s">
        <v>1717</v>
      </c>
      <c r="G76" s="522" t="s">
        <v>1718</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1719</v>
      </c>
      <c r="C78" s="527" t="s">
        <v>1714</v>
      </c>
      <c r="D78" s="527" t="s">
        <v>1715</v>
      </c>
      <c r="E78" s="527" t="s">
        <v>1716</v>
      </c>
      <c r="F78" s="527" t="s">
        <v>1717</v>
      </c>
      <c r="G78" s="527" t="s">
        <v>1718</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1720</v>
      </c>
      <c r="C80" s="527" t="s">
        <v>1714</v>
      </c>
      <c r="D80" s="527" t="s">
        <v>1715</v>
      </c>
      <c r="E80" s="527" t="s">
        <v>1716</v>
      </c>
      <c r="F80" s="527" t="s">
        <v>1717</v>
      </c>
      <c r="G80" s="527" t="s">
        <v>1718</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1772</v>
      </c>
      <c r="C82" s="608" t="s">
        <v>1792</v>
      </c>
      <c r="D82" s="608" t="s">
        <v>1793</v>
      </c>
      <c r="E82" s="608" t="s">
        <v>1794</v>
      </c>
      <c r="F82" s="608" t="s">
        <v>1795</v>
      </c>
      <c r="G82" s="608" t="s">
        <v>1796</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1726</v>
      </c>
      <c r="C84" s="527" t="s">
        <v>1714</v>
      </c>
      <c r="D84" s="527" t="s">
        <v>1715</v>
      </c>
      <c r="E84" s="527" t="s">
        <v>1716</v>
      </c>
      <c r="F84" s="527" t="s">
        <v>1717</v>
      </c>
      <c r="G84" s="527" t="s">
        <v>1718</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1797</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6"/>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1687</v>
      </c>
      <c r="B100" s="477" t="s">
        <v>1798</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1730</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1731</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1733</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1183</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1735</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1799</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1800</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1801</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1802</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1737</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1738</v>
      </c>
      <c r="C124" s="527" t="s">
        <v>1714</v>
      </c>
      <c r="D124" s="527" t="s">
        <v>1715</v>
      </c>
      <c r="E124" s="527" t="s">
        <v>1716</v>
      </c>
      <c r="F124" s="527" t="s">
        <v>1717</v>
      </c>
      <c r="G124" s="527" t="s">
        <v>1718</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893</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894</v>
      </c>
    </row>
    <row r="6" spans="1:1" ht="18.75">
      <c r="A6" s="1482" t="s">
        <v>895</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估价对象为北京市房地产，为所有。根据《国有土地使用证》[]，估价对象（分摊）出让国有建设用地使用权面积为0平方米，建筑面积为63063.88平方米。</v>
      </c>
    </row>
    <row r="8" spans="1:1" ht="57.75">
      <c r="A8" s="1483" t="s">
        <v>896</v>
      </c>
    </row>
    <row r="9" spans="1:1" ht="18.75">
      <c r="A9" s="1482" t="s">
        <v>897</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估价对象为北京市房地产,属开发建设的办公项目，该项目尚在开发建设中。根据《国有土地使用证》[]，估价对象（分摊）出让国有建设用地使用权面积为0平方米，规划建筑面积为63063.88平方米。</v>
      </c>
    </row>
    <row r="11" spans="1:1" ht="76.5">
      <c r="A11" s="1483" t="s">
        <v>898</v>
      </c>
    </row>
    <row r="12" spans="1:1" ht="18.75">
      <c r="A12" s="1481" t="s">
        <v>899</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900</v>
      </c>
    </row>
    <row r="15" spans="1:1" ht="18">
      <c r="A15" s="1486" t="str">
        <f>TEXT(项目基本情况!D3,"yyyy年m月d日;;")&amp;IF(项目基本情况!D3=项目基本情况!B3,"（评估专业人员实地查勘之日）","")</f>
        <v>2024年3月1日（评估专业人员实地查勘之日）</v>
      </c>
    </row>
    <row r="16" spans="1:1" ht="18.75">
      <c r="A16" s="1485" t="s">
        <v>901</v>
      </c>
    </row>
    <row r="17" spans="1:1" ht="75">
      <c r="A17" s="1480" t="s">
        <v>902</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891</v>
      </c>
    </row>
    <row r="24" spans="1:1" ht="18">
      <c r="A24" s="1487" t="str">
        <f>"本次评估采用的主估价方法为"&amp;结果表!K4&amp;"和"&amp;结果表!L4&amp;"。"</f>
        <v>本次评估采用的主估价方法为成本法和收益法。</v>
      </c>
    </row>
    <row r="25" spans="1:1" ht="18">
      <c r="A25" s="1487"/>
    </row>
    <row r="26" spans="1:1" ht="18.75">
      <c r="A26" s="1488" t="s">
        <v>892</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956" t="s">
        <v>1803</v>
      </c>
      <c r="C1" s="1224" t="s">
        <v>1655</v>
      </c>
      <c r="D1" s="1225"/>
      <c r="E1" s="3428"/>
      <c r="F1" s="1878"/>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1456</v>
      </c>
      <c r="F2" s="1882"/>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1457</v>
      </c>
      <c r="B3" s="558">
        <f>IF(C2="——",C50,ROUND(B2*10000/D3,0))</f>
        <v>0</v>
      </c>
      <c r="C3" s="354" t="s">
        <v>1761</v>
      </c>
      <c r="D3" s="353">
        <f>IF(D1="",'数据-汇总表'!E3,SUMIF('数据-汇总表'!$C19:$C33,D1,'数据-汇总表'!$E19:$E33))</f>
        <v>63063.880000000005</v>
      </c>
      <c r="E3" s="1953"/>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1762</v>
      </c>
      <c r="B4" s="356"/>
      <c r="C4" s="3751" t="s">
        <v>1763</v>
      </c>
      <c r="D4" s="3752"/>
      <c r="E4" s="3753" t="s">
        <v>1764</v>
      </c>
      <c r="F4" s="3754"/>
      <c r="G4" s="3751" t="s">
        <v>1765</v>
      </c>
      <c r="H4" s="3752"/>
      <c r="I4" s="3751" t="s">
        <v>1766</v>
      </c>
      <c r="J4" s="3752"/>
      <c r="K4" s="559" t="s">
        <v>1767</v>
      </c>
      <c r="L4" s="2712"/>
      <c r="M4" s="2713"/>
      <c r="N4" s="2713"/>
      <c r="O4" s="2713"/>
      <c r="P4" s="3785" t="s">
        <v>1768</v>
      </c>
      <c r="Q4" s="3786"/>
      <c r="R4" s="3780" t="s">
        <v>1764</v>
      </c>
      <c r="S4" s="3781"/>
      <c r="T4" s="3780" t="s">
        <v>1765</v>
      </c>
      <c r="U4" s="3781"/>
      <c r="V4" s="3789" t="s">
        <v>1766</v>
      </c>
      <c r="W4" s="3789"/>
      <c r="X4" s="1957"/>
      <c r="Y4" s="3780" t="s">
        <v>1768</v>
      </c>
      <c r="Z4" s="3781"/>
      <c r="AA4" s="3779" t="s">
        <v>1764</v>
      </c>
      <c r="AB4" s="3779" t="s">
        <v>1765</v>
      </c>
      <c r="AC4" s="3782" t="s">
        <v>1766</v>
      </c>
    </row>
    <row r="5" spans="1:29" ht="15">
      <c r="A5" s="358"/>
      <c r="B5" s="359"/>
      <c r="C5" s="3744" t="s">
        <v>1666</v>
      </c>
      <c r="D5" s="3745"/>
      <c r="E5" s="3742" t="s">
        <v>1667</v>
      </c>
      <c r="F5" s="3743"/>
      <c r="G5" s="3744" t="s">
        <v>1668</v>
      </c>
      <c r="H5" s="3745"/>
      <c r="I5" s="3744" t="s">
        <v>1669</v>
      </c>
      <c r="J5" s="3745"/>
      <c r="K5" s="559"/>
      <c r="L5" s="2712"/>
      <c r="M5" s="2713"/>
      <c r="N5" s="2713"/>
      <c r="O5" s="2713"/>
      <c r="P5" s="3787"/>
      <c r="Q5" s="3758"/>
      <c r="R5" s="3740"/>
      <c r="S5" s="3741"/>
      <c r="T5" s="3740"/>
      <c r="U5" s="3741"/>
      <c r="V5" s="3763"/>
      <c r="W5" s="3763"/>
      <c r="X5" s="1355"/>
      <c r="Y5" s="3740"/>
      <c r="Z5" s="3741"/>
      <c r="AA5" s="3734"/>
      <c r="AB5" s="3734"/>
      <c r="AC5" s="3783"/>
    </row>
    <row r="6" spans="1:29" ht="15.75" thickBot="1">
      <c r="A6" s="360"/>
      <c r="B6" s="361"/>
      <c r="C6" s="3746" t="s">
        <v>1670</v>
      </c>
      <c r="D6" s="3747"/>
      <c r="E6" s="3748" t="s">
        <v>1670</v>
      </c>
      <c r="F6" s="3749"/>
      <c r="G6" s="3746" t="s">
        <v>1670</v>
      </c>
      <c r="H6" s="3747"/>
      <c r="I6" s="3746" t="s">
        <v>1670</v>
      </c>
      <c r="J6" s="3747"/>
      <c r="K6" s="559" t="s">
        <v>1671</v>
      </c>
      <c r="L6" s="2712"/>
      <c r="M6" s="2713"/>
      <c r="N6" s="2713"/>
      <c r="O6" s="2713"/>
      <c r="P6" s="3788"/>
      <c r="Q6" s="3760"/>
      <c r="R6" s="3740"/>
      <c r="S6" s="3741"/>
      <c r="T6" s="3761"/>
      <c r="U6" s="3762"/>
      <c r="V6" s="3763"/>
      <c r="W6" s="3763"/>
      <c r="X6" s="1355"/>
      <c r="Y6" s="3761"/>
      <c r="Z6" s="3762"/>
      <c r="AA6" s="3735"/>
      <c r="AB6" s="3735"/>
      <c r="AC6" s="3784"/>
    </row>
    <row r="7" spans="1:29" s="108" customFormat="1" ht="15.75" thickBot="1">
      <c r="A7" s="362" t="s">
        <v>1672</v>
      </c>
      <c r="B7" s="363"/>
      <c r="C7" s="364">
        <f>'数据-取费表'!B2</f>
        <v>45352</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90" t="s">
        <v>1673</v>
      </c>
      <c r="Q7" s="3764"/>
      <c r="R7" s="701" t="s">
        <v>14</v>
      </c>
      <c r="S7" s="702">
        <f t="shared" ref="S7:S15" si="0">F7</f>
        <v>0</v>
      </c>
      <c r="T7" s="701" t="s">
        <v>14</v>
      </c>
      <c r="U7" s="702">
        <f t="shared" ref="U7:U15" si="1">H7</f>
        <v>0</v>
      </c>
      <c r="V7" s="701" t="s">
        <v>14</v>
      </c>
      <c r="W7" s="702">
        <f t="shared" ref="W7:W15" si="2">J7</f>
        <v>0</v>
      </c>
      <c r="X7" s="703"/>
      <c r="Y7" s="3736" t="s">
        <v>1673</v>
      </c>
      <c r="Z7" s="3737"/>
      <c r="AA7" s="704" t="e">
        <f>D7/F7</f>
        <v>#DIV/0!</v>
      </c>
      <c r="AB7" s="704" t="e">
        <f>D7/H7</f>
        <v>#DIV/0!</v>
      </c>
      <c r="AC7" s="1958" t="e">
        <f>D7/J7</f>
        <v>#DIV/0!</v>
      </c>
    </row>
    <row r="8" spans="1:29" s="108" customFormat="1" ht="15.75" thickBot="1">
      <c r="A8" s="362" t="s">
        <v>1674</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90" t="s">
        <v>1676</v>
      </c>
      <c r="Q8" s="3737"/>
      <c r="R8" s="701" t="s">
        <v>14</v>
      </c>
      <c r="S8" s="702">
        <f t="shared" si="0"/>
        <v>100</v>
      </c>
      <c r="T8" s="701" t="s">
        <v>14</v>
      </c>
      <c r="U8" s="702">
        <f t="shared" si="1"/>
        <v>100</v>
      </c>
      <c r="V8" s="701" t="s">
        <v>14</v>
      </c>
      <c r="W8" s="702">
        <f t="shared" si="2"/>
        <v>100</v>
      </c>
      <c r="X8" s="703"/>
      <c r="Y8" s="3736" t="s">
        <v>1676</v>
      </c>
      <c r="Z8" s="3737"/>
      <c r="AA8" s="704">
        <f t="shared" ref="AA8:AA47" si="3">D8/F8</f>
        <v>1</v>
      </c>
      <c r="AB8" s="704">
        <f t="shared" ref="AB8:AB47" si="4">D8/H8</f>
        <v>1</v>
      </c>
      <c r="AC8" s="1958">
        <f t="shared" ref="AC8:AC47" si="5">D8/J8</f>
        <v>1</v>
      </c>
    </row>
    <row r="9" spans="1:29" s="108" customFormat="1">
      <c r="A9" s="369" t="s">
        <v>1677</v>
      </c>
      <c r="B9" s="63" t="s">
        <v>1678</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50" t="s">
        <v>1679</v>
      </c>
      <c r="Q9" s="1343" t="str">
        <f t="shared" ref="Q9:Q15" si="6">B9</f>
        <v>用途</v>
      </c>
      <c r="R9" s="701" t="s">
        <v>14</v>
      </c>
      <c r="S9" s="702">
        <f t="shared" si="0"/>
        <v>100</v>
      </c>
      <c r="T9" s="701" t="s">
        <v>14</v>
      </c>
      <c r="U9" s="702">
        <f t="shared" si="1"/>
        <v>100</v>
      </c>
      <c r="V9" s="701" t="s">
        <v>14</v>
      </c>
      <c r="W9" s="702">
        <f t="shared" si="2"/>
        <v>100</v>
      </c>
      <c r="X9" s="703"/>
      <c r="Y9" s="3661" t="s">
        <v>1680</v>
      </c>
      <c r="Z9" s="52" t="str">
        <f t="shared" ref="Z9:Z15" si="7">Q9</f>
        <v>用途</v>
      </c>
      <c r="AA9" s="704">
        <f t="shared" si="3"/>
        <v>1</v>
      </c>
      <c r="AB9" s="704">
        <f t="shared" si="4"/>
        <v>1</v>
      </c>
      <c r="AC9" s="1958">
        <f t="shared" si="5"/>
        <v>1</v>
      </c>
    </row>
    <row r="10" spans="1:29" s="378" customFormat="1" ht="27">
      <c r="A10" s="374"/>
      <c r="B10" s="375" t="s">
        <v>1681</v>
      </c>
      <c r="C10" s="3429"/>
      <c r="D10" s="127">
        <v>100</v>
      </c>
      <c r="E10" s="3429"/>
      <c r="F10" s="127">
        <f>SUMIF(66:66,E10,67:67)-SUMIF(66:66,C10,67:67)+100</f>
        <v>100</v>
      </c>
      <c r="G10" s="3430"/>
      <c r="H10" s="127">
        <f>SUMIF(66:66,G10,67:67)-SUMIF(66:66,C10,67:67)+100</f>
        <v>100</v>
      </c>
      <c r="I10" s="3429"/>
      <c r="J10" s="127">
        <f>SUMIF(66:66,I10,67:67)-SUMIF(66:66,C10,67:67)+100</f>
        <v>100</v>
      </c>
      <c r="K10" s="560"/>
      <c r="L10" s="2716"/>
      <c r="M10" s="2717"/>
      <c r="N10" s="2717"/>
      <c r="O10" s="2717"/>
      <c r="P10" s="3750"/>
      <c r="Q10" s="1343" t="str">
        <f t="shared" si="6"/>
        <v>土地使用年限（年）</v>
      </c>
      <c r="R10" s="701" t="s">
        <v>14</v>
      </c>
      <c r="S10" s="702">
        <f t="shared" si="0"/>
        <v>100</v>
      </c>
      <c r="T10" s="701" t="s">
        <v>14</v>
      </c>
      <c r="U10" s="702">
        <f t="shared" si="1"/>
        <v>100</v>
      </c>
      <c r="V10" s="701" t="s">
        <v>14</v>
      </c>
      <c r="W10" s="702">
        <f t="shared" si="2"/>
        <v>100</v>
      </c>
      <c r="X10" s="703"/>
      <c r="Y10" s="3661"/>
      <c r="Z10" s="52" t="str">
        <f t="shared" si="7"/>
        <v>土地使用年限（年）</v>
      </c>
      <c r="AA10" s="704">
        <f t="shared" si="3"/>
        <v>1</v>
      </c>
      <c r="AB10" s="704">
        <f t="shared" si="4"/>
        <v>1</v>
      </c>
      <c r="AC10" s="1958">
        <f t="shared" si="5"/>
        <v>1</v>
      </c>
    </row>
    <row r="11" spans="1:29" ht="15">
      <c r="A11" s="379"/>
      <c r="B11" s="375" t="s">
        <v>1682</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50"/>
      <c r="Q11" s="1343" t="str">
        <f t="shared" si="6"/>
        <v>容积率</v>
      </c>
      <c r="R11" s="701" t="s">
        <v>14</v>
      </c>
      <c r="S11" s="702">
        <f t="shared" si="0"/>
        <v>100</v>
      </c>
      <c r="T11" s="701" t="s">
        <v>14</v>
      </c>
      <c r="U11" s="702">
        <f t="shared" si="1"/>
        <v>100</v>
      </c>
      <c r="V11" s="701" t="s">
        <v>14</v>
      </c>
      <c r="W11" s="702">
        <f t="shared" si="2"/>
        <v>100</v>
      </c>
      <c r="X11" s="703"/>
      <c r="Y11" s="3661"/>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750"/>
      <c r="Q12" s="1343">
        <f t="shared" si="6"/>
        <v>111</v>
      </c>
      <c r="R12" s="701" t="s">
        <v>14</v>
      </c>
      <c r="S12" s="702">
        <f t="shared" si="0"/>
        <v>100</v>
      </c>
      <c r="T12" s="701" t="s">
        <v>14</v>
      </c>
      <c r="U12" s="702">
        <f t="shared" si="1"/>
        <v>100</v>
      </c>
      <c r="V12" s="701" t="s">
        <v>14</v>
      </c>
      <c r="W12" s="702">
        <f t="shared" si="2"/>
        <v>100</v>
      </c>
      <c r="X12" s="703"/>
      <c r="Y12" s="3661"/>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750"/>
      <c r="Q13" s="1343">
        <f t="shared" si="6"/>
        <v>111</v>
      </c>
      <c r="R13" s="701" t="s">
        <v>14</v>
      </c>
      <c r="S13" s="702">
        <f t="shared" si="0"/>
        <v>100</v>
      </c>
      <c r="T13" s="701" t="s">
        <v>14</v>
      </c>
      <c r="U13" s="702">
        <f t="shared" si="1"/>
        <v>100</v>
      </c>
      <c r="V13" s="701" t="s">
        <v>14</v>
      </c>
      <c r="W13" s="702">
        <f t="shared" si="2"/>
        <v>100</v>
      </c>
      <c r="X13" s="703"/>
      <c r="Y13" s="3661"/>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750"/>
      <c r="Q14" s="1343">
        <f t="shared" si="6"/>
        <v>111</v>
      </c>
      <c r="R14" s="701" t="s">
        <v>14</v>
      </c>
      <c r="S14" s="702">
        <f t="shared" si="0"/>
        <v>100</v>
      </c>
      <c r="T14" s="701" t="s">
        <v>14</v>
      </c>
      <c r="U14" s="702">
        <f t="shared" si="1"/>
        <v>100</v>
      </c>
      <c r="V14" s="701" t="s">
        <v>14</v>
      </c>
      <c r="W14" s="702">
        <f t="shared" si="2"/>
        <v>100</v>
      </c>
      <c r="X14" s="703"/>
      <c r="Y14" s="3661"/>
      <c r="Z14" s="52">
        <f t="shared" si="7"/>
        <v>111</v>
      </c>
      <c r="AA14" s="704">
        <f t="shared" si="3"/>
        <v>1</v>
      </c>
      <c r="AB14" s="704">
        <f t="shared" si="4"/>
        <v>1</v>
      </c>
      <c r="AC14" s="1958">
        <f t="shared" si="5"/>
        <v>1</v>
      </c>
    </row>
    <row r="15" spans="1:29" ht="15">
      <c r="A15" s="391" t="s">
        <v>1683</v>
      </c>
      <c r="B15" s="577" t="s">
        <v>1804</v>
      </c>
      <c r="C15" s="1960"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77" t="s">
        <v>1684</v>
      </c>
      <c r="Q15" s="1352" t="str">
        <f t="shared" si="6"/>
        <v>办公集聚程度</v>
      </c>
      <c r="R15" s="705" t="s">
        <v>14</v>
      </c>
      <c r="S15" s="706">
        <f t="shared" si="0"/>
        <v>100</v>
      </c>
      <c r="T15" s="705" t="s">
        <v>14</v>
      </c>
      <c r="U15" s="706">
        <f t="shared" si="1"/>
        <v>100</v>
      </c>
      <c r="V15" s="705" t="s">
        <v>14</v>
      </c>
      <c r="W15" s="706">
        <f t="shared" si="2"/>
        <v>100</v>
      </c>
      <c r="X15" s="1355"/>
      <c r="Y15" s="3770" t="s">
        <v>1684</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19"/>
      <c r="M16" s="2713"/>
      <c r="N16" s="2713"/>
      <c r="O16" s="2713"/>
      <c r="P16" s="3778"/>
      <c r="Q16" s="1352"/>
      <c r="R16" s="705"/>
      <c r="S16" s="706"/>
      <c r="T16" s="705"/>
      <c r="U16" s="706"/>
      <c r="V16" s="705"/>
      <c r="W16" s="706"/>
      <c r="X16" s="1355"/>
      <c r="Y16" s="3771"/>
      <c r="Z16" s="1356"/>
      <c r="AA16" s="1353">
        <v>1</v>
      </c>
      <c r="AB16" s="1353">
        <v>1</v>
      </c>
      <c r="AC16" s="1961">
        <v>1</v>
      </c>
    </row>
    <row r="17" spans="1:29" ht="15">
      <c r="A17" s="379"/>
      <c r="B17" s="579" t="s">
        <v>1252</v>
      </c>
      <c r="C17" s="1962" t="str">
        <f>估价对象房地状况!C6</f>
        <v>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78"/>
      <c r="Q17" s="1352" t="str">
        <f>B17</f>
        <v>交通便捷度</v>
      </c>
      <c r="R17" s="705" t="s">
        <v>14</v>
      </c>
      <c r="S17" s="706">
        <f>F17</f>
        <v>100</v>
      </c>
      <c r="T17" s="705" t="s">
        <v>14</v>
      </c>
      <c r="U17" s="706">
        <f>H17</f>
        <v>100</v>
      </c>
      <c r="V17" s="705" t="s">
        <v>14</v>
      </c>
      <c r="W17" s="706">
        <f>J17</f>
        <v>100</v>
      </c>
      <c r="X17" s="1355"/>
      <c r="Y17" s="3771"/>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19"/>
      <c r="M18" s="2713"/>
      <c r="N18" s="2713"/>
      <c r="O18" s="2713"/>
      <c r="P18" s="3778"/>
      <c r="Q18" s="1352"/>
      <c r="R18" s="705"/>
      <c r="S18" s="706"/>
      <c r="T18" s="705"/>
      <c r="U18" s="706"/>
      <c r="V18" s="705"/>
      <c r="W18" s="706"/>
      <c r="X18" s="1355"/>
      <c r="Y18" s="3771"/>
      <c r="Z18" s="1356"/>
      <c r="AA18" s="1353">
        <v>1</v>
      </c>
      <c r="AB18" s="1353">
        <v>1</v>
      </c>
      <c r="AC18" s="1961">
        <v>1</v>
      </c>
    </row>
    <row r="19" spans="1:29" ht="15">
      <c r="A19" s="379"/>
      <c r="B19" s="579" t="s">
        <v>1805</v>
      </c>
      <c r="C19" s="1962"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78"/>
      <c r="Q19" s="1352" t="str">
        <f>B19</f>
        <v>公共配套设施</v>
      </c>
      <c r="R19" s="705" t="s">
        <v>14</v>
      </c>
      <c r="S19" s="706">
        <f>F19</f>
        <v>100</v>
      </c>
      <c r="T19" s="705" t="s">
        <v>14</v>
      </c>
      <c r="U19" s="706">
        <f>H19</f>
        <v>100</v>
      </c>
      <c r="V19" s="705" t="s">
        <v>14</v>
      </c>
      <c r="W19" s="706">
        <f>J19</f>
        <v>100</v>
      </c>
      <c r="X19" s="1355"/>
      <c r="Y19" s="3771"/>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19"/>
      <c r="M20" s="2713"/>
      <c r="N20" s="2713"/>
      <c r="O20" s="2713"/>
      <c r="P20" s="3778"/>
      <c r="Q20" s="1352"/>
      <c r="R20" s="705"/>
      <c r="S20" s="706"/>
      <c r="T20" s="705"/>
      <c r="U20" s="706"/>
      <c r="V20" s="705"/>
      <c r="W20" s="706"/>
      <c r="X20" s="1355"/>
      <c r="Y20" s="3771"/>
      <c r="Z20" s="1356"/>
      <c r="AA20" s="1353">
        <v>1</v>
      </c>
      <c r="AB20" s="1353">
        <v>1</v>
      </c>
      <c r="AC20" s="1961">
        <v>1</v>
      </c>
    </row>
    <row r="21" spans="1:29" ht="15">
      <c r="A21" s="379"/>
      <c r="B21" s="581" t="s">
        <v>1806</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78"/>
      <c r="Q21" s="1352" t="str">
        <f>B21</f>
        <v>基础设施水平</v>
      </c>
      <c r="R21" s="705" t="s">
        <v>14</v>
      </c>
      <c r="S21" s="706">
        <f>F21</f>
        <v>100</v>
      </c>
      <c r="T21" s="705" t="s">
        <v>14</v>
      </c>
      <c r="U21" s="706">
        <f>H21</f>
        <v>100</v>
      </c>
      <c r="V21" s="705" t="s">
        <v>14</v>
      </c>
      <c r="W21" s="706">
        <f>J21</f>
        <v>100</v>
      </c>
      <c r="X21" s="1355"/>
      <c r="Y21" s="3771"/>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19"/>
      <c r="M22" s="2713"/>
      <c r="N22" s="2713"/>
      <c r="O22" s="2713"/>
      <c r="P22" s="3778"/>
      <c r="Q22" s="1352"/>
      <c r="R22" s="705"/>
      <c r="S22" s="706"/>
      <c r="T22" s="705"/>
      <c r="U22" s="706"/>
      <c r="V22" s="705"/>
      <c r="W22" s="706"/>
      <c r="X22" s="1355"/>
      <c r="Y22" s="3771"/>
      <c r="Z22" s="1356"/>
      <c r="AA22" s="1353">
        <v>1</v>
      </c>
      <c r="AB22" s="1353">
        <v>1</v>
      </c>
      <c r="AC22" s="1961">
        <v>1</v>
      </c>
    </row>
    <row r="23" spans="1:29" ht="15">
      <c r="A23" s="379"/>
      <c r="B23" s="579" t="s">
        <v>1807</v>
      </c>
      <c r="C23" s="1962"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78"/>
      <c r="Q23" s="1352" t="str">
        <f>B23</f>
        <v>环境质量</v>
      </c>
      <c r="R23" s="705" t="s">
        <v>14</v>
      </c>
      <c r="S23" s="706">
        <f>F23</f>
        <v>100</v>
      </c>
      <c r="T23" s="705" t="s">
        <v>14</v>
      </c>
      <c r="U23" s="706">
        <f>H23</f>
        <v>100</v>
      </c>
      <c r="V23" s="705" t="s">
        <v>14</v>
      </c>
      <c r="W23" s="706">
        <f>J23</f>
        <v>100</v>
      </c>
      <c r="X23" s="1355"/>
      <c r="Y23" s="3771"/>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19"/>
      <c r="M24" s="2713"/>
      <c r="N24" s="2713"/>
      <c r="O24" s="2713"/>
      <c r="P24" s="3778"/>
      <c r="Q24" s="1352"/>
      <c r="R24" s="705"/>
      <c r="S24" s="706"/>
      <c r="T24" s="705"/>
      <c r="U24" s="706"/>
      <c r="V24" s="705"/>
      <c r="W24" s="706"/>
      <c r="X24" s="1355"/>
      <c r="Y24" s="3771"/>
      <c r="Z24" s="1356"/>
      <c r="AA24" s="1353">
        <v>1</v>
      </c>
      <c r="AB24" s="1353">
        <v>1</v>
      </c>
      <c r="AC24" s="1961">
        <v>1</v>
      </c>
    </row>
    <row r="25" spans="1:29" ht="27">
      <c r="A25" s="358"/>
      <c r="B25" s="579" t="s">
        <v>1808</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78"/>
      <c r="Q25" s="1352" t="str">
        <f>B25</f>
        <v>毗邻道路的类型与等级</v>
      </c>
      <c r="R25" s="705" t="s">
        <v>14</v>
      </c>
      <c r="S25" s="706">
        <f>F25</f>
        <v>100</v>
      </c>
      <c r="T25" s="705" t="s">
        <v>14</v>
      </c>
      <c r="U25" s="706">
        <f>H25</f>
        <v>100</v>
      </c>
      <c r="V25" s="705" t="s">
        <v>14</v>
      </c>
      <c r="W25" s="706">
        <f>J25</f>
        <v>100</v>
      </c>
      <c r="X25" s="1355"/>
      <c r="Y25" s="3771"/>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19"/>
      <c r="M26" s="2713"/>
      <c r="N26" s="2713"/>
      <c r="O26" s="2713"/>
      <c r="P26" s="3778"/>
      <c r="Q26" s="1352"/>
      <c r="R26" s="705"/>
      <c r="S26" s="706"/>
      <c r="T26" s="705"/>
      <c r="U26" s="706"/>
      <c r="V26" s="705"/>
      <c r="W26" s="706"/>
      <c r="X26" s="1355"/>
      <c r="Y26" s="3771"/>
      <c r="Z26" s="1356"/>
      <c r="AA26" s="1353">
        <v>1</v>
      </c>
      <c r="AB26" s="1353">
        <v>1</v>
      </c>
      <c r="AC26" s="1961">
        <v>1</v>
      </c>
    </row>
    <row r="27" spans="1:29" ht="15">
      <c r="A27" s="379"/>
      <c r="B27" s="580" t="s">
        <v>1776</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78"/>
      <c r="Q27" s="1352" t="str">
        <f t="shared" ref="Q27:Q47" si="11">B27</f>
        <v>楼层</v>
      </c>
      <c r="R27" s="705" t="s">
        <v>14</v>
      </c>
      <c r="S27" s="706">
        <f>F27</f>
        <v>100</v>
      </c>
      <c r="T27" s="705" t="s">
        <v>14</v>
      </c>
      <c r="U27" s="706">
        <f>H27</f>
        <v>100</v>
      </c>
      <c r="V27" s="705" t="s">
        <v>14</v>
      </c>
      <c r="W27" s="706">
        <f>J27</f>
        <v>100</v>
      </c>
      <c r="X27" s="1355"/>
      <c r="Y27" s="3771"/>
      <c r="Z27" s="1356" t="str">
        <f>Q27</f>
        <v>楼层</v>
      </c>
      <c r="AA27" s="1353">
        <f t="shared" si="3"/>
        <v>1</v>
      </c>
      <c r="AB27" s="1353">
        <f t="shared" si="4"/>
        <v>1</v>
      </c>
      <c r="AC27" s="1961">
        <f t="shared" si="5"/>
        <v>1</v>
      </c>
    </row>
    <row r="28" spans="1:29" s="108" customFormat="1" ht="15">
      <c r="A28" s="382"/>
      <c r="B28" s="579" t="s">
        <v>1809</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778"/>
      <c r="Q28" s="1343" t="str">
        <f t="shared" si="11"/>
        <v>朝向</v>
      </c>
      <c r="R28" s="701" t="s">
        <v>14</v>
      </c>
      <c r="S28" s="702">
        <f>F28</f>
        <v>100</v>
      </c>
      <c r="T28" s="701" t="s">
        <v>14</v>
      </c>
      <c r="U28" s="702">
        <f>H28</f>
        <v>100</v>
      </c>
      <c r="V28" s="701" t="s">
        <v>14</v>
      </c>
      <c r="W28" s="702">
        <f>J28</f>
        <v>100</v>
      </c>
      <c r="X28" s="703"/>
      <c r="Y28" s="3771"/>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778"/>
      <c r="Q29" s="1352">
        <f t="shared" si="11"/>
        <v>111</v>
      </c>
      <c r="R29" s="705" t="s">
        <v>14</v>
      </c>
      <c r="S29" s="706">
        <f t="shared" ref="S29:S47" si="12">F29</f>
        <v>100</v>
      </c>
      <c r="T29" s="705" t="s">
        <v>14</v>
      </c>
      <c r="U29" s="706">
        <f t="shared" ref="U29:U47" si="13">H29</f>
        <v>100</v>
      </c>
      <c r="V29" s="705" t="s">
        <v>14</v>
      </c>
      <c r="W29" s="706">
        <f t="shared" ref="W29:W47" si="14">J29</f>
        <v>100</v>
      </c>
      <c r="X29" s="1355"/>
      <c r="Y29" s="3771"/>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778"/>
      <c r="Q30" s="1352">
        <f t="shared" si="11"/>
        <v>111</v>
      </c>
      <c r="R30" s="705" t="s">
        <v>14</v>
      </c>
      <c r="S30" s="706">
        <f t="shared" si="12"/>
        <v>100</v>
      </c>
      <c r="T30" s="705" t="s">
        <v>14</v>
      </c>
      <c r="U30" s="706">
        <f t="shared" si="13"/>
        <v>100</v>
      </c>
      <c r="V30" s="705" t="s">
        <v>14</v>
      </c>
      <c r="W30" s="706">
        <f t="shared" si="14"/>
        <v>100</v>
      </c>
      <c r="X30" s="1355"/>
      <c r="Y30" s="3771"/>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778"/>
      <c r="Q31" s="1352">
        <f t="shared" si="11"/>
        <v>111</v>
      </c>
      <c r="R31" s="705" t="s">
        <v>14</v>
      </c>
      <c r="S31" s="706">
        <f t="shared" si="12"/>
        <v>100</v>
      </c>
      <c r="T31" s="705" t="s">
        <v>14</v>
      </c>
      <c r="U31" s="706">
        <f t="shared" si="13"/>
        <v>100</v>
      </c>
      <c r="V31" s="705" t="s">
        <v>14</v>
      </c>
      <c r="W31" s="706">
        <f t="shared" si="14"/>
        <v>100</v>
      </c>
      <c r="X31" s="1355"/>
      <c r="Y31" s="3771"/>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778"/>
      <c r="Q32" s="1352">
        <f t="shared" si="11"/>
        <v>111</v>
      </c>
      <c r="R32" s="705" t="s">
        <v>14</v>
      </c>
      <c r="S32" s="706">
        <f t="shared" si="12"/>
        <v>100</v>
      </c>
      <c r="T32" s="705" t="s">
        <v>14</v>
      </c>
      <c r="U32" s="706">
        <f t="shared" si="13"/>
        <v>100</v>
      </c>
      <c r="V32" s="705" t="s">
        <v>14</v>
      </c>
      <c r="W32" s="706">
        <f t="shared" si="14"/>
        <v>100</v>
      </c>
      <c r="X32" s="1355"/>
      <c r="Y32" s="3771"/>
      <c r="Z32" s="1356">
        <f t="shared" si="15"/>
        <v>111</v>
      </c>
      <c r="AA32" s="1353">
        <f t="shared" si="3"/>
        <v>1</v>
      </c>
      <c r="AB32" s="1353">
        <f t="shared" si="4"/>
        <v>1</v>
      </c>
      <c r="AC32" s="1961">
        <f t="shared" si="5"/>
        <v>1</v>
      </c>
    </row>
    <row r="33" spans="1:29" ht="15">
      <c r="A33" s="391" t="s">
        <v>1687</v>
      </c>
      <c r="B33" s="63" t="s">
        <v>1810</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9"/>
      <c r="M33" s="2713"/>
      <c r="N33" s="2713"/>
      <c r="O33" s="2713"/>
      <c r="P33" s="3772" t="s">
        <v>1689</v>
      </c>
      <c r="Q33" s="1352" t="str">
        <f t="shared" si="11"/>
        <v>建筑类型</v>
      </c>
      <c r="R33" s="705" t="s">
        <v>14</v>
      </c>
      <c r="S33" s="706">
        <f t="shared" si="12"/>
        <v>100</v>
      </c>
      <c r="T33" s="705" t="s">
        <v>14</v>
      </c>
      <c r="U33" s="706">
        <f t="shared" si="13"/>
        <v>100</v>
      </c>
      <c r="V33" s="705" t="s">
        <v>14</v>
      </c>
      <c r="W33" s="706">
        <f t="shared" si="14"/>
        <v>100</v>
      </c>
      <c r="X33" s="1355"/>
      <c r="Y33" s="3775" t="s">
        <v>1689</v>
      </c>
      <c r="Z33" s="1356" t="str">
        <f t="shared" si="15"/>
        <v>建筑类型</v>
      </c>
      <c r="AA33" s="1353">
        <f t="shared" si="3"/>
        <v>1</v>
      </c>
      <c r="AB33" s="1353">
        <f t="shared" si="4"/>
        <v>1</v>
      </c>
      <c r="AC33" s="1961">
        <f t="shared" si="5"/>
        <v>1</v>
      </c>
    </row>
    <row r="34" spans="1:29" s="422" customFormat="1" ht="15">
      <c r="A34" s="419"/>
      <c r="B34" s="375" t="s">
        <v>1690</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73"/>
      <c r="Q34" s="707" t="str">
        <f t="shared" si="11"/>
        <v>项目建筑规模</v>
      </c>
      <c r="R34" s="708" t="s">
        <v>14</v>
      </c>
      <c r="S34" s="709" t="e">
        <f t="shared" si="12"/>
        <v>#N/A</v>
      </c>
      <c r="T34" s="708" t="s">
        <v>14</v>
      </c>
      <c r="U34" s="709" t="e">
        <f t="shared" si="13"/>
        <v>#N/A</v>
      </c>
      <c r="V34" s="708" t="s">
        <v>14</v>
      </c>
      <c r="W34" s="709" t="e">
        <f t="shared" si="14"/>
        <v>#N/A</v>
      </c>
      <c r="X34" s="710"/>
      <c r="Y34" s="3775"/>
      <c r="Z34" s="711" t="str">
        <f t="shared" si="15"/>
        <v>项目建筑规模</v>
      </c>
      <c r="AA34" s="1353" t="e">
        <f t="shared" si="3"/>
        <v>#N/A</v>
      </c>
      <c r="AB34" s="1353" t="e">
        <f t="shared" si="4"/>
        <v>#N/A</v>
      </c>
      <c r="AC34" s="1961" t="e">
        <f t="shared" si="5"/>
        <v>#N/A</v>
      </c>
    </row>
    <row r="35" spans="1:29" ht="15">
      <c r="A35" s="423"/>
      <c r="B35" s="375" t="s">
        <v>1691</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73"/>
      <c r="Q35" s="1352" t="str">
        <f t="shared" si="11"/>
        <v>建筑结构</v>
      </c>
      <c r="R35" s="705" t="s">
        <v>14</v>
      </c>
      <c r="S35" s="706">
        <f t="shared" si="12"/>
        <v>100</v>
      </c>
      <c r="T35" s="705" t="s">
        <v>14</v>
      </c>
      <c r="U35" s="706">
        <f t="shared" si="13"/>
        <v>100</v>
      </c>
      <c r="V35" s="705" t="s">
        <v>14</v>
      </c>
      <c r="W35" s="706">
        <f t="shared" si="14"/>
        <v>100</v>
      </c>
      <c r="X35" s="1355"/>
      <c r="Y35" s="3775"/>
      <c r="Z35" s="1356" t="str">
        <f t="shared" si="15"/>
        <v>建筑结构</v>
      </c>
      <c r="AA35" s="1353">
        <f t="shared" si="3"/>
        <v>1</v>
      </c>
      <c r="AB35" s="1353">
        <f t="shared" si="4"/>
        <v>1</v>
      </c>
      <c r="AC35" s="1961">
        <f t="shared" si="5"/>
        <v>1</v>
      </c>
    </row>
    <row r="36" spans="1:29" ht="15">
      <c r="A36" s="423"/>
      <c r="B36" s="375" t="s">
        <v>1778</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73"/>
      <c r="Q36" s="1352" t="str">
        <f t="shared" si="11"/>
        <v>公共部分装修</v>
      </c>
      <c r="R36" s="705" t="s">
        <v>14</v>
      </c>
      <c r="S36" s="706">
        <f t="shared" si="12"/>
        <v>100</v>
      </c>
      <c r="T36" s="705" t="s">
        <v>14</v>
      </c>
      <c r="U36" s="706">
        <f t="shared" si="13"/>
        <v>100</v>
      </c>
      <c r="V36" s="705" t="s">
        <v>14</v>
      </c>
      <c r="W36" s="706">
        <f t="shared" si="14"/>
        <v>100</v>
      </c>
      <c r="X36" s="1355"/>
      <c r="Y36" s="3775"/>
      <c r="Z36" s="1356" t="str">
        <f t="shared" si="15"/>
        <v>公共部分装修</v>
      </c>
      <c r="AA36" s="1353">
        <f t="shared" si="3"/>
        <v>1</v>
      </c>
      <c r="AB36" s="1353">
        <f t="shared" si="4"/>
        <v>1</v>
      </c>
      <c r="AC36" s="1961">
        <f t="shared" si="5"/>
        <v>1</v>
      </c>
    </row>
    <row r="37" spans="1:29" ht="15">
      <c r="A37" s="423"/>
      <c r="B37" s="375" t="s">
        <v>1779</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73"/>
      <c r="Q37" s="1352" t="str">
        <f t="shared" si="11"/>
        <v>成新度</v>
      </c>
      <c r="R37" s="705" t="s">
        <v>14</v>
      </c>
      <c r="S37" s="706" t="e">
        <f t="shared" si="12"/>
        <v>#N/A</v>
      </c>
      <c r="T37" s="705" t="s">
        <v>14</v>
      </c>
      <c r="U37" s="706" t="e">
        <f t="shared" si="13"/>
        <v>#N/A</v>
      </c>
      <c r="V37" s="705" t="s">
        <v>14</v>
      </c>
      <c r="W37" s="706" t="e">
        <f t="shared" si="14"/>
        <v>#N/A</v>
      </c>
      <c r="X37" s="1355"/>
      <c r="Y37" s="3775"/>
      <c r="Z37" s="1356" t="str">
        <f t="shared" si="15"/>
        <v>成新度</v>
      </c>
      <c r="AA37" s="1353" t="e">
        <f t="shared" si="3"/>
        <v>#N/A</v>
      </c>
      <c r="AB37" s="1353" t="e">
        <f t="shared" si="4"/>
        <v>#N/A</v>
      </c>
      <c r="AC37" s="1961" t="e">
        <f t="shared" si="5"/>
        <v>#N/A</v>
      </c>
    </row>
    <row r="38" spans="1:29" s="108" customFormat="1" ht="15">
      <c r="A38" s="424"/>
      <c r="B38" s="375" t="s">
        <v>1811</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73"/>
      <c r="Q38" s="1343" t="str">
        <f t="shared" si="11"/>
        <v>写字楼等级</v>
      </c>
      <c r="R38" s="701" t="s">
        <v>14</v>
      </c>
      <c r="S38" s="702">
        <f t="shared" si="12"/>
        <v>100</v>
      </c>
      <c r="T38" s="701" t="s">
        <v>14</v>
      </c>
      <c r="U38" s="702">
        <f t="shared" si="13"/>
        <v>100</v>
      </c>
      <c r="V38" s="701" t="s">
        <v>14</v>
      </c>
      <c r="W38" s="702">
        <f t="shared" si="14"/>
        <v>100</v>
      </c>
      <c r="X38" s="703"/>
      <c r="Y38" s="3775"/>
      <c r="Z38" s="52" t="str">
        <f t="shared" si="15"/>
        <v>写字楼等级</v>
      </c>
      <c r="AA38" s="704">
        <f t="shared" si="3"/>
        <v>1</v>
      </c>
      <c r="AB38" s="704">
        <f t="shared" si="4"/>
        <v>1</v>
      </c>
      <c r="AC38" s="1958">
        <f t="shared" si="5"/>
        <v>1</v>
      </c>
    </row>
    <row r="39" spans="1:29" ht="15">
      <c r="A39" s="423"/>
      <c r="B39" s="375" t="s">
        <v>1812</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73" t="s">
        <v>1689</v>
      </c>
      <c r="Q39" s="1352" t="str">
        <f t="shared" si="11"/>
        <v>物业管理</v>
      </c>
      <c r="R39" s="705" t="s">
        <v>14</v>
      </c>
      <c r="S39" s="706">
        <f t="shared" si="12"/>
        <v>100</v>
      </c>
      <c r="T39" s="705" t="s">
        <v>14</v>
      </c>
      <c r="U39" s="706">
        <f t="shared" si="13"/>
        <v>100</v>
      </c>
      <c r="V39" s="705" t="s">
        <v>14</v>
      </c>
      <c r="W39" s="706">
        <f t="shared" si="14"/>
        <v>100</v>
      </c>
      <c r="X39" s="1355"/>
      <c r="Y39" s="3775" t="s">
        <v>1689</v>
      </c>
      <c r="Z39" s="1356" t="str">
        <f t="shared" si="15"/>
        <v>物业管理</v>
      </c>
      <c r="AA39" s="1353">
        <f t="shared" si="3"/>
        <v>1</v>
      </c>
      <c r="AB39" s="1353">
        <f t="shared" si="4"/>
        <v>1</v>
      </c>
      <c r="AC39" s="1961">
        <f t="shared" si="5"/>
        <v>1</v>
      </c>
    </row>
    <row r="40" spans="1:29" ht="15">
      <c r="A40" s="423"/>
      <c r="B40" s="375" t="s">
        <v>1780</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73"/>
      <c r="Q40" s="1352" t="str">
        <f t="shared" si="11"/>
        <v>市政基础设施</v>
      </c>
      <c r="R40" s="705" t="s">
        <v>14</v>
      </c>
      <c r="S40" s="706">
        <f t="shared" si="12"/>
        <v>100</v>
      </c>
      <c r="T40" s="705" t="s">
        <v>14</v>
      </c>
      <c r="U40" s="706">
        <f t="shared" si="13"/>
        <v>100</v>
      </c>
      <c r="V40" s="705" t="s">
        <v>14</v>
      </c>
      <c r="W40" s="706">
        <f t="shared" si="14"/>
        <v>100</v>
      </c>
      <c r="X40" s="1355"/>
      <c r="Y40" s="3775"/>
      <c r="Z40" s="1356" t="str">
        <f t="shared" si="15"/>
        <v>市政基础设施</v>
      </c>
      <c r="AA40" s="1353">
        <f t="shared" si="3"/>
        <v>1</v>
      </c>
      <c r="AB40" s="1353">
        <f t="shared" si="4"/>
        <v>1</v>
      </c>
      <c r="AC40" s="1961">
        <f t="shared" si="5"/>
        <v>1</v>
      </c>
    </row>
    <row r="41" spans="1:29" ht="15">
      <c r="A41" s="423"/>
      <c r="B41" s="375" t="s">
        <v>1782</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73"/>
      <c r="Q41" s="1352" t="str">
        <f t="shared" si="11"/>
        <v>层高</v>
      </c>
      <c r="R41" s="705" t="s">
        <v>14</v>
      </c>
      <c r="S41" s="706">
        <f t="shared" si="12"/>
        <v>100</v>
      </c>
      <c r="T41" s="705" t="s">
        <v>14</v>
      </c>
      <c r="U41" s="706">
        <f t="shared" si="13"/>
        <v>100</v>
      </c>
      <c r="V41" s="705" t="s">
        <v>14</v>
      </c>
      <c r="W41" s="706">
        <f t="shared" si="14"/>
        <v>100</v>
      </c>
      <c r="X41" s="1355"/>
      <c r="Y41" s="3775"/>
      <c r="Z41" s="1356" t="str">
        <f t="shared" si="15"/>
        <v>层高</v>
      </c>
      <c r="AA41" s="1353">
        <f t="shared" si="3"/>
        <v>1</v>
      </c>
      <c r="AB41" s="1353">
        <f t="shared" si="4"/>
        <v>1</v>
      </c>
      <c r="AC41" s="1961">
        <f t="shared" si="5"/>
        <v>1</v>
      </c>
    </row>
    <row r="42" spans="1:29" s="422" customFormat="1" ht="15">
      <c r="A42" s="419"/>
      <c r="B42" s="1354" t="s">
        <v>1813</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73"/>
      <c r="Q42" s="707" t="str">
        <f t="shared" si="11"/>
        <v>单套建筑面积</v>
      </c>
      <c r="R42" s="708" t="s">
        <v>14</v>
      </c>
      <c r="S42" s="709">
        <f t="shared" si="12"/>
        <v>100</v>
      </c>
      <c r="T42" s="708" t="s">
        <v>14</v>
      </c>
      <c r="U42" s="709">
        <f t="shared" si="13"/>
        <v>100</v>
      </c>
      <c r="V42" s="708" t="s">
        <v>14</v>
      </c>
      <c r="W42" s="709">
        <f t="shared" si="14"/>
        <v>100</v>
      </c>
      <c r="X42" s="710"/>
      <c r="Y42" s="3775"/>
      <c r="Z42" s="711" t="str">
        <f t="shared" si="15"/>
        <v>单套建筑面积</v>
      </c>
      <c r="AA42" s="1353">
        <f t="shared" si="3"/>
        <v>1</v>
      </c>
      <c r="AB42" s="1353">
        <f t="shared" si="4"/>
        <v>1</v>
      </c>
      <c r="AC42" s="1961">
        <f t="shared" si="5"/>
        <v>1</v>
      </c>
    </row>
    <row r="43" spans="1:29" ht="15">
      <c r="A43" s="423"/>
      <c r="B43" s="375" t="s">
        <v>1785</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73"/>
      <c r="Q43" s="1352" t="str">
        <f t="shared" si="11"/>
        <v>内部装修</v>
      </c>
      <c r="R43" s="705" t="s">
        <v>14</v>
      </c>
      <c r="S43" s="706">
        <f t="shared" si="12"/>
        <v>100</v>
      </c>
      <c r="T43" s="705" t="s">
        <v>14</v>
      </c>
      <c r="U43" s="706">
        <f t="shared" si="13"/>
        <v>100</v>
      </c>
      <c r="V43" s="705" t="s">
        <v>14</v>
      </c>
      <c r="W43" s="706">
        <f t="shared" si="14"/>
        <v>100</v>
      </c>
      <c r="X43" s="1355"/>
      <c r="Y43" s="3775"/>
      <c r="Z43" s="1356" t="str">
        <f t="shared" si="15"/>
        <v>内部装修</v>
      </c>
      <c r="AA43" s="1353">
        <f t="shared" si="3"/>
        <v>1</v>
      </c>
      <c r="AB43" s="1353">
        <f t="shared" si="4"/>
        <v>1</v>
      </c>
      <c r="AC43" s="1961">
        <f t="shared" si="5"/>
        <v>1</v>
      </c>
    </row>
    <row r="44" spans="1:29" ht="15">
      <c r="A44" s="423"/>
      <c r="B44" s="375" t="s">
        <v>1700</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773"/>
      <c r="Q44" s="1352" t="str">
        <f t="shared" si="11"/>
        <v>内部装修维护情况</v>
      </c>
      <c r="R44" s="705" t="s">
        <v>14</v>
      </c>
      <c r="S44" s="706">
        <f t="shared" si="12"/>
        <v>100</v>
      </c>
      <c r="T44" s="705" t="s">
        <v>14</v>
      </c>
      <c r="U44" s="706">
        <f t="shared" si="13"/>
        <v>100</v>
      </c>
      <c r="V44" s="705" t="s">
        <v>14</v>
      </c>
      <c r="W44" s="706">
        <f t="shared" si="14"/>
        <v>100</v>
      </c>
      <c r="X44" s="1355"/>
      <c r="Y44" s="3775"/>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73"/>
      <c r="Q45" s="1343">
        <f t="shared" si="11"/>
        <v>111</v>
      </c>
      <c r="R45" s="701" t="s">
        <v>14</v>
      </c>
      <c r="S45" s="702">
        <f t="shared" si="12"/>
        <v>100</v>
      </c>
      <c r="T45" s="701" t="s">
        <v>14</v>
      </c>
      <c r="U45" s="702">
        <f t="shared" si="13"/>
        <v>100</v>
      </c>
      <c r="V45" s="701" t="s">
        <v>14</v>
      </c>
      <c r="W45" s="702">
        <f t="shared" si="14"/>
        <v>100</v>
      </c>
      <c r="X45" s="703"/>
      <c r="Y45" s="3775"/>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73"/>
      <c r="Q46" s="1352">
        <f t="shared" si="11"/>
        <v>111</v>
      </c>
      <c r="R46" s="705" t="s">
        <v>14</v>
      </c>
      <c r="S46" s="706">
        <f t="shared" si="12"/>
        <v>100</v>
      </c>
      <c r="T46" s="705" t="s">
        <v>14</v>
      </c>
      <c r="U46" s="706">
        <f t="shared" si="13"/>
        <v>100</v>
      </c>
      <c r="V46" s="705" t="s">
        <v>14</v>
      </c>
      <c r="W46" s="706">
        <f t="shared" si="14"/>
        <v>100</v>
      </c>
      <c r="X46" s="1355"/>
      <c r="Y46" s="3775"/>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74"/>
      <c r="Q47" s="1352">
        <f t="shared" si="11"/>
        <v>111</v>
      </c>
      <c r="R47" s="705" t="s">
        <v>14</v>
      </c>
      <c r="S47" s="706">
        <f t="shared" si="12"/>
        <v>100</v>
      </c>
      <c r="T47" s="705" t="s">
        <v>14</v>
      </c>
      <c r="U47" s="706">
        <f t="shared" si="13"/>
        <v>100</v>
      </c>
      <c r="V47" s="705" t="s">
        <v>14</v>
      </c>
      <c r="W47" s="706">
        <f t="shared" si="14"/>
        <v>100</v>
      </c>
      <c r="X47" s="1355"/>
      <c r="Y47" s="3776"/>
      <c r="Z47" s="1356">
        <f t="shared" si="15"/>
        <v>111</v>
      </c>
      <c r="AA47" s="1353">
        <f t="shared" si="3"/>
        <v>1</v>
      </c>
      <c r="AB47" s="1353">
        <f t="shared" si="4"/>
        <v>1</v>
      </c>
      <c r="AC47" s="1961">
        <f t="shared" si="5"/>
        <v>1</v>
      </c>
    </row>
    <row r="48" spans="1:29" ht="15">
      <c r="A48" s="430" t="s">
        <v>1701</v>
      </c>
      <c r="B48" s="431"/>
      <c r="C48" s="1154" t="s">
        <v>0</v>
      </c>
      <c r="D48" s="1155"/>
      <c r="E48" s="1156"/>
      <c r="F48" s="1157"/>
      <c r="G48" s="1158"/>
      <c r="H48" s="1159"/>
      <c r="I48" s="1156"/>
      <c r="J48" s="436"/>
      <c r="K48" s="714"/>
      <c r="L48" s="2721"/>
      <c r="M48" s="2713"/>
      <c r="N48" s="2713"/>
      <c r="O48" s="2713"/>
      <c r="P48" s="3750" t="str">
        <f>A48</f>
        <v>成交单价（元/平方米）</v>
      </c>
      <c r="Q48" s="3768"/>
      <c r="R48" s="3769">
        <f>E48</f>
        <v>0</v>
      </c>
      <c r="S48" s="3769"/>
      <c r="T48" s="3769">
        <f>G48</f>
        <v>0</v>
      </c>
      <c r="U48" s="3769"/>
      <c r="V48" s="3769">
        <f>I48</f>
        <v>0</v>
      </c>
      <c r="W48" s="3769"/>
      <c r="X48" s="397"/>
      <c r="Y48" s="712"/>
      <c r="Z48" s="397"/>
      <c r="AA48" s="397"/>
      <c r="AB48" s="397"/>
      <c r="AC48" s="578"/>
    </row>
    <row r="49" spans="1:29" ht="15.75" thickBot="1">
      <c r="A49" s="437" t="s">
        <v>1786</v>
      </c>
      <c r="B49" s="438"/>
      <c r="C49" s="1160" t="e">
        <f>R50</f>
        <v>#DIV/0!</v>
      </c>
      <c r="D49" s="2316" t="s">
        <v>2131</v>
      </c>
      <c r="E49" s="1161" t="e">
        <f>R49</f>
        <v>#DIV/0!</v>
      </c>
      <c r="F49" s="2317"/>
      <c r="G49" s="1160" t="e">
        <f>T49</f>
        <v>#DIV/0!</v>
      </c>
      <c r="H49" s="2317"/>
      <c r="I49" s="1161" t="e">
        <f>V49</f>
        <v>#DIV/0!</v>
      </c>
      <c r="J49" s="2317"/>
      <c r="K49" s="2319">
        <f>F49+H49+J49</f>
        <v>0</v>
      </c>
      <c r="L49" s="2721"/>
      <c r="M49" s="2713"/>
      <c r="N49" s="2713"/>
      <c r="O49" s="2713"/>
      <c r="P49" s="3750" t="str">
        <f>A49</f>
        <v>比较价值（元/平方米）</v>
      </c>
      <c r="Q49" s="3768"/>
      <c r="R49" s="3769" t="e">
        <f>IF(F1="售价",ROUND(PRODUCT(R48,AA7:AA47),0),ROUND(PRODUCT(R48,AA7:AA47),1))</f>
        <v>#DIV/0!</v>
      </c>
      <c r="S49" s="3769"/>
      <c r="T49" s="3769" t="e">
        <f>IF(F1="售价",ROUND(PRODUCT(T48,AB7:AB47),0),ROUND(PRODUCT(T48,AB7:AB47),1))</f>
        <v>#DIV/0!</v>
      </c>
      <c r="U49" s="3769"/>
      <c r="V49" s="3769" t="e">
        <f>IF(F1="售价",ROUND(PRODUCT(V48,AC7:AC47),0),ROUND(PRODUCT(V48,AC7:AC47),1))</f>
        <v>#DIV/0!</v>
      </c>
      <c r="W49" s="3769"/>
      <c r="X49" s="397"/>
      <c r="Y49" s="397"/>
      <c r="Z49" s="397"/>
      <c r="AA49" s="397"/>
      <c r="AB49" s="397"/>
      <c r="AC49" s="578"/>
    </row>
    <row r="50" spans="1:29" ht="15.75" thickBot="1">
      <c r="A50" s="441" t="s">
        <v>1787</v>
      </c>
      <c r="B50" s="442"/>
      <c r="C50" s="1163" t="e">
        <f>R50</f>
        <v>#DIV/0!</v>
      </c>
      <c r="D50" s="1163"/>
      <c r="E50" s="1163"/>
      <c r="F50" s="1163"/>
      <c r="G50" s="1163"/>
      <c r="H50" s="1163"/>
      <c r="I50" s="1163"/>
      <c r="J50" s="443"/>
      <c r="K50" s="715"/>
      <c r="L50" s="2721"/>
      <c r="M50" s="2713"/>
      <c r="N50" s="2713"/>
      <c r="O50" s="2713"/>
      <c r="P50" s="3791" t="str">
        <f>A50</f>
        <v>估价对象XX用房的比较价值（楼面单价，元/平方米）</v>
      </c>
      <c r="Q50" s="3792"/>
      <c r="R50" s="3793" t="e">
        <f>IF(F1="售价",ROUND(IF(D49="简单平均",AVERAGE(R49:V49),R49*F49+T49*H49+V49*J49),0),ROUND(IF(D49="简单平均",AVERAGE(R49:V49),R49*F49+T49*H49+V49*J49),1))</f>
        <v>#DIV/0!</v>
      </c>
      <c r="S50" s="3793"/>
      <c r="T50" s="3793"/>
      <c r="U50" s="3793"/>
      <c r="V50" s="3793"/>
      <c r="W50" s="3793"/>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1788</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1789</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1790</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1791</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1672</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1709</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1674</v>
      </c>
      <c r="B62" s="459"/>
      <c r="C62" s="471" t="s">
        <v>1769</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1712</v>
      </c>
      <c r="B64" s="477" t="s">
        <v>1678</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1681</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1682</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1683</v>
      </c>
      <c r="B77" s="477" t="s">
        <v>1814</v>
      </c>
      <c r="C77" s="522" t="s">
        <v>1714</v>
      </c>
      <c r="D77" s="522" t="s">
        <v>1715</v>
      </c>
      <c r="E77" s="522" t="s">
        <v>1716</v>
      </c>
      <c r="F77" s="522" t="s">
        <v>1717</v>
      </c>
      <c r="G77" s="522" t="s">
        <v>1718</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1719</v>
      </c>
      <c r="C79" s="527" t="s">
        <v>1714</v>
      </c>
      <c r="D79" s="527" t="s">
        <v>1715</v>
      </c>
      <c r="E79" s="527" t="s">
        <v>1716</v>
      </c>
      <c r="F79" s="527" t="s">
        <v>1717</v>
      </c>
      <c r="G79" s="527" t="s">
        <v>1718</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1720</v>
      </c>
      <c r="C81" s="527" t="s">
        <v>1714</v>
      </c>
      <c r="D81" s="527" t="s">
        <v>1715</v>
      </c>
      <c r="E81" s="527" t="s">
        <v>1716</v>
      </c>
      <c r="F81" s="527" t="s">
        <v>1717</v>
      </c>
      <c r="G81" s="527" t="s">
        <v>1718</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1806</v>
      </c>
      <c r="C83" s="608" t="s">
        <v>1792</v>
      </c>
      <c r="D83" s="608" t="s">
        <v>1793</v>
      </c>
      <c r="E83" s="608" t="s">
        <v>1794</v>
      </c>
      <c r="F83" s="608" t="s">
        <v>1795</v>
      </c>
      <c r="G83" s="608" t="s">
        <v>1796</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1815</v>
      </c>
      <c r="C85" s="527" t="s">
        <v>1714</v>
      </c>
      <c r="D85" s="527" t="s">
        <v>1715</v>
      </c>
      <c r="E85" s="527" t="s">
        <v>1716</v>
      </c>
      <c r="F85" s="527" t="s">
        <v>1717</v>
      </c>
      <c r="G85" s="527" t="s">
        <v>1718</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1816</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6"/>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1687</v>
      </c>
      <c r="B101" s="477" t="s">
        <v>1729</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1730</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1731</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1733</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1183</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1817</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1734</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1735</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1818</v>
      </c>
      <c r="C119" s="532"/>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1801</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1737</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1738</v>
      </c>
      <c r="C125" s="527" t="s">
        <v>1714</v>
      </c>
      <c r="D125" s="527" t="s">
        <v>1715</v>
      </c>
      <c r="E125" s="527" t="s">
        <v>1716</v>
      </c>
      <c r="F125" s="527" t="s">
        <v>1717</v>
      </c>
      <c r="G125" s="527" t="s">
        <v>1718</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1653</v>
      </c>
      <c r="B1" s="1956" t="s">
        <v>1819</v>
      </c>
      <c r="C1" s="1224" t="s">
        <v>1655</v>
      </c>
      <c r="D1" s="1225"/>
      <c r="E1" s="3428"/>
      <c r="F1" s="1878"/>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1456</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1457</v>
      </c>
      <c r="B3" s="558">
        <f>IF(C2="——",C43,ROUND(B2*10000/D3,0))</f>
        <v>0</v>
      </c>
      <c r="C3" s="354" t="s">
        <v>1761</v>
      </c>
      <c r="D3" s="353">
        <f>IF(D1="",'数据-汇总表'!E3,SUMIF('数据-汇总表'!$C19:$C33,D1,'数据-汇总表'!$E19:$E33))</f>
        <v>63063.880000000005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1762</v>
      </c>
      <c r="B4" s="356"/>
      <c r="C4" s="3751" t="s">
        <v>1763</v>
      </c>
      <c r="D4" s="3752"/>
      <c r="E4" s="3753" t="s">
        <v>1764</v>
      </c>
      <c r="F4" s="3754"/>
      <c r="G4" s="3751" t="s">
        <v>1765</v>
      </c>
      <c r="H4" s="3752"/>
      <c r="I4" s="3751" t="s">
        <v>1766</v>
      </c>
      <c r="J4" s="3752"/>
      <c r="K4" s="559" t="s">
        <v>1767</v>
      </c>
      <c r="L4" s="913"/>
      <c r="M4" s="914"/>
      <c r="N4" s="914"/>
      <c r="O4" s="914"/>
      <c r="P4" s="3755" t="s">
        <v>1768</v>
      </c>
      <c r="Q4" s="3756"/>
      <c r="R4" s="3738" t="s">
        <v>1764</v>
      </c>
      <c r="S4" s="3739"/>
      <c r="T4" s="3738" t="s">
        <v>1765</v>
      </c>
      <c r="U4" s="3739"/>
      <c r="V4" s="3763" t="s">
        <v>1766</v>
      </c>
      <c r="W4" s="3763"/>
      <c r="X4" s="1355"/>
      <c r="Y4" s="3738" t="s">
        <v>1768</v>
      </c>
      <c r="Z4" s="3739"/>
      <c r="AA4" s="3733" t="s">
        <v>1764</v>
      </c>
      <c r="AB4" s="3734" t="s">
        <v>1765</v>
      </c>
      <c r="AC4" s="3733" t="s">
        <v>1766</v>
      </c>
    </row>
    <row r="5" spans="1:29" ht="15">
      <c r="A5" s="358"/>
      <c r="B5" s="359"/>
      <c r="C5" s="3744" t="s">
        <v>1666</v>
      </c>
      <c r="D5" s="3745"/>
      <c r="E5" s="3742" t="s">
        <v>1667</v>
      </c>
      <c r="F5" s="3743"/>
      <c r="G5" s="3744" t="s">
        <v>1668</v>
      </c>
      <c r="H5" s="3745"/>
      <c r="I5" s="3744" t="s">
        <v>1669</v>
      </c>
      <c r="J5" s="3745"/>
      <c r="K5" s="559"/>
      <c r="L5" s="913"/>
      <c r="M5" s="914"/>
      <c r="N5" s="914"/>
      <c r="O5" s="914"/>
      <c r="P5" s="3757"/>
      <c r="Q5" s="3758"/>
      <c r="R5" s="3740"/>
      <c r="S5" s="3741"/>
      <c r="T5" s="3740"/>
      <c r="U5" s="3741"/>
      <c r="V5" s="3763"/>
      <c r="W5" s="3763"/>
      <c r="X5" s="1355"/>
      <c r="Y5" s="3740"/>
      <c r="Z5" s="3741"/>
      <c r="AA5" s="3734"/>
      <c r="AB5" s="3734"/>
      <c r="AC5" s="3734"/>
    </row>
    <row r="6" spans="1:29" ht="15.75" thickBot="1">
      <c r="A6" s="360"/>
      <c r="B6" s="361"/>
      <c r="C6" s="3746" t="s">
        <v>1670</v>
      </c>
      <c r="D6" s="3747"/>
      <c r="E6" s="3748" t="s">
        <v>1670</v>
      </c>
      <c r="F6" s="3749"/>
      <c r="G6" s="3746" t="s">
        <v>1670</v>
      </c>
      <c r="H6" s="3747"/>
      <c r="I6" s="3746" t="s">
        <v>1670</v>
      </c>
      <c r="J6" s="3747"/>
      <c r="K6" s="559" t="s">
        <v>1671</v>
      </c>
      <c r="L6" s="913"/>
      <c r="M6" s="914"/>
      <c r="N6" s="914"/>
      <c r="O6" s="914"/>
      <c r="P6" s="3759"/>
      <c r="Q6" s="3760"/>
      <c r="R6" s="3740"/>
      <c r="S6" s="3741"/>
      <c r="T6" s="3761"/>
      <c r="U6" s="3762"/>
      <c r="V6" s="3763"/>
      <c r="W6" s="3763"/>
      <c r="X6" s="1355"/>
      <c r="Y6" s="3761"/>
      <c r="Z6" s="3762"/>
      <c r="AA6" s="3735"/>
      <c r="AB6" s="3735"/>
      <c r="AC6" s="3735"/>
    </row>
    <row r="7" spans="1:29" s="108" customFormat="1" ht="15.75" thickBot="1">
      <c r="A7" s="362" t="s">
        <v>1672</v>
      </c>
      <c r="B7" s="363"/>
      <c r="C7" s="364">
        <f>'数据-取费表'!B2</f>
        <v>45352</v>
      </c>
      <c r="D7" s="365">
        <v>100</v>
      </c>
      <c r="E7" s="366"/>
      <c r="F7" s="367">
        <f>SUMIF(52:52,YEAR(E7)&amp;"-"&amp;MONTH(E7),53:53)</f>
        <v>0</v>
      </c>
      <c r="G7" s="366"/>
      <c r="H7" s="365">
        <f>SUMIF(52:52,YEAR(G7)&amp;"-"&amp;MONTH(G7),53:53)</f>
        <v>0</v>
      </c>
      <c r="I7" s="366"/>
      <c r="J7" s="365">
        <f>SUMIF(52:52,YEAR(I7)&amp;"-"&amp;MONTH(I7),53:53)</f>
        <v>0</v>
      </c>
      <c r="K7" s="560"/>
      <c r="L7" s="915"/>
      <c r="M7" s="916"/>
      <c r="N7" s="916"/>
      <c r="O7" s="916"/>
      <c r="P7" s="3736" t="s">
        <v>1673</v>
      </c>
      <c r="Q7" s="3764"/>
      <c r="R7" s="701" t="s">
        <v>14</v>
      </c>
      <c r="S7" s="702">
        <f t="shared" ref="S7:S15" si="0">F7</f>
        <v>0</v>
      </c>
      <c r="T7" s="701" t="s">
        <v>14</v>
      </c>
      <c r="U7" s="702">
        <f t="shared" ref="U7:U15" si="1">H7</f>
        <v>0</v>
      </c>
      <c r="V7" s="701" t="s">
        <v>14</v>
      </c>
      <c r="W7" s="702">
        <f t="shared" ref="W7:W15" si="2">J7</f>
        <v>0</v>
      </c>
      <c r="X7" s="703"/>
      <c r="Y7" s="3736" t="s">
        <v>1673</v>
      </c>
      <c r="Z7" s="3737"/>
      <c r="AA7" s="704" t="e">
        <f>D7/F7</f>
        <v>#DIV/0!</v>
      </c>
      <c r="AB7" s="704" t="e">
        <f>D7/H7</f>
        <v>#DIV/0!</v>
      </c>
      <c r="AC7" s="704" t="e">
        <f>D7/J7</f>
        <v>#DIV/0!</v>
      </c>
    </row>
    <row r="8" spans="1:29" s="108" customFormat="1" ht="15.75" thickBot="1">
      <c r="A8" s="362" t="s">
        <v>1674</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6" t="s">
        <v>1676</v>
      </c>
      <c r="Q8" s="3737"/>
      <c r="R8" s="701" t="s">
        <v>14</v>
      </c>
      <c r="S8" s="702">
        <f t="shared" si="0"/>
        <v>100</v>
      </c>
      <c r="T8" s="701" t="s">
        <v>14</v>
      </c>
      <c r="U8" s="702">
        <f t="shared" si="1"/>
        <v>100</v>
      </c>
      <c r="V8" s="701" t="s">
        <v>14</v>
      </c>
      <c r="W8" s="702">
        <f t="shared" si="2"/>
        <v>100</v>
      </c>
      <c r="X8" s="703"/>
      <c r="Y8" s="3736" t="s">
        <v>1676</v>
      </c>
      <c r="Z8" s="3737"/>
      <c r="AA8" s="704">
        <f t="shared" ref="AA8:AA40" si="3">D8/F8</f>
        <v>1</v>
      </c>
      <c r="AB8" s="704">
        <f t="shared" ref="AB8:AB40" si="4">D8/H8</f>
        <v>1</v>
      </c>
      <c r="AC8" s="704">
        <f t="shared" ref="AC8:AC40" si="5">D8/J8</f>
        <v>1</v>
      </c>
    </row>
    <row r="9" spans="1:29" s="108" customFormat="1">
      <c r="A9" s="369" t="s">
        <v>1677</v>
      </c>
      <c r="B9" s="63" t="s">
        <v>1678</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68" t="s">
        <v>1679</v>
      </c>
      <c r="Q9" s="1343" t="str">
        <f t="shared" ref="Q9:Q15" si="6">B9</f>
        <v>用途</v>
      </c>
      <c r="R9" s="701" t="s">
        <v>14</v>
      </c>
      <c r="S9" s="702">
        <f t="shared" si="0"/>
        <v>100</v>
      </c>
      <c r="T9" s="701" t="s">
        <v>14</v>
      </c>
      <c r="U9" s="702">
        <f t="shared" si="1"/>
        <v>100</v>
      </c>
      <c r="V9" s="701" t="s">
        <v>14</v>
      </c>
      <c r="W9" s="702">
        <f t="shared" si="2"/>
        <v>100</v>
      </c>
      <c r="X9" s="703"/>
      <c r="Y9" s="3661" t="s">
        <v>1680</v>
      </c>
      <c r="Z9" s="52" t="str">
        <f t="shared" ref="Z9:Z15" si="7">Q9</f>
        <v>用途</v>
      </c>
      <c r="AA9" s="704">
        <f t="shared" si="3"/>
        <v>1</v>
      </c>
      <c r="AB9" s="704">
        <f t="shared" si="4"/>
        <v>1</v>
      </c>
      <c r="AC9" s="704">
        <f t="shared" si="5"/>
        <v>1</v>
      </c>
    </row>
    <row r="10" spans="1:29" s="378" customFormat="1" ht="27">
      <c r="A10" s="374"/>
      <c r="B10" s="375" t="s">
        <v>1681</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68"/>
      <c r="Q10" s="1343" t="str">
        <f t="shared" si="6"/>
        <v>土地使用年限（年）</v>
      </c>
      <c r="R10" s="701" t="s">
        <v>14</v>
      </c>
      <c r="S10" s="702">
        <f t="shared" si="0"/>
        <v>100</v>
      </c>
      <c r="T10" s="701" t="s">
        <v>14</v>
      </c>
      <c r="U10" s="702">
        <f t="shared" si="1"/>
        <v>100</v>
      </c>
      <c r="V10" s="701" t="s">
        <v>14</v>
      </c>
      <c r="W10" s="702">
        <f t="shared" si="2"/>
        <v>100</v>
      </c>
      <c r="X10" s="703"/>
      <c r="Y10" s="3661"/>
      <c r="Z10" s="52" t="str">
        <f t="shared" si="7"/>
        <v>土地使用年限（年）</v>
      </c>
      <c r="AA10" s="704">
        <f t="shared" si="3"/>
        <v>1</v>
      </c>
      <c r="AB10" s="704">
        <f t="shared" si="4"/>
        <v>1</v>
      </c>
      <c r="AC10" s="704">
        <f t="shared" si="5"/>
        <v>1</v>
      </c>
    </row>
    <row r="11" spans="1:29" ht="15">
      <c r="A11" s="379"/>
      <c r="B11" s="375" t="s">
        <v>1682</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68"/>
      <c r="Q11" s="1343" t="str">
        <f t="shared" si="6"/>
        <v>容积率</v>
      </c>
      <c r="R11" s="701" t="s">
        <v>14</v>
      </c>
      <c r="S11" s="702">
        <f t="shared" si="0"/>
        <v>100</v>
      </c>
      <c r="T11" s="701" t="s">
        <v>14</v>
      </c>
      <c r="U11" s="702">
        <f t="shared" si="1"/>
        <v>100</v>
      </c>
      <c r="V11" s="701" t="s">
        <v>14</v>
      </c>
      <c r="W11" s="702">
        <f t="shared" si="2"/>
        <v>100</v>
      </c>
      <c r="X11" s="703"/>
      <c r="Y11" s="3661"/>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68"/>
      <c r="Q12" s="1343">
        <f t="shared" si="6"/>
        <v>111</v>
      </c>
      <c r="R12" s="701" t="s">
        <v>14</v>
      </c>
      <c r="S12" s="702">
        <f t="shared" si="0"/>
        <v>100</v>
      </c>
      <c r="T12" s="701" t="s">
        <v>14</v>
      </c>
      <c r="U12" s="702">
        <f t="shared" si="1"/>
        <v>100</v>
      </c>
      <c r="V12" s="701" t="s">
        <v>14</v>
      </c>
      <c r="W12" s="702">
        <f t="shared" si="2"/>
        <v>100</v>
      </c>
      <c r="X12" s="703"/>
      <c r="Y12" s="3661"/>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68"/>
      <c r="Q13" s="1343">
        <f t="shared" si="6"/>
        <v>111</v>
      </c>
      <c r="R13" s="701" t="s">
        <v>14</v>
      </c>
      <c r="S13" s="702">
        <f t="shared" si="0"/>
        <v>100</v>
      </c>
      <c r="T13" s="701" t="s">
        <v>14</v>
      </c>
      <c r="U13" s="702">
        <f t="shared" si="1"/>
        <v>100</v>
      </c>
      <c r="V13" s="701" t="s">
        <v>14</v>
      </c>
      <c r="W13" s="702">
        <f t="shared" si="2"/>
        <v>100</v>
      </c>
      <c r="X13" s="703"/>
      <c r="Y13" s="3661"/>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68"/>
      <c r="Q14" s="1343">
        <f t="shared" si="6"/>
        <v>111</v>
      </c>
      <c r="R14" s="701" t="s">
        <v>14</v>
      </c>
      <c r="S14" s="702">
        <f t="shared" si="0"/>
        <v>100</v>
      </c>
      <c r="T14" s="701" t="s">
        <v>14</v>
      </c>
      <c r="U14" s="702">
        <f t="shared" si="1"/>
        <v>100</v>
      </c>
      <c r="V14" s="701" t="s">
        <v>14</v>
      </c>
      <c r="W14" s="702">
        <f t="shared" si="2"/>
        <v>100</v>
      </c>
      <c r="X14" s="703"/>
      <c r="Y14" s="3661"/>
      <c r="Z14" s="52">
        <f t="shared" si="7"/>
        <v>111</v>
      </c>
      <c r="AA14" s="704">
        <f t="shared" si="3"/>
        <v>1</v>
      </c>
      <c r="AB14" s="704">
        <f t="shared" si="4"/>
        <v>1</v>
      </c>
      <c r="AC14" s="704">
        <f t="shared" si="5"/>
        <v>1</v>
      </c>
    </row>
    <row r="15" spans="1:29" ht="57">
      <c r="A15" s="391" t="s">
        <v>1683</v>
      </c>
      <c r="B15" s="61" t="s">
        <v>1820</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70" t="s">
        <v>1684</v>
      </c>
      <c r="Q15" s="1352" t="str">
        <f t="shared" si="6"/>
        <v>产业集聚程度</v>
      </c>
      <c r="R15" s="705" t="s">
        <v>14</v>
      </c>
      <c r="S15" s="706">
        <f t="shared" si="0"/>
        <v>100</v>
      </c>
      <c r="T15" s="705" t="s">
        <v>14</v>
      </c>
      <c r="U15" s="706">
        <f t="shared" si="1"/>
        <v>100</v>
      </c>
      <c r="V15" s="705" t="s">
        <v>14</v>
      </c>
      <c r="W15" s="706">
        <f t="shared" si="2"/>
        <v>100</v>
      </c>
      <c r="X15" s="1355"/>
      <c r="Y15" s="3770" t="s">
        <v>1684</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71"/>
      <c r="Q16" s="1352"/>
      <c r="R16" s="705"/>
      <c r="S16" s="706"/>
      <c r="T16" s="705"/>
      <c r="U16" s="706"/>
      <c r="V16" s="705"/>
      <c r="W16" s="706"/>
      <c r="X16" s="1355"/>
      <c r="Y16" s="3771"/>
      <c r="Z16" s="1356"/>
      <c r="AA16" s="1353">
        <v>1</v>
      </c>
      <c r="AB16" s="1353">
        <v>1</v>
      </c>
      <c r="AC16" s="1353">
        <v>1</v>
      </c>
    </row>
    <row r="17" spans="1:29" ht="85.5">
      <c r="A17" s="379"/>
      <c r="B17" s="402" t="s">
        <v>1252</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71"/>
      <c r="Q17" s="1352" t="str">
        <f>B17</f>
        <v>交通便捷度</v>
      </c>
      <c r="R17" s="705" t="s">
        <v>14</v>
      </c>
      <c r="S17" s="706">
        <f>F17</f>
        <v>100</v>
      </c>
      <c r="T17" s="705" t="s">
        <v>14</v>
      </c>
      <c r="U17" s="706">
        <f>H17</f>
        <v>100</v>
      </c>
      <c r="V17" s="705" t="s">
        <v>14</v>
      </c>
      <c r="W17" s="706">
        <f>J17</f>
        <v>100</v>
      </c>
      <c r="X17" s="1355"/>
      <c r="Y17" s="3771"/>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771"/>
      <c r="Q18" s="1352"/>
      <c r="R18" s="705"/>
      <c r="S18" s="706"/>
      <c r="T18" s="705"/>
      <c r="U18" s="706"/>
      <c r="V18" s="705"/>
      <c r="W18" s="706"/>
      <c r="X18" s="1355"/>
      <c r="Y18" s="3771"/>
      <c r="Z18" s="1356"/>
      <c r="AA18" s="1353">
        <v>1</v>
      </c>
      <c r="AB18" s="1353">
        <v>1</v>
      </c>
      <c r="AC18" s="1353">
        <v>1</v>
      </c>
    </row>
    <row r="19" spans="1:29" ht="42.75">
      <c r="A19" s="379"/>
      <c r="B19" s="402" t="s">
        <v>1805</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71"/>
      <c r="Q19" s="1352" t="str">
        <f>B19</f>
        <v>公共配套设施</v>
      </c>
      <c r="R19" s="705" t="s">
        <v>14</v>
      </c>
      <c r="S19" s="706">
        <f>F19</f>
        <v>100</v>
      </c>
      <c r="T19" s="705" t="s">
        <v>14</v>
      </c>
      <c r="U19" s="706">
        <f>H19</f>
        <v>100</v>
      </c>
      <c r="V19" s="705" t="s">
        <v>14</v>
      </c>
      <c r="W19" s="706">
        <f>J19</f>
        <v>100</v>
      </c>
      <c r="X19" s="1355"/>
      <c r="Y19" s="3771"/>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771"/>
      <c r="Q20" s="1352"/>
      <c r="R20" s="705"/>
      <c r="S20" s="706"/>
      <c r="T20" s="705"/>
      <c r="U20" s="706"/>
      <c r="V20" s="705"/>
      <c r="W20" s="706"/>
      <c r="X20" s="1355"/>
      <c r="Y20" s="3771"/>
      <c r="Z20" s="1356"/>
      <c r="AA20" s="1353">
        <v>1</v>
      </c>
      <c r="AB20" s="1353">
        <v>1</v>
      </c>
      <c r="AC20" s="1353">
        <v>1</v>
      </c>
    </row>
    <row r="21" spans="1:29" ht="28.5">
      <c r="A21" s="379"/>
      <c r="B21" s="1131" t="s">
        <v>1806</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71"/>
      <c r="Q21" s="1352" t="str">
        <f>B21</f>
        <v>基础设施水平</v>
      </c>
      <c r="R21" s="705" t="s">
        <v>14</v>
      </c>
      <c r="S21" s="706">
        <f>F21</f>
        <v>100</v>
      </c>
      <c r="T21" s="705" t="s">
        <v>14</v>
      </c>
      <c r="U21" s="706">
        <f>H21</f>
        <v>100</v>
      </c>
      <c r="V21" s="705" t="s">
        <v>14</v>
      </c>
      <c r="W21" s="706">
        <f>J21</f>
        <v>100</v>
      </c>
      <c r="X21" s="1355"/>
      <c r="Y21" s="3771"/>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771"/>
      <c r="Q22" s="1352"/>
      <c r="R22" s="705"/>
      <c r="S22" s="706"/>
      <c r="T22" s="705"/>
      <c r="U22" s="706"/>
      <c r="V22" s="705"/>
      <c r="W22" s="706"/>
      <c r="X22" s="1355"/>
      <c r="Y22" s="3771"/>
      <c r="Z22" s="1356"/>
      <c r="AA22" s="1353">
        <v>1</v>
      </c>
      <c r="AB22" s="1353">
        <v>1</v>
      </c>
      <c r="AC22" s="1353">
        <v>1</v>
      </c>
    </row>
    <row r="23" spans="1:29" ht="71.25">
      <c r="A23" s="379"/>
      <c r="B23" s="402" t="s">
        <v>1807</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71"/>
      <c r="Q23" s="1352" t="str">
        <f>B23</f>
        <v>环境质量</v>
      </c>
      <c r="R23" s="705" t="s">
        <v>14</v>
      </c>
      <c r="S23" s="706">
        <f>F23</f>
        <v>100</v>
      </c>
      <c r="T23" s="705" t="s">
        <v>14</v>
      </c>
      <c r="U23" s="706">
        <f>H23</f>
        <v>100</v>
      </c>
      <c r="V23" s="705" t="s">
        <v>14</v>
      </c>
      <c r="W23" s="706">
        <f>J23</f>
        <v>100</v>
      </c>
      <c r="X23" s="1355"/>
      <c r="Y23" s="3771"/>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771"/>
      <c r="Q24" s="1352"/>
      <c r="R24" s="705"/>
      <c r="S24" s="706"/>
      <c r="T24" s="705"/>
      <c r="U24" s="706"/>
      <c r="V24" s="705"/>
      <c r="W24" s="706"/>
      <c r="X24" s="1355"/>
      <c r="Y24" s="377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71"/>
      <c r="Q25" s="1352">
        <f>B25</f>
        <v>111</v>
      </c>
      <c r="R25" s="705" t="s">
        <v>14</v>
      </c>
      <c r="S25" s="706">
        <f>F25</f>
        <v>100</v>
      </c>
      <c r="T25" s="705" t="s">
        <v>14</v>
      </c>
      <c r="U25" s="706">
        <f>H25</f>
        <v>100</v>
      </c>
      <c r="V25" s="705" t="s">
        <v>14</v>
      </c>
      <c r="W25" s="706">
        <f>J25</f>
        <v>100</v>
      </c>
      <c r="X25" s="1355"/>
      <c r="Y25" s="377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71"/>
      <c r="Q26" s="1352">
        <f t="shared" ref="Q26:Q40" si="11">B26</f>
        <v>111</v>
      </c>
      <c r="R26" s="705" t="s">
        <v>14</v>
      </c>
      <c r="S26" s="706">
        <f>F26</f>
        <v>100</v>
      </c>
      <c r="T26" s="705" t="s">
        <v>14</v>
      </c>
      <c r="U26" s="706">
        <f>H26</f>
        <v>100</v>
      </c>
      <c r="V26" s="705" t="s">
        <v>14</v>
      </c>
      <c r="W26" s="706">
        <f>J26</f>
        <v>100</v>
      </c>
      <c r="X26" s="1355"/>
      <c r="Y26" s="377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71"/>
      <c r="Q27" s="1343">
        <f t="shared" si="11"/>
        <v>111</v>
      </c>
      <c r="R27" s="701" t="s">
        <v>14</v>
      </c>
      <c r="S27" s="702">
        <f>F27</f>
        <v>100</v>
      </c>
      <c r="T27" s="701" t="s">
        <v>14</v>
      </c>
      <c r="U27" s="702">
        <f>H27</f>
        <v>100</v>
      </c>
      <c r="V27" s="701" t="s">
        <v>14</v>
      </c>
      <c r="W27" s="702">
        <f>J27</f>
        <v>100</v>
      </c>
      <c r="X27" s="703"/>
      <c r="Y27" s="377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71"/>
      <c r="Q28" s="1352">
        <f t="shared" si="11"/>
        <v>111</v>
      </c>
      <c r="R28" s="705" t="s">
        <v>14</v>
      </c>
      <c r="S28" s="706">
        <f t="shared" ref="S28:S40" si="12">F28</f>
        <v>100</v>
      </c>
      <c r="T28" s="705" t="s">
        <v>14</v>
      </c>
      <c r="U28" s="706">
        <f t="shared" ref="U28:U40" si="13">H28</f>
        <v>100</v>
      </c>
      <c r="V28" s="705" t="s">
        <v>14</v>
      </c>
      <c r="W28" s="706">
        <f t="shared" ref="W28:W40" si="14">J28</f>
        <v>100</v>
      </c>
      <c r="X28" s="1355"/>
      <c r="Y28" s="3771"/>
      <c r="Z28" s="1356">
        <f t="shared" ref="Z28:Z40" si="15">Q28</f>
        <v>111</v>
      </c>
      <c r="AA28" s="1353">
        <f t="shared" si="3"/>
        <v>1</v>
      </c>
      <c r="AB28" s="1353">
        <f t="shared" si="4"/>
        <v>1</v>
      </c>
      <c r="AC28" s="1353">
        <f t="shared" si="5"/>
        <v>1</v>
      </c>
    </row>
    <row r="29" spans="1:29" ht="28.5">
      <c r="A29" s="417" t="s">
        <v>1687</v>
      </c>
      <c r="B29" s="63" t="s">
        <v>1810</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94" t="s">
        <v>1689</v>
      </c>
      <c r="Q29" s="1352" t="str">
        <f t="shared" si="11"/>
        <v>建筑类型</v>
      </c>
      <c r="R29" s="705" t="s">
        <v>14</v>
      </c>
      <c r="S29" s="706">
        <f t="shared" si="12"/>
        <v>100</v>
      </c>
      <c r="T29" s="705" t="s">
        <v>14</v>
      </c>
      <c r="U29" s="706">
        <f t="shared" si="13"/>
        <v>100</v>
      </c>
      <c r="V29" s="705" t="s">
        <v>14</v>
      </c>
      <c r="W29" s="706">
        <f t="shared" si="14"/>
        <v>100</v>
      </c>
      <c r="X29" s="1355"/>
      <c r="Y29" s="3775" t="s">
        <v>1689</v>
      </c>
      <c r="Z29" s="1356" t="str">
        <f t="shared" si="15"/>
        <v>建筑类型</v>
      </c>
      <c r="AA29" s="1353">
        <f t="shared" si="3"/>
        <v>1</v>
      </c>
      <c r="AB29" s="1353">
        <f t="shared" si="4"/>
        <v>1</v>
      </c>
      <c r="AC29" s="1353">
        <f t="shared" si="5"/>
        <v>1</v>
      </c>
    </row>
    <row r="30" spans="1:29" s="422" customFormat="1" ht="15">
      <c r="A30" s="419"/>
      <c r="B30" s="375" t="s">
        <v>1690</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75"/>
      <c r="Q30" s="707" t="str">
        <f t="shared" si="11"/>
        <v>项目建筑规模</v>
      </c>
      <c r="R30" s="708" t="s">
        <v>14</v>
      </c>
      <c r="S30" s="709" t="e">
        <f t="shared" si="12"/>
        <v>#N/A</v>
      </c>
      <c r="T30" s="708" t="s">
        <v>14</v>
      </c>
      <c r="U30" s="709" t="e">
        <f t="shared" si="13"/>
        <v>#N/A</v>
      </c>
      <c r="V30" s="708" t="s">
        <v>14</v>
      </c>
      <c r="W30" s="709" t="e">
        <f t="shared" si="14"/>
        <v>#N/A</v>
      </c>
      <c r="X30" s="710"/>
      <c r="Y30" s="3775"/>
      <c r="Z30" s="711" t="str">
        <f t="shared" si="15"/>
        <v>项目建筑规模</v>
      </c>
      <c r="AA30" s="1353" t="e">
        <f t="shared" si="3"/>
        <v>#N/A</v>
      </c>
      <c r="AB30" s="1353" t="e">
        <f t="shared" si="4"/>
        <v>#N/A</v>
      </c>
      <c r="AC30" s="1353" t="e">
        <f t="shared" si="5"/>
        <v>#N/A</v>
      </c>
    </row>
    <row r="31" spans="1:29" ht="15">
      <c r="A31" s="423"/>
      <c r="B31" s="375" t="s">
        <v>1691</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75"/>
      <c r="Q31" s="1352" t="str">
        <f t="shared" si="11"/>
        <v>建筑结构</v>
      </c>
      <c r="R31" s="705" t="s">
        <v>14</v>
      </c>
      <c r="S31" s="706">
        <f t="shared" si="12"/>
        <v>100</v>
      </c>
      <c r="T31" s="705" t="s">
        <v>14</v>
      </c>
      <c r="U31" s="706">
        <f t="shared" si="13"/>
        <v>100</v>
      </c>
      <c r="V31" s="705" t="s">
        <v>14</v>
      </c>
      <c r="W31" s="706">
        <f t="shared" si="14"/>
        <v>100</v>
      </c>
      <c r="X31" s="1355"/>
      <c r="Y31" s="3775"/>
      <c r="Z31" s="1356" t="str">
        <f t="shared" si="15"/>
        <v>建筑结构</v>
      </c>
      <c r="AA31" s="1353">
        <f t="shared" si="3"/>
        <v>1</v>
      </c>
      <c r="AB31" s="1353">
        <f t="shared" si="4"/>
        <v>1</v>
      </c>
      <c r="AC31" s="1353">
        <f t="shared" si="5"/>
        <v>1</v>
      </c>
    </row>
    <row r="32" spans="1:29" ht="15">
      <c r="A32" s="423"/>
      <c r="B32" s="375" t="s">
        <v>1778</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75"/>
      <c r="Q32" s="1352" t="str">
        <f t="shared" si="11"/>
        <v>公共部分装修</v>
      </c>
      <c r="R32" s="705" t="s">
        <v>14</v>
      </c>
      <c r="S32" s="706">
        <f t="shared" si="12"/>
        <v>100</v>
      </c>
      <c r="T32" s="705" t="s">
        <v>14</v>
      </c>
      <c r="U32" s="706">
        <f t="shared" si="13"/>
        <v>100</v>
      </c>
      <c r="V32" s="705" t="s">
        <v>14</v>
      </c>
      <c r="W32" s="706">
        <f t="shared" si="14"/>
        <v>100</v>
      </c>
      <c r="X32" s="1355"/>
      <c r="Y32" s="3775"/>
      <c r="Z32" s="1356" t="str">
        <f t="shared" si="15"/>
        <v>公共部分装修</v>
      </c>
      <c r="AA32" s="1353">
        <f t="shared" si="3"/>
        <v>1</v>
      </c>
      <c r="AB32" s="1353">
        <f t="shared" si="4"/>
        <v>1</v>
      </c>
      <c r="AC32" s="1353">
        <f t="shared" si="5"/>
        <v>1</v>
      </c>
    </row>
    <row r="33" spans="1:29" ht="15">
      <c r="A33" s="423"/>
      <c r="B33" s="375" t="s">
        <v>1779</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75"/>
      <c r="Q33" s="1352" t="str">
        <f t="shared" si="11"/>
        <v>成新度</v>
      </c>
      <c r="R33" s="705" t="s">
        <v>14</v>
      </c>
      <c r="S33" s="706" t="e">
        <f t="shared" si="12"/>
        <v>#N/A</v>
      </c>
      <c r="T33" s="705" t="s">
        <v>14</v>
      </c>
      <c r="U33" s="706" t="e">
        <f t="shared" si="13"/>
        <v>#N/A</v>
      </c>
      <c r="V33" s="705" t="s">
        <v>14</v>
      </c>
      <c r="W33" s="706" t="e">
        <f t="shared" si="14"/>
        <v>#N/A</v>
      </c>
      <c r="X33" s="1355"/>
      <c r="Y33" s="3775"/>
      <c r="Z33" s="1356" t="str">
        <f t="shared" si="15"/>
        <v>成新度</v>
      </c>
      <c r="AA33" s="1353" t="e">
        <f t="shared" si="3"/>
        <v>#N/A</v>
      </c>
      <c r="AB33" s="1353" t="e">
        <f t="shared" si="4"/>
        <v>#N/A</v>
      </c>
      <c r="AC33" s="1353" t="e">
        <f t="shared" si="5"/>
        <v>#N/A</v>
      </c>
    </row>
    <row r="34" spans="1:29" s="108" customFormat="1" ht="15">
      <c r="A34" s="424"/>
      <c r="B34" s="375" t="s">
        <v>1812</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75"/>
      <c r="Q34" s="1343" t="str">
        <f t="shared" si="11"/>
        <v>物业管理</v>
      </c>
      <c r="R34" s="701" t="s">
        <v>14</v>
      </c>
      <c r="S34" s="702">
        <f t="shared" si="12"/>
        <v>100</v>
      </c>
      <c r="T34" s="701" t="s">
        <v>14</v>
      </c>
      <c r="U34" s="702">
        <f t="shared" si="13"/>
        <v>100</v>
      </c>
      <c r="V34" s="701" t="s">
        <v>14</v>
      </c>
      <c r="W34" s="702">
        <f t="shared" si="14"/>
        <v>100</v>
      </c>
      <c r="X34" s="703"/>
      <c r="Y34" s="3775"/>
      <c r="Z34" s="52" t="str">
        <f t="shared" si="15"/>
        <v>物业管理</v>
      </c>
      <c r="AA34" s="704">
        <f t="shared" si="3"/>
        <v>1</v>
      </c>
      <c r="AB34" s="704">
        <f t="shared" si="4"/>
        <v>1</v>
      </c>
      <c r="AC34" s="704">
        <f t="shared" si="5"/>
        <v>1</v>
      </c>
    </row>
    <row r="35" spans="1:29" ht="15">
      <c r="A35" s="423"/>
      <c r="B35" s="375" t="s">
        <v>1780</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75" t="s">
        <v>1689</v>
      </c>
      <c r="Q35" s="1352" t="str">
        <f t="shared" si="11"/>
        <v>市政基础设施</v>
      </c>
      <c r="R35" s="705" t="s">
        <v>14</v>
      </c>
      <c r="S35" s="706">
        <f t="shared" si="12"/>
        <v>100</v>
      </c>
      <c r="T35" s="705" t="s">
        <v>14</v>
      </c>
      <c r="U35" s="706">
        <f t="shared" si="13"/>
        <v>100</v>
      </c>
      <c r="V35" s="705" t="s">
        <v>14</v>
      </c>
      <c r="W35" s="706">
        <f t="shared" si="14"/>
        <v>100</v>
      </c>
      <c r="X35" s="1355"/>
      <c r="Y35" s="3775" t="s">
        <v>1689</v>
      </c>
      <c r="Z35" s="1356" t="str">
        <f t="shared" si="15"/>
        <v>市政基础设施</v>
      </c>
      <c r="AA35" s="1353">
        <f t="shared" si="3"/>
        <v>1</v>
      </c>
      <c r="AB35" s="1353">
        <f t="shared" si="4"/>
        <v>1</v>
      </c>
      <c r="AC35" s="1353">
        <f t="shared" si="5"/>
        <v>1</v>
      </c>
    </row>
    <row r="36" spans="1:29" ht="15">
      <c r="A36" s="423"/>
      <c r="B36" s="375" t="s">
        <v>1785</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75"/>
      <c r="Q36" s="1352" t="str">
        <f t="shared" si="11"/>
        <v>内部装修</v>
      </c>
      <c r="R36" s="705" t="s">
        <v>14</v>
      </c>
      <c r="S36" s="706">
        <f t="shared" si="12"/>
        <v>100</v>
      </c>
      <c r="T36" s="705" t="s">
        <v>14</v>
      </c>
      <c r="U36" s="706">
        <f t="shared" si="13"/>
        <v>100</v>
      </c>
      <c r="V36" s="705" t="s">
        <v>14</v>
      </c>
      <c r="W36" s="706">
        <f t="shared" si="14"/>
        <v>100</v>
      </c>
      <c r="X36" s="1355"/>
      <c r="Y36" s="3775"/>
      <c r="Z36" s="1356" t="str">
        <f t="shared" si="15"/>
        <v>内部装修</v>
      </c>
      <c r="AA36" s="1353">
        <f t="shared" si="3"/>
        <v>1</v>
      </c>
      <c r="AB36" s="1353">
        <f t="shared" si="4"/>
        <v>1</v>
      </c>
      <c r="AC36" s="1353">
        <f t="shared" si="5"/>
        <v>1</v>
      </c>
    </row>
    <row r="37" spans="1:29" ht="15">
      <c r="A37" s="423"/>
      <c r="B37" s="375" t="s">
        <v>1821</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75"/>
      <c r="Q37" s="1352" t="str">
        <f t="shared" si="11"/>
        <v>内部装修状况</v>
      </c>
      <c r="R37" s="705" t="s">
        <v>14</v>
      </c>
      <c r="S37" s="706">
        <f t="shared" si="12"/>
        <v>100</v>
      </c>
      <c r="T37" s="705" t="s">
        <v>14</v>
      </c>
      <c r="U37" s="706">
        <f t="shared" si="13"/>
        <v>100</v>
      </c>
      <c r="V37" s="705" t="s">
        <v>14</v>
      </c>
      <c r="W37" s="706">
        <f t="shared" si="14"/>
        <v>100</v>
      </c>
      <c r="X37" s="1355"/>
      <c r="Y37" s="377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75"/>
      <c r="Q38" s="707">
        <f t="shared" si="11"/>
        <v>111</v>
      </c>
      <c r="R38" s="708" t="s">
        <v>14</v>
      </c>
      <c r="S38" s="709">
        <f t="shared" si="12"/>
        <v>100</v>
      </c>
      <c r="T38" s="708" t="s">
        <v>14</v>
      </c>
      <c r="U38" s="709">
        <f t="shared" si="13"/>
        <v>100</v>
      </c>
      <c r="V38" s="708" t="s">
        <v>14</v>
      </c>
      <c r="W38" s="709">
        <f t="shared" si="14"/>
        <v>100</v>
      </c>
      <c r="X38" s="710"/>
      <c r="Y38" s="377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75"/>
      <c r="Q39" s="1352">
        <f t="shared" si="11"/>
        <v>111</v>
      </c>
      <c r="R39" s="705" t="s">
        <v>14</v>
      </c>
      <c r="S39" s="706">
        <f t="shared" si="12"/>
        <v>100</v>
      </c>
      <c r="T39" s="705" t="s">
        <v>14</v>
      </c>
      <c r="U39" s="706">
        <f t="shared" si="13"/>
        <v>100</v>
      </c>
      <c r="V39" s="705" t="s">
        <v>14</v>
      </c>
      <c r="W39" s="706">
        <f t="shared" si="14"/>
        <v>100</v>
      </c>
      <c r="X39" s="1355"/>
      <c r="Y39" s="3775"/>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76"/>
      <c r="Q40" s="1352">
        <f t="shared" si="11"/>
        <v>111</v>
      </c>
      <c r="R40" s="705" t="s">
        <v>14</v>
      </c>
      <c r="S40" s="706">
        <f t="shared" si="12"/>
        <v>100</v>
      </c>
      <c r="T40" s="705" t="s">
        <v>14</v>
      </c>
      <c r="U40" s="706">
        <f t="shared" si="13"/>
        <v>100</v>
      </c>
      <c r="V40" s="705" t="s">
        <v>14</v>
      </c>
      <c r="W40" s="706">
        <f t="shared" si="14"/>
        <v>100</v>
      </c>
      <c r="X40" s="1355"/>
      <c r="Y40" s="3776"/>
      <c r="Z40" s="1356">
        <f t="shared" si="15"/>
        <v>111</v>
      </c>
      <c r="AA40" s="1353">
        <f t="shared" si="3"/>
        <v>1</v>
      </c>
      <c r="AB40" s="1353">
        <f t="shared" si="4"/>
        <v>1</v>
      </c>
      <c r="AC40" s="1353">
        <f t="shared" si="5"/>
        <v>1</v>
      </c>
    </row>
    <row r="41" spans="1:29" ht="15">
      <c r="A41" s="430" t="s">
        <v>1701</v>
      </c>
      <c r="B41" s="431"/>
      <c r="C41" s="1154" t="s">
        <v>0</v>
      </c>
      <c r="D41" s="1155"/>
      <c r="E41" s="1156"/>
      <c r="F41" s="1157"/>
      <c r="G41" s="1158"/>
      <c r="H41" s="1159"/>
      <c r="I41" s="1156"/>
      <c r="J41" s="1159"/>
      <c r="K41" s="714"/>
      <c r="L41" s="926"/>
      <c r="M41" s="927"/>
      <c r="N41" s="914"/>
      <c r="O41" s="927"/>
      <c r="P41" s="3768" t="str">
        <f>A41</f>
        <v>成交单价（元/平方米）</v>
      </c>
      <c r="Q41" s="3768"/>
      <c r="R41" s="3769">
        <f>E41</f>
        <v>0</v>
      </c>
      <c r="S41" s="3769"/>
      <c r="T41" s="3769">
        <f>G41</f>
        <v>0</v>
      </c>
      <c r="U41" s="3769"/>
      <c r="V41" s="3769">
        <f>I41</f>
        <v>0</v>
      </c>
      <c r="W41" s="3769"/>
      <c r="X41" s="690"/>
      <c r="Y41" s="712"/>
      <c r="Z41" s="690"/>
      <c r="AA41" s="690"/>
      <c r="AB41" s="690"/>
      <c r="AC41" s="690"/>
    </row>
    <row r="42" spans="1:29" ht="15.75" thickBot="1">
      <c r="A42" s="437" t="s">
        <v>1786</v>
      </c>
      <c r="B42" s="438"/>
      <c r="C42" s="1160" t="e">
        <f>R43</f>
        <v>#DIV/0!</v>
      </c>
      <c r="D42" s="2316" t="s">
        <v>2131</v>
      </c>
      <c r="E42" s="1161" t="e">
        <f>R42</f>
        <v>#DIV/0!</v>
      </c>
      <c r="F42" s="2317"/>
      <c r="G42" s="1160" t="e">
        <f>T42</f>
        <v>#DIV/0!</v>
      </c>
      <c r="H42" s="2317"/>
      <c r="I42" s="1161" t="e">
        <f>V42</f>
        <v>#DIV/0!</v>
      </c>
      <c r="J42" s="2317"/>
      <c r="K42" s="2319">
        <f>F42+H42+J42</f>
        <v>0</v>
      </c>
      <c r="L42" s="926"/>
      <c r="M42" s="927"/>
      <c r="N42" s="914"/>
      <c r="O42" s="927"/>
      <c r="P42" s="3768" t="str">
        <f>A42</f>
        <v>比较价值（元/平方米）</v>
      </c>
      <c r="Q42" s="3768"/>
      <c r="R42" s="3769" t="e">
        <f>IF(F1="售价",ROUND(PRODUCT(R41,AA7:AA40),0),ROUND(PRODUCT(R41,AA7:AA40),1))</f>
        <v>#DIV/0!</v>
      </c>
      <c r="S42" s="3769"/>
      <c r="T42" s="3769" t="e">
        <f>IF(F1="售价",ROUND(PRODUCT(T41,AB7:AB40),0),ROUND(PRODUCT(T41,AB7:AB40),1))</f>
        <v>#DIV/0!</v>
      </c>
      <c r="U42" s="3769"/>
      <c r="V42" s="3769" t="e">
        <f>IF(F1="售价",ROUND(PRODUCT(V41,AC7:AC40),0),ROUND(PRODUCT(V41,AC7:AC40),1))</f>
        <v>#DIV/0!</v>
      </c>
      <c r="W42" s="3769"/>
      <c r="X42" s="690"/>
      <c r="Y42" s="690"/>
      <c r="Z42" s="690"/>
      <c r="AA42" s="690"/>
      <c r="AB42" s="690"/>
      <c r="AC42" s="690"/>
    </row>
    <row r="43" spans="1:29" ht="15.75" thickBot="1">
      <c r="A43" s="441" t="s">
        <v>1787</v>
      </c>
      <c r="B43" s="442"/>
      <c r="C43" s="1163" t="e">
        <f>R43</f>
        <v>#DIV/0!</v>
      </c>
      <c r="D43" s="1163"/>
      <c r="E43" s="1163"/>
      <c r="F43" s="1163"/>
      <c r="G43" s="1163"/>
      <c r="H43" s="1163"/>
      <c r="I43" s="1163"/>
      <c r="J43" s="1163"/>
      <c r="K43" s="715"/>
      <c r="L43" s="926"/>
      <c r="M43" s="927"/>
      <c r="N43" s="927"/>
      <c r="O43" s="927"/>
      <c r="P43" s="3765" t="str">
        <f>A43</f>
        <v>估价对象XX用房的比较价值（楼面单价，元/平方米）</v>
      </c>
      <c r="Q43" s="3766"/>
      <c r="R43" s="3767" t="e">
        <f>IF(F1="售价",ROUND(IF(D42="简单平均",AVERAGE(R42:V42),R42*F42+T42*H42+V42*J42),0),ROUND(IF(D42="简单平均",AVERAGE(R42:V42),R42*F42+T42*H42+V42*J42),1))</f>
        <v>#DIV/0!</v>
      </c>
      <c r="S43" s="3767"/>
      <c r="T43" s="3767"/>
      <c r="U43" s="3767"/>
      <c r="V43" s="3767"/>
      <c r="W43" s="3767"/>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1788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1789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1791</v>
      </c>
      <c r="B51" s="690"/>
      <c r="C51" s="695"/>
      <c r="D51" s="695"/>
      <c r="E51" s="695"/>
      <c r="F51" s="696"/>
      <c r="G51" s="696"/>
      <c r="H51" s="695"/>
      <c r="I51" s="695"/>
      <c r="J51" s="695"/>
      <c r="K51" s="941"/>
      <c r="L51" s="942"/>
      <c r="M51" s="940"/>
      <c r="N51" s="940"/>
      <c r="O51" s="940"/>
      <c r="P51" s="452"/>
      <c r="Q51" s="453"/>
    </row>
    <row r="52" spans="1:17" s="457" customFormat="1" ht="15">
      <c r="A52" s="454" t="s">
        <v>1672</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7"/>
      <c r="O54" s="2768"/>
      <c r="P54" s="453"/>
      <c r="Q54" s="453"/>
    </row>
    <row r="55" spans="1:17" s="108" customFormat="1" ht="15">
      <c r="A55" s="470" t="s">
        <v>1674</v>
      </c>
      <c r="B55" s="459"/>
      <c r="C55" s="471" t="s">
        <v>1769</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1712</v>
      </c>
      <c r="B57" s="477" t="s">
        <v>1678</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1681</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1682</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1683</v>
      </c>
      <c r="B70" s="477" t="s">
        <v>1822</v>
      </c>
      <c r="C70" s="522" t="s">
        <v>1714</v>
      </c>
      <c r="D70" s="522" t="s">
        <v>1715</v>
      </c>
      <c r="E70" s="522" t="s">
        <v>1716</v>
      </c>
      <c r="F70" s="522" t="s">
        <v>1717</v>
      </c>
      <c r="G70" s="522" t="s">
        <v>1718</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1719</v>
      </c>
      <c r="C72" s="527" t="s">
        <v>1714</v>
      </c>
      <c r="D72" s="527" t="s">
        <v>1715</v>
      </c>
      <c r="E72" s="527" t="s">
        <v>1716</v>
      </c>
      <c r="F72" s="527" t="s">
        <v>1717</v>
      </c>
      <c r="G72" s="527" t="s">
        <v>1718</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1720</v>
      </c>
      <c r="C74" s="527" t="s">
        <v>1714</v>
      </c>
      <c r="D74" s="527" t="s">
        <v>1715</v>
      </c>
      <c r="E74" s="527" t="s">
        <v>1716</v>
      </c>
      <c r="F74" s="527" t="s">
        <v>1717</v>
      </c>
      <c r="G74" s="527" t="s">
        <v>1718</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1806</v>
      </c>
      <c r="C76" s="608" t="s">
        <v>1792</v>
      </c>
      <c r="D76" s="608" t="s">
        <v>1793</v>
      </c>
      <c r="E76" s="608" t="s">
        <v>1794</v>
      </c>
      <c r="F76" s="608" t="s">
        <v>1795</v>
      </c>
      <c r="G76" s="608" t="s">
        <v>1796</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1815</v>
      </c>
      <c r="C78" s="527" t="s">
        <v>1714</v>
      </c>
      <c r="D78" s="527" t="s">
        <v>1715</v>
      </c>
      <c r="E78" s="527" t="s">
        <v>1716</v>
      </c>
      <c r="F78" s="527" t="s">
        <v>1717</v>
      </c>
      <c r="G78" s="527" t="s">
        <v>1718</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1687</v>
      </c>
      <c r="B88" s="477" t="s">
        <v>1729</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1730</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1731</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1733</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1183</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1734</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1735</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1737</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1823</v>
      </c>
      <c r="C106" s="527" t="s">
        <v>1714</v>
      </c>
      <c r="D106" s="527" t="s">
        <v>1715</v>
      </c>
      <c r="E106" s="527" t="s">
        <v>1716</v>
      </c>
      <c r="F106" s="527" t="s">
        <v>1717</v>
      </c>
      <c r="G106" s="527" t="s">
        <v>1718</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1824</v>
      </c>
      <c r="B1" s="1223" t="s">
        <v>3321</v>
      </c>
      <c r="C1" s="1224" t="s">
        <v>1655</v>
      </c>
      <c r="D1" s="1225"/>
      <c r="E1" s="3428"/>
      <c r="F1" s="1878"/>
      <c r="G1" s="1227" t="s">
        <v>1760</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1456</v>
      </c>
      <c r="F2" s="1882"/>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1457</v>
      </c>
      <c r="B3" s="558" t="e">
        <f>IF(AND(C2="——",B37="元/平方米"),C39,ROUND(B2*10000/D3,0))</f>
        <v>#DIV/0!</v>
      </c>
      <c r="C3" s="354" t="s">
        <v>1761</v>
      </c>
      <c r="D3" s="353">
        <f>SUMIF('数据-汇总表'!$C19:$C33,D1,'数据-汇总表'!$E19:$E33)</f>
        <v>0</v>
      </c>
      <c r="E3" s="354" t="s">
        <v>1825</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1762</v>
      </c>
      <c r="B4" s="356"/>
      <c r="C4" s="3751" t="s">
        <v>1763</v>
      </c>
      <c r="D4" s="3752"/>
      <c r="E4" s="3753" t="s">
        <v>1764</v>
      </c>
      <c r="F4" s="3754"/>
      <c r="G4" s="3751" t="s">
        <v>1765</v>
      </c>
      <c r="H4" s="3752"/>
      <c r="I4" s="3751" t="s">
        <v>1766</v>
      </c>
      <c r="J4" s="3752"/>
      <c r="K4" s="559" t="s">
        <v>1767</v>
      </c>
      <c r="L4" s="2712"/>
      <c r="M4" s="2713"/>
      <c r="N4" s="2713"/>
      <c r="O4" s="2713"/>
      <c r="P4" s="3755" t="s">
        <v>1768</v>
      </c>
      <c r="Q4" s="3756"/>
      <c r="R4" s="3738" t="s">
        <v>1764</v>
      </c>
      <c r="S4" s="3739"/>
      <c r="T4" s="3738" t="s">
        <v>1765</v>
      </c>
      <c r="U4" s="3739"/>
      <c r="V4" s="3763" t="s">
        <v>1766</v>
      </c>
      <c r="W4" s="3763"/>
      <c r="X4" s="1355"/>
      <c r="Y4" s="3738" t="s">
        <v>1768</v>
      </c>
      <c r="Z4" s="3739"/>
      <c r="AA4" s="3733" t="s">
        <v>1764</v>
      </c>
      <c r="AB4" s="3734" t="s">
        <v>1765</v>
      </c>
      <c r="AC4" s="3733" t="s">
        <v>1766</v>
      </c>
    </row>
    <row r="5" spans="1:29" ht="15">
      <c r="A5" s="358"/>
      <c r="B5" s="359"/>
      <c r="C5" s="3744" t="s">
        <v>1666</v>
      </c>
      <c r="D5" s="3745"/>
      <c r="E5" s="3742" t="s">
        <v>1667</v>
      </c>
      <c r="F5" s="3743"/>
      <c r="G5" s="3744" t="s">
        <v>1668</v>
      </c>
      <c r="H5" s="3745"/>
      <c r="I5" s="3744" t="s">
        <v>1669</v>
      </c>
      <c r="J5" s="3745"/>
      <c r="K5" s="559"/>
      <c r="L5" s="2712"/>
      <c r="M5" s="2713"/>
      <c r="N5" s="2713"/>
      <c r="O5" s="2713"/>
      <c r="P5" s="3757"/>
      <c r="Q5" s="3758"/>
      <c r="R5" s="3740"/>
      <c r="S5" s="3741"/>
      <c r="T5" s="3740"/>
      <c r="U5" s="3741"/>
      <c r="V5" s="3763"/>
      <c r="W5" s="3763"/>
      <c r="X5" s="1355"/>
      <c r="Y5" s="3740"/>
      <c r="Z5" s="3741"/>
      <c r="AA5" s="3734"/>
      <c r="AB5" s="3734"/>
      <c r="AC5" s="3734"/>
    </row>
    <row r="6" spans="1:29" ht="15.75" thickBot="1">
      <c r="A6" s="360"/>
      <c r="B6" s="361"/>
      <c r="C6" s="3746" t="s">
        <v>1670</v>
      </c>
      <c r="D6" s="3747"/>
      <c r="E6" s="3748" t="s">
        <v>1670</v>
      </c>
      <c r="F6" s="3749"/>
      <c r="G6" s="3746" t="s">
        <v>1670</v>
      </c>
      <c r="H6" s="3747"/>
      <c r="I6" s="3746" t="s">
        <v>1670</v>
      </c>
      <c r="J6" s="3747"/>
      <c r="K6" s="559" t="s">
        <v>1671</v>
      </c>
      <c r="L6" s="2712"/>
      <c r="M6" s="2713"/>
      <c r="N6" s="2713"/>
      <c r="O6" s="2713"/>
      <c r="P6" s="3759"/>
      <c r="Q6" s="3760"/>
      <c r="R6" s="3740"/>
      <c r="S6" s="3741"/>
      <c r="T6" s="3761"/>
      <c r="U6" s="3762"/>
      <c r="V6" s="3763"/>
      <c r="W6" s="3763"/>
      <c r="X6" s="1355"/>
      <c r="Y6" s="3761"/>
      <c r="Z6" s="3762"/>
      <c r="AA6" s="3735"/>
      <c r="AB6" s="3735"/>
      <c r="AC6" s="3735"/>
    </row>
    <row r="7" spans="1:29" s="108" customFormat="1" ht="15.75" thickBot="1">
      <c r="A7" s="362" t="s">
        <v>1672</v>
      </c>
      <c r="B7" s="363"/>
      <c r="C7" s="364">
        <f>'数据-取费表'!B2</f>
        <v>45352</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36" t="s">
        <v>1673</v>
      </c>
      <c r="Q7" s="3764"/>
      <c r="R7" s="701" t="s">
        <v>14</v>
      </c>
      <c r="S7" s="702">
        <f t="shared" ref="S7:S14" si="0">F7</f>
        <v>0</v>
      </c>
      <c r="T7" s="701" t="s">
        <v>14</v>
      </c>
      <c r="U7" s="702">
        <f t="shared" ref="U7:U14" si="1">H7</f>
        <v>0</v>
      </c>
      <c r="V7" s="701" t="s">
        <v>14</v>
      </c>
      <c r="W7" s="702">
        <f t="shared" ref="W7:W14" si="2">J7</f>
        <v>0</v>
      </c>
      <c r="X7" s="703"/>
      <c r="Y7" s="3736" t="s">
        <v>1673</v>
      </c>
      <c r="Z7" s="3737"/>
      <c r="AA7" s="704" t="e">
        <f>D7/F7</f>
        <v>#DIV/0!</v>
      </c>
      <c r="AB7" s="704" t="e">
        <f>D7/H7</f>
        <v>#DIV/0!</v>
      </c>
      <c r="AC7" s="704" t="e">
        <f>D7/J7</f>
        <v>#DIV/0!</v>
      </c>
    </row>
    <row r="8" spans="1:29" s="108" customFormat="1" ht="15.75" thickBot="1">
      <c r="A8" s="362" t="s">
        <v>1674</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36" t="s">
        <v>1676</v>
      </c>
      <c r="Q8" s="3737"/>
      <c r="R8" s="701" t="s">
        <v>14</v>
      </c>
      <c r="S8" s="702">
        <f t="shared" si="0"/>
        <v>100</v>
      </c>
      <c r="T8" s="701" t="s">
        <v>14</v>
      </c>
      <c r="U8" s="702">
        <f t="shared" si="1"/>
        <v>100</v>
      </c>
      <c r="V8" s="701" t="s">
        <v>14</v>
      </c>
      <c r="W8" s="702">
        <f t="shared" si="2"/>
        <v>100</v>
      </c>
      <c r="X8" s="703"/>
      <c r="Y8" s="3736" t="s">
        <v>1676</v>
      </c>
      <c r="Z8" s="3737"/>
      <c r="AA8" s="704">
        <f t="shared" ref="AA8:AA36" si="3">D8/F8</f>
        <v>1</v>
      </c>
      <c r="AB8" s="704">
        <f t="shared" ref="AB8:AB36" si="4">D8/H8</f>
        <v>1</v>
      </c>
      <c r="AC8" s="704">
        <f t="shared" ref="AC8:AC36" si="5">D8/J8</f>
        <v>1</v>
      </c>
    </row>
    <row r="9" spans="1:29" s="108" customFormat="1">
      <c r="A9" s="60" t="s">
        <v>1677</v>
      </c>
      <c r="B9" s="588" t="s">
        <v>1678</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68" t="s">
        <v>1679</v>
      </c>
      <c r="Q9" s="1343" t="str">
        <f t="shared" ref="Q9:Q14" si="6">B9</f>
        <v>用途</v>
      </c>
      <c r="R9" s="701" t="s">
        <v>14</v>
      </c>
      <c r="S9" s="702">
        <f t="shared" si="0"/>
        <v>100</v>
      </c>
      <c r="T9" s="701" t="s">
        <v>14</v>
      </c>
      <c r="U9" s="702">
        <f t="shared" si="1"/>
        <v>100</v>
      </c>
      <c r="V9" s="701" t="s">
        <v>14</v>
      </c>
      <c r="W9" s="702">
        <f t="shared" si="2"/>
        <v>100</v>
      </c>
      <c r="X9" s="703"/>
      <c r="Y9" s="3661" t="s">
        <v>1680</v>
      </c>
      <c r="Z9" s="52" t="str">
        <f t="shared" ref="Z9:Z14" si="7">Q9</f>
        <v>用途</v>
      </c>
      <c r="AA9" s="704">
        <f t="shared" si="3"/>
        <v>1</v>
      </c>
      <c r="AB9" s="704">
        <f t="shared" si="4"/>
        <v>1</v>
      </c>
      <c r="AC9" s="704">
        <f t="shared" si="5"/>
        <v>1</v>
      </c>
    </row>
    <row r="10" spans="1:29" s="378" customFormat="1" ht="27">
      <c r="A10" s="589"/>
      <c r="B10" s="590" t="s">
        <v>1681</v>
      </c>
      <c r="C10" s="3429"/>
      <c r="D10" s="127">
        <v>100</v>
      </c>
      <c r="E10" s="3429"/>
      <c r="F10" s="127">
        <f>SUMIF(55:55,E10,56:56)-SUMIF(55:55,C10,56:56)+100</f>
        <v>100</v>
      </c>
      <c r="G10" s="3430"/>
      <c r="H10" s="127">
        <f>SUMIF(55:55,G10,56:56)-SUMIF(55:55,C10,56:56)+100</f>
        <v>100</v>
      </c>
      <c r="I10" s="3429"/>
      <c r="J10" s="127">
        <f>SUMIF(55:55,I10,56:56)-SUMIF(55:55,C10,56:56)+100</f>
        <v>100</v>
      </c>
      <c r="K10" s="560"/>
      <c r="L10" s="2716"/>
      <c r="M10" s="2717"/>
      <c r="N10" s="2717"/>
      <c r="O10" s="2717"/>
      <c r="P10" s="3768"/>
      <c r="Q10" s="1343" t="str">
        <f t="shared" si="6"/>
        <v>土地使用年限（年）</v>
      </c>
      <c r="R10" s="701" t="s">
        <v>14</v>
      </c>
      <c r="S10" s="702">
        <f t="shared" si="0"/>
        <v>100</v>
      </c>
      <c r="T10" s="701" t="s">
        <v>14</v>
      </c>
      <c r="U10" s="702">
        <f t="shared" si="1"/>
        <v>100</v>
      </c>
      <c r="V10" s="701" t="s">
        <v>14</v>
      </c>
      <c r="W10" s="702">
        <f t="shared" si="2"/>
        <v>100</v>
      </c>
      <c r="X10" s="703"/>
      <c r="Y10" s="366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68"/>
      <c r="Q11" s="1343">
        <f t="shared" si="6"/>
        <v>111</v>
      </c>
      <c r="R11" s="701" t="s">
        <v>14</v>
      </c>
      <c r="S11" s="702">
        <f t="shared" si="0"/>
        <v>100</v>
      </c>
      <c r="T11" s="701" t="s">
        <v>14</v>
      </c>
      <c r="U11" s="702">
        <f t="shared" si="1"/>
        <v>100</v>
      </c>
      <c r="V11" s="701" t="s">
        <v>14</v>
      </c>
      <c r="W11" s="702">
        <f t="shared" si="2"/>
        <v>100</v>
      </c>
      <c r="X11" s="703"/>
      <c r="Y11" s="366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68"/>
      <c r="Q12" s="1343">
        <f t="shared" si="6"/>
        <v>111</v>
      </c>
      <c r="R12" s="701" t="s">
        <v>14</v>
      </c>
      <c r="S12" s="702">
        <f t="shared" si="0"/>
        <v>100</v>
      </c>
      <c r="T12" s="701" t="s">
        <v>14</v>
      </c>
      <c r="U12" s="702">
        <f t="shared" si="1"/>
        <v>100</v>
      </c>
      <c r="V12" s="701" t="s">
        <v>14</v>
      </c>
      <c r="W12" s="702">
        <f t="shared" si="2"/>
        <v>100</v>
      </c>
      <c r="X12" s="703"/>
      <c r="Y12" s="366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68"/>
      <c r="Q13" s="1343">
        <f t="shared" si="6"/>
        <v>111</v>
      </c>
      <c r="R13" s="701" t="s">
        <v>14</v>
      </c>
      <c r="S13" s="702">
        <f t="shared" si="0"/>
        <v>100</v>
      </c>
      <c r="T13" s="701" t="s">
        <v>14</v>
      </c>
      <c r="U13" s="702">
        <f t="shared" si="1"/>
        <v>100</v>
      </c>
      <c r="V13" s="701" t="s">
        <v>14</v>
      </c>
      <c r="W13" s="702">
        <f t="shared" si="2"/>
        <v>100</v>
      </c>
      <c r="X13" s="703"/>
      <c r="Y13" s="3661"/>
      <c r="Z13" s="52">
        <f t="shared" si="7"/>
        <v>111</v>
      </c>
      <c r="AA13" s="704">
        <f t="shared" si="3"/>
        <v>1</v>
      </c>
      <c r="AB13" s="704">
        <f t="shared" si="4"/>
        <v>1</v>
      </c>
      <c r="AC13" s="704">
        <f t="shared" si="5"/>
        <v>1</v>
      </c>
    </row>
    <row r="14" spans="1:29" ht="15">
      <c r="A14" s="355" t="s">
        <v>1683</v>
      </c>
      <c r="B14" s="577" t="s">
        <v>1826</v>
      </c>
      <c r="C14" s="1970"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70" t="s">
        <v>1684</v>
      </c>
      <c r="Q14" s="1352" t="str">
        <f t="shared" si="6"/>
        <v>交通便捷度</v>
      </c>
      <c r="R14" s="705" t="s">
        <v>14</v>
      </c>
      <c r="S14" s="706">
        <f t="shared" si="0"/>
        <v>100</v>
      </c>
      <c r="T14" s="705" t="s">
        <v>14</v>
      </c>
      <c r="U14" s="706">
        <f t="shared" si="1"/>
        <v>100</v>
      </c>
      <c r="V14" s="705" t="s">
        <v>14</v>
      </c>
      <c r="W14" s="706">
        <f t="shared" si="2"/>
        <v>100</v>
      </c>
      <c r="X14" s="1355"/>
      <c r="Y14" s="3770" t="s">
        <v>1684</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71"/>
      <c r="Q15" s="1352"/>
      <c r="R15" s="705"/>
      <c r="S15" s="706"/>
      <c r="T15" s="705"/>
      <c r="U15" s="706"/>
      <c r="V15" s="705"/>
      <c r="W15" s="706"/>
      <c r="X15" s="1355"/>
      <c r="Y15" s="3771"/>
      <c r="Z15" s="1356"/>
      <c r="AA15" s="1353">
        <v>1</v>
      </c>
      <c r="AB15" s="1353">
        <v>1</v>
      </c>
      <c r="AC15" s="1353">
        <v>1</v>
      </c>
    </row>
    <row r="16" spans="1:29" ht="15">
      <c r="A16" s="358"/>
      <c r="B16" s="579" t="s">
        <v>1805</v>
      </c>
      <c r="C16" s="1899"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71"/>
      <c r="Q16" s="1352" t="str">
        <f>B16</f>
        <v>公共配套设施</v>
      </c>
      <c r="R16" s="705" t="s">
        <v>14</v>
      </c>
      <c r="S16" s="706">
        <f>F16</f>
        <v>100</v>
      </c>
      <c r="T16" s="705" t="s">
        <v>14</v>
      </c>
      <c r="U16" s="706">
        <f>H16</f>
        <v>100</v>
      </c>
      <c r="V16" s="705" t="s">
        <v>14</v>
      </c>
      <c r="W16" s="706">
        <f>J16</f>
        <v>100</v>
      </c>
      <c r="X16" s="1355"/>
      <c r="Y16" s="3771"/>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19"/>
      <c r="M17" s="2713"/>
      <c r="N17" s="2713"/>
      <c r="O17" s="2713"/>
      <c r="P17" s="3771"/>
      <c r="Q17" s="1352"/>
      <c r="R17" s="705"/>
      <c r="S17" s="706"/>
      <c r="T17" s="705"/>
      <c r="U17" s="706"/>
      <c r="V17" s="705"/>
      <c r="W17" s="706"/>
      <c r="X17" s="1355"/>
      <c r="Y17" s="3771"/>
      <c r="Z17" s="1356"/>
      <c r="AA17" s="1353">
        <v>1</v>
      </c>
      <c r="AB17" s="1353">
        <v>1</v>
      </c>
      <c r="AC17" s="1353">
        <v>1</v>
      </c>
    </row>
    <row r="18" spans="1:29" ht="15">
      <c r="A18" s="358"/>
      <c r="B18" s="581" t="s">
        <v>1806</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71"/>
      <c r="Q18" s="1352" t="str">
        <f>B18</f>
        <v>基础设施水平</v>
      </c>
      <c r="R18" s="705" t="s">
        <v>14</v>
      </c>
      <c r="S18" s="706">
        <f>F18</f>
        <v>100</v>
      </c>
      <c r="T18" s="705" t="s">
        <v>14</v>
      </c>
      <c r="U18" s="706">
        <f>H18</f>
        <v>100</v>
      </c>
      <c r="V18" s="705" t="s">
        <v>14</v>
      </c>
      <c r="W18" s="706">
        <f>J18</f>
        <v>100</v>
      </c>
      <c r="X18" s="1355"/>
      <c r="Y18" s="3771"/>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19"/>
      <c r="M19" s="2713"/>
      <c r="N19" s="2713"/>
      <c r="O19" s="2713"/>
      <c r="P19" s="3771"/>
      <c r="Q19" s="1352"/>
      <c r="R19" s="705"/>
      <c r="S19" s="706"/>
      <c r="T19" s="705"/>
      <c r="U19" s="706"/>
      <c r="V19" s="705"/>
      <c r="W19" s="706"/>
      <c r="X19" s="1355"/>
      <c r="Y19" s="3771"/>
      <c r="Z19" s="1356"/>
      <c r="AA19" s="1353">
        <v>1</v>
      </c>
      <c r="AB19" s="1353">
        <v>1</v>
      </c>
      <c r="AC19" s="1353">
        <v>1</v>
      </c>
    </row>
    <row r="20" spans="1:29" ht="15">
      <c r="A20" s="358"/>
      <c r="B20" s="579" t="s">
        <v>1827</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71"/>
      <c r="Q20" s="1352" t="str">
        <f>B20</f>
        <v>自然及人文环境</v>
      </c>
      <c r="R20" s="705" t="s">
        <v>14</v>
      </c>
      <c r="S20" s="706">
        <f>F20</f>
        <v>100</v>
      </c>
      <c r="T20" s="705" t="s">
        <v>14</v>
      </c>
      <c r="U20" s="706">
        <f>H20</f>
        <v>100</v>
      </c>
      <c r="V20" s="705" t="s">
        <v>14</v>
      </c>
      <c r="W20" s="706">
        <f>J20</f>
        <v>100</v>
      </c>
      <c r="X20" s="1355"/>
      <c r="Y20" s="377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71"/>
      <c r="Q21" s="1352"/>
      <c r="R21" s="705"/>
      <c r="S21" s="706"/>
      <c r="T21" s="705"/>
      <c r="U21" s="706"/>
      <c r="V21" s="705"/>
      <c r="W21" s="706"/>
      <c r="X21" s="1355"/>
      <c r="Y21" s="3771"/>
      <c r="Z21" s="1356"/>
      <c r="AA21" s="1353">
        <v>1</v>
      </c>
      <c r="AB21" s="1353">
        <v>1</v>
      </c>
      <c r="AC21" s="1353">
        <v>1</v>
      </c>
    </row>
    <row r="22" spans="1:29" ht="15">
      <c r="A22" s="358"/>
      <c r="B22" s="579" t="s">
        <v>1828</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71"/>
      <c r="Q22" s="1352" t="str">
        <f>B22</f>
        <v>楼层</v>
      </c>
      <c r="R22" s="705" t="s">
        <v>14</v>
      </c>
      <c r="S22" s="706">
        <f>F22</f>
        <v>100</v>
      </c>
      <c r="T22" s="705" t="s">
        <v>14</v>
      </c>
      <c r="U22" s="706">
        <f>H22</f>
        <v>100</v>
      </c>
      <c r="V22" s="705" t="s">
        <v>14</v>
      </c>
      <c r="W22" s="706">
        <f>J22</f>
        <v>100</v>
      </c>
      <c r="X22" s="1355"/>
      <c r="Y22" s="377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71"/>
      <c r="Q23" s="1352">
        <f>B23</f>
        <v>111</v>
      </c>
      <c r="R23" s="705" t="s">
        <v>14</v>
      </c>
      <c r="S23" s="706">
        <f>F23</f>
        <v>100</v>
      </c>
      <c r="T23" s="705" t="s">
        <v>14</v>
      </c>
      <c r="U23" s="706">
        <f>H23</f>
        <v>100</v>
      </c>
      <c r="V23" s="705" t="s">
        <v>14</v>
      </c>
      <c r="W23" s="706">
        <f>J23</f>
        <v>100</v>
      </c>
      <c r="X23" s="1355"/>
      <c r="Y23" s="377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71"/>
      <c r="Q24" s="1352">
        <f t="shared" ref="Q24:Q36" si="11">B24</f>
        <v>111</v>
      </c>
      <c r="R24" s="705" t="s">
        <v>14</v>
      </c>
      <c r="S24" s="706">
        <f>F24</f>
        <v>100</v>
      </c>
      <c r="T24" s="705" t="s">
        <v>14</v>
      </c>
      <c r="U24" s="706">
        <f>H24</f>
        <v>100</v>
      </c>
      <c r="V24" s="705" t="s">
        <v>14</v>
      </c>
      <c r="W24" s="706">
        <f>J24</f>
        <v>100</v>
      </c>
      <c r="X24" s="1355"/>
      <c r="Y24" s="377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71"/>
      <c r="Q25" s="1343">
        <f t="shared" si="11"/>
        <v>111</v>
      </c>
      <c r="R25" s="701" t="s">
        <v>14</v>
      </c>
      <c r="S25" s="702">
        <f>F25</f>
        <v>100</v>
      </c>
      <c r="T25" s="701" t="s">
        <v>14</v>
      </c>
      <c r="U25" s="702">
        <f>H25</f>
        <v>100</v>
      </c>
      <c r="V25" s="701" t="s">
        <v>14</v>
      </c>
      <c r="W25" s="702">
        <f>J25</f>
        <v>100</v>
      </c>
      <c r="X25" s="703"/>
      <c r="Y25" s="3771"/>
      <c r="Z25" s="52">
        <f>Q25</f>
        <v>111</v>
      </c>
      <c r="AA25" s="1353">
        <f>D25/F25</f>
        <v>1</v>
      </c>
      <c r="AB25" s="1353">
        <f>D25/H25</f>
        <v>1</v>
      </c>
      <c r="AC25" s="1353">
        <f>D25/J25</f>
        <v>1</v>
      </c>
    </row>
    <row r="26" spans="1:29" ht="28.5">
      <c r="A26" s="600" t="s">
        <v>1687</v>
      </c>
      <c r="B26" s="62" t="s">
        <v>1829</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94" t="s">
        <v>1689</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75" t="s">
        <v>1689</v>
      </c>
      <c r="Z26" s="1356" t="str">
        <f t="shared" ref="Z26:Z36" si="15">Q26</f>
        <v>配套类型</v>
      </c>
      <c r="AA26" s="1353" t="e">
        <f t="shared" si="3"/>
        <v>#DIV/0!</v>
      </c>
      <c r="AB26" s="1353" t="e">
        <f t="shared" si="4"/>
        <v>#DIV/0!</v>
      </c>
      <c r="AC26" s="1353" t="e">
        <f t="shared" si="5"/>
        <v>#DIV/0!</v>
      </c>
    </row>
    <row r="27" spans="1:29" s="422" customFormat="1" ht="15">
      <c r="A27" s="601"/>
      <c r="B27" s="602" t="s">
        <v>1830</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75"/>
      <c r="Q27" s="707" t="str">
        <f t="shared" si="11"/>
        <v>项目停车位配比</v>
      </c>
      <c r="R27" s="708" t="s">
        <v>14</v>
      </c>
      <c r="S27" s="709">
        <f t="shared" si="12"/>
        <v>100</v>
      </c>
      <c r="T27" s="708" t="s">
        <v>14</v>
      </c>
      <c r="U27" s="709">
        <f t="shared" si="13"/>
        <v>100</v>
      </c>
      <c r="V27" s="708" t="s">
        <v>14</v>
      </c>
      <c r="W27" s="709">
        <f t="shared" si="14"/>
        <v>100</v>
      </c>
      <c r="X27" s="710"/>
      <c r="Y27" s="3775"/>
      <c r="Z27" s="711" t="str">
        <f t="shared" si="15"/>
        <v>项目停车位配比</v>
      </c>
      <c r="AA27" s="1353">
        <f t="shared" si="3"/>
        <v>1</v>
      </c>
      <c r="AB27" s="1353">
        <f t="shared" si="4"/>
        <v>1</v>
      </c>
      <c r="AC27" s="1353">
        <f t="shared" si="5"/>
        <v>1</v>
      </c>
    </row>
    <row r="28" spans="1:29" ht="15">
      <c r="A28" s="604"/>
      <c r="B28" s="602" t="s">
        <v>1831</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75"/>
      <c r="Q28" s="1352" t="str">
        <f t="shared" si="11"/>
        <v>公共部分装修</v>
      </c>
      <c r="R28" s="705" t="s">
        <v>14</v>
      </c>
      <c r="S28" s="706">
        <f t="shared" si="12"/>
        <v>100</v>
      </c>
      <c r="T28" s="705" t="s">
        <v>14</v>
      </c>
      <c r="U28" s="706">
        <f t="shared" si="13"/>
        <v>100</v>
      </c>
      <c r="V28" s="705" t="s">
        <v>14</v>
      </c>
      <c r="W28" s="706">
        <f t="shared" si="14"/>
        <v>100</v>
      </c>
      <c r="X28" s="1355"/>
      <c r="Y28" s="3775"/>
      <c r="Z28" s="1356" t="str">
        <f t="shared" si="15"/>
        <v>公共部分装修</v>
      </c>
      <c r="AA28" s="1353">
        <f t="shared" si="3"/>
        <v>1</v>
      </c>
      <c r="AB28" s="1353">
        <f t="shared" si="4"/>
        <v>1</v>
      </c>
      <c r="AC28" s="1353">
        <f t="shared" si="5"/>
        <v>1</v>
      </c>
    </row>
    <row r="29" spans="1:29" ht="15">
      <c r="A29" s="604"/>
      <c r="B29" s="602" t="s">
        <v>1832</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75"/>
      <c r="Q29" s="1352" t="str">
        <f t="shared" si="11"/>
        <v>成新率</v>
      </c>
      <c r="R29" s="705" t="s">
        <v>14</v>
      </c>
      <c r="S29" s="706" t="e">
        <f t="shared" si="12"/>
        <v>#N/A</v>
      </c>
      <c r="T29" s="705" t="s">
        <v>14</v>
      </c>
      <c r="U29" s="706" t="e">
        <f t="shared" si="13"/>
        <v>#N/A</v>
      </c>
      <c r="V29" s="705" t="s">
        <v>14</v>
      </c>
      <c r="W29" s="706" t="e">
        <f t="shared" si="14"/>
        <v>#N/A</v>
      </c>
      <c r="X29" s="1355"/>
      <c r="Y29" s="3775"/>
      <c r="Z29" s="1356" t="str">
        <f t="shared" si="15"/>
        <v>成新率</v>
      </c>
      <c r="AA29" s="1353" t="e">
        <f t="shared" si="3"/>
        <v>#N/A</v>
      </c>
      <c r="AB29" s="1353" t="e">
        <f t="shared" si="4"/>
        <v>#N/A</v>
      </c>
      <c r="AC29" s="1353" t="e">
        <f t="shared" si="5"/>
        <v>#N/A</v>
      </c>
    </row>
    <row r="30" spans="1:29" ht="15">
      <c r="A30" s="604"/>
      <c r="B30" s="602" t="s">
        <v>1833</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75"/>
      <c r="Q30" s="1352" t="str">
        <f t="shared" si="11"/>
        <v>物业等级</v>
      </c>
      <c r="R30" s="705" t="s">
        <v>14</v>
      </c>
      <c r="S30" s="706">
        <f t="shared" si="12"/>
        <v>100</v>
      </c>
      <c r="T30" s="705" t="s">
        <v>14</v>
      </c>
      <c r="U30" s="706">
        <f t="shared" si="13"/>
        <v>100</v>
      </c>
      <c r="V30" s="705" t="s">
        <v>14</v>
      </c>
      <c r="W30" s="706">
        <f t="shared" si="14"/>
        <v>100</v>
      </c>
      <c r="X30" s="1355"/>
      <c r="Y30" s="3775"/>
      <c r="Z30" s="1356" t="str">
        <f t="shared" si="15"/>
        <v>物业等级</v>
      </c>
      <c r="AA30" s="1353">
        <f t="shared" si="3"/>
        <v>1</v>
      </c>
      <c r="AB30" s="1353">
        <f t="shared" si="4"/>
        <v>1</v>
      </c>
      <c r="AC30" s="1353">
        <f t="shared" si="5"/>
        <v>1</v>
      </c>
    </row>
    <row r="31" spans="1:29" s="108" customFormat="1" ht="15">
      <c r="A31" s="606"/>
      <c r="B31" s="602" t="s">
        <v>1834</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75"/>
      <c r="Q31" s="1343" t="str">
        <f t="shared" si="11"/>
        <v>停车位面积</v>
      </c>
      <c r="R31" s="701" t="s">
        <v>14</v>
      </c>
      <c r="S31" s="702" t="e">
        <f t="shared" si="12"/>
        <v>#N/A</v>
      </c>
      <c r="T31" s="701" t="s">
        <v>14</v>
      </c>
      <c r="U31" s="702" t="e">
        <f t="shared" si="13"/>
        <v>#N/A</v>
      </c>
      <c r="V31" s="701" t="s">
        <v>14</v>
      </c>
      <c r="W31" s="702" t="e">
        <f t="shared" si="14"/>
        <v>#N/A</v>
      </c>
      <c r="X31" s="703"/>
      <c r="Y31" s="3775"/>
      <c r="Z31" s="52" t="str">
        <f t="shared" si="15"/>
        <v>停车位面积</v>
      </c>
      <c r="AA31" s="704" t="e">
        <f t="shared" si="3"/>
        <v>#N/A</v>
      </c>
      <c r="AB31" s="704" t="e">
        <f t="shared" si="4"/>
        <v>#N/A</v>
      </c>
      <c r="AC31" s="704" t="e">
        <f t="shared" si="5"/>
        <v>#N/A</v>
      </c>
    </row>
    <row r="32" spans="1:29" ht="15">
      <c r="A32" s="604"/>
      <c r="B32" s="602" t="s">
        <v>1835</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75" t="s">
        <v>1689</v>
      </c>
      <c r="Q32" s="1352" t="str">
        <f t="shared" si="11"/>
        <v>车位类型</v>
      </c>
      <c r="R32" s="705" t="s">
        <v>14</v>
      </c>
      <c r="S32" s="706">
        <f t="shared" si="12"/>
        <v>100</v>
      </c>
      <c r="T32" s="705" t="s">
        <v>14</v>
      </c>
      <c r="U32" s="706">
        <f t="shared" si="13"/>
        <v>100</v>
      </c>
      <c r="V32" s="705" t="s">
        <v>14</v>
      </c>
      <c r="W32" s="706">
        <f t="shared" si="14"/>
        <v>100</v>
      </c>
      <c r="X32" s="1355"/>
      <c r="Y32" s="3775" t="s">
        <v>1689</v>
      </c>
      <c r="Z32" s="1356" t="str">
        <f t="shared" si="15"/>
        <v>车位类型</v>
      </c>
      <c r="AA32" s="1353">
        <f t="shared" si="3"/>
        <v>1</v>
      </c>
      <c r="AB32" s="1353">
        <f t="shared" si="4"/>
        <v>1</v>
      </c>
      <c r="AC32" s="1353">
        <f t="shared" si="5"/>
        <v>1</v>
      </c>
    </row>
    <row r="33" spans="1:29" ht="15">
      <c r="A33" s="604"/>
      <c r="B33" s="602" t="s">
        <v>1836</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75"/>
      <c r="Q33" s="1352" t="str">
        <f t="shared" si="11"/>
        <v>是否直接入户</v>
      </c>
      <c r="R33" s="705" t="s">
        <v>14</v>
      </c>
      <c r="S33" s="706">
        <f t="shared" si="12"/>
        <v>100</v>
      </c>
      <c r="T33" s="705" t="s">
        <v>14</v>
      </c>
      <c r="U33" s="706">
        <f t="shared" si="13"/>
        <v>100</v>
      </c>
      <c r="V33" s="705" t="s">
        <v>14</v>
      </c>
      <c r="W33" s="706">
        <f t="shared" si="14"/>
        <v>100</v>
      </c>
      <c r="X33" s="1355"/>
      <c r="Y33" s="377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75"/>
      <c r="Q34" s="1352">
        <f t="shared" si="11"/>
        <v>111</v>
      </c>
      <c r="R34" s="705" t="s">
        <v>14</v>
      </c>
      <c r="S34" s="706">
        <f t="shared" si="12"/>
        <v>100</v>
      </c>
      <c r="T34" s="705" t="s">
        <v>14</v>
      </c>
      <c r="U34" s="706">
        <f t="shared" si="13"/>
        <v>100</v>
      </c>
      <c r="V34" s="705" t="s">
        <v>14</v>
      </c>
      <c r="W34" s="706">
        <f t="shared" si="14"/>
        <v>100</v>
      </c>
      <c r="X34" s="1355"/>
      <c r="Y34" s="377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75"/>
      <c r="Q35" s="707">
        <f t="shared" si="11"/>
        <v>111</v>
      </c>
      <c r="R35" s="708" t="s">
        <v>14</v>
      </c>
      <c r="S35" s="709">
        <f t="shared" si="12"/>
        <v>100</v>
      </c>
      <c r="T35" s="708" t="s">
        <v>14</v>
      </c>
      <c r="U35" s="709">
        <f t="shared" si="13"/>
        <v>100</v>
      </c>
      <c r="V35" s="708" t="s">
        <v>14</v>
      </c>
      <c r="W35" s="709">
        <f t="shared" si="14"/>
        <v>100</v>
      </c>
      <c r="X35" s="710"/>
      <c r="Y35" s="377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75"/>
      <c r="Q36" s="1352">
        <f t="shared" si="11"/>
        <v>111</v>
      </c>
      <c r="R36" s="705" t="s">
        <v>14</v>
      </c>
      <c r="S36" s="706">
        <f t="shared" si="12"/>
        <v>100</v>
      </c>
      <c r="T36" s="705" t="s">
        <v>14</v>
      </c>
      <c r="U36" s="706">
        <f t="shared" si="13"/>
        <v>100</v>
      </c>
      <c r="V36" s="705" t="s">
        <v>14</v>
      </c>
      <c r="W36" s="706">
        <f t="shared" si="14"/>
        <v>100</v>
      </c>
      <c r="X36" s="1355"/>
      <c r="Y36" s="3775"/>
      <c r="Z36" s="1356">
        <f t="shared" si="15"/>
        <v>111</v>
      </c>
      <c r="AA36" s="1353">
        <f t="shared" si="3"/>
        <v>1</v>
      </c>
      <c r="AB36" s="1353">
        <f t="shared" si="4"/>
        <v>1</v>
      </c>
      <c r="AC36" s="1353">
        <f t="shared" si="5"/>
        <v>1</v>
      </c>
    </row>
    <row r="37" spans="1:29" ht="15">
      <c r="A37" s="430" t="s">
        <v>1837</v>
      </c>
      <c r="B37" s="1972" t="s">
        <v>3342</v>
      </c>
      <c r="C37" s="1154" t="s">
        <v>0</v>
      </c>
      <c r="D37" s="1155"/>
      <c r="E37" s="1156"/>
      <c r="F37" s="1157"/>
      <c r="G37" s="1158"/>
      <c r="H37" s="1159"/>
      <c r="I37" s="1156"/>
      <c r="J37" s="1159"/>
      <c r="K37" s="568"/>
      <c r="L37" s="2721"/>
      <c r="M37" s="2722"/>
      <c r="N37" s="2713"/>
      <c r="O37" s="2722"/>
      <c r="P37" s="3768" t="str">
        <f>A37</f>
        <v>成交单价</v>
      </c>
      <c r="Q37" s="3768"/>
      <c r="R37" s="3769">
        <f>E37</f>
        <v>0</v>
      </c>
      <c r="S37" s="3769"/>
      <c r="T37" s="3769">
        <f>G37</f>
        <v>0</v>
      </c>
      <c r="U37" s="3769"/>
      <c r="V37" s="3769">
        <f>I37</f>
        <v>0</v>
      </c>
      <c r="W37" s="3769"/>
      <c r="X37" s="690"/>
      <c r="Y37" s="712"/>
      <c r="Z37" s="690"/>
      <c r="AA37" s="690"/>
      <c r="AB37" s="690"/>
      <c r="AC37" s="690"/>
    </row>
    <row r="38" spans="1:29" ht="15.75" thickBot="1">
      <c r="A38" s="437" t="s">
        <v>1838</v>
      </c>
      <c r="B38" s="438" t="str">
        <f>B37</f>
        <v>元/平方米</v>
      </c>
      <c r="C38" s="1160" t="e">
        <f>R39</f>
        <v>#DIV/0!</v>
      </c>
      <c r="D38" s="2316" t="s">
        <v>2131</v>
      </c>
      <c r="E38" s="1161" t="e">
        <f>R38</f>
        <v>#DIV/0!</v>
      </c>
      <c r="F38" s="2317"/>
      <c r="G38" s="1160" t="e">
        <f>T38</f>
        <v>#DIV/0!</v>
      </c>
      <c r="H38" s="2317"/>
      <c r="I38" s="1161" t="e">
        <f>V38</f>
        <v>#DIV/0!</v>
      </c>
      <c r="J38" s="2317"/>
      <c r="K38" s="2319">
        <f>F38+H38+J38</f>
        <v>0</v>
      </c>
      <c r="L38" s="2721"/>
      <c r="M38" s="2722"/>
      <c r="N38" s="2722"/>
      <c r="O38" s="2722"/>
      <c r="P38" s="3768" t="str">
        <f>A38</f>
        <v>比较价值（元/平方米）</v>
      </c>
      <c r="Q38" s="3768"/>
      <c r="R38" s="3769" t="e">
        <f>IF(F1="售价",ROUND(PRODUCT(R37,AA7:AA36),0),ROUND(PRODUCT(R37,AA7:AA36),1))</f>
        <v>#DIV/0!</v>
      </c>
      <c r="S38" s="3769"/>
      <c r="T38" s="3769" t="e">
        <f>IF(F1="售价",ROUND(PRODUCT(T37,AB7:AB36),0),ROUND(PRODUCT(T37,AB7:AB36),1))</f>
        <v>#DIV/0!</v>
      </c>
      <c r="U38" s="3769"/>
      <c r="V38" s="3769" t="e">
        <f>IF(F1="售价",ROUND(PRODUCT(V37,AC7:AC36),0),ROUND(PRODUCT(V37,AC7:AC36),1))</f>
        <v>#DIV/0!</v>
      </c>
      <c r="W38" s="3769"/>
      <c r="X38" s="690"/>
      <c r="Y38" s="690"/>
      <c r="Z38" s="690"/>
      <c r="AA38" s="690"/>
      <c r="AB38" s="690"/>
      <c r="AC38" s="690"/>
    </row>
    <row r="39" spans="1:29" ht="15.75" thickBot="1">
      <c r="A39" s="441" t="s">
        <v>1839</v>
      </c>
      <c r="B39" s="442"/>
      <c r="C39" s="1163" t="e">
        <f>R39</f>
        <v>#DIV/0!</v>
      </c>
      <c r="D39" s="1163"/>
      <c r="E39" s="1163"/>
      <c r="F39" s="1163"/>
      <c r="G39" s="1163"/>
      <c r="H39" s="1163"/>
      <c r="I39" s="1163"/>
      <c r="J39" s="1163"/>
      <c r="K39" s="569"/>
      <c r="L39" s="2721"/>
      <c r="M39" s="2722"/>
      <c r="N39" s="2722"/>
      <c r="O39" s="2722"/>
      <c r="P39" s="3765" t="str">
        <f>A39</f>
        <v>估价对象XX用房的比较价值（楼面单价，元/平方米）</v>
      </c>
      <c r="Q39" s="3766"/>
      <c r="R39" s="3795" t="e">
        <f>IF(F1="售价",ROUND(IF(D38="简单平均",AVERAGE(R38:W38),R38*F38+T38*H38+V38*J38),0),ROUND(IF(D38="简单平均",AVERAGE(R38:V38),R38*F38+T38*H38+V38*J38),1))</f>
        <v>#DIV/0!</v>
      </c>
      <c r="S39" s="3795"/>
      <c r="T39" s="3795"/>
      <c r="U39" s="3795"/>
      <c r="V39" s="3795"/>
      <c r="W39" s="3795"/>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1840</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1841</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1842</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1843</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1844</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1709</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1674</v>
      </c>
      <c r="B51" s="459"/>
      <c r="C51" s="471" t="s">
        <v>1769</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1712</v>
      </c>
      <c r="B53" s="477" t="s">
        <v>1678</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1681</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1683</v>
      </c>
      <c r="B63" s="477" t="s">
        <v>1719</v>
      </c>
      <c r="C63" s="522" t="s">
        <v>1714</v>
      </c>
      <c r="D63" s="522" t="s">
        <v>1715</v>
      </c>
      <c r="E63" s="522" t="s">
        <v>1716</v>
      </c>
      <c r="F63" s="522" t="s">
        <v>1717</v>
      </c>
      <c r="G63" s="522" t="s">
        <v>1718</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1720</v>
      </c>
      <c r="C65" s="527" t="s">
        <v>1714</v>
      </c>
      <c r="D65" s="527" t="s">
        <v>1715</v>
      </c>
      <c r="E65" s="527" t="s">
        <v>1716</v>
      </c>
      <c r="F65" s="527" t="s">
        <v>1717</v>
      </c>
      <c r="G65" s="527" t="s">
        <v>1718</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1806</v>
      </c>
      <c r="C67" s="608" t="s">
        <v>1792</v>
      </c>
      <c r="D67" s="608" t="s">
        <v>1793</v>
      </c>
      <c r="E67" s="608" t="s">
        <v>1794</v>
      </c>
      <c r="F67" s="608" t="s">
        <v>1795</v>
      </c>
      <c r="G67" s="608" t="s">
        <v>1796</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1726</v>
      </c>
      <c r="C69" s="527" t="s">
        <v>1714</v>
      </c>
      <c r="D69" s="527" t="s">
        <v>1715</v>
      </c>
      <c r="E69" s="527" t="s">
        <v>1716</v>
      </c>
      <c r="F69" s="527" t="s">
        <v>1717</v>
      </c>
      <c r="G69" s="527" t="s">
        <v>1718</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1845</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1687</v>
      </c>
      <c r="B79" s="477" t="s">
        <v>1846</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1847</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1733</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1848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1849</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1850</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1851</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1852</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1824</v>
      </c>
      <c r="B1" s="1223" t="s">
        <v>3322</v>
      </c>
      <c r="C1" s="1224" t="s">
        <v>1655</v>
      </c>
      <c r="D1" s="1225"/>
      <c r="E1" s="3428"/>
      <c r="F1" s="1878"/>
      <c r="G1" s="1235" t="s">
        <v>1760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1455</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1456</v>
      </c>
      <c r="F2" s="1882"/>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1457</v>
      </c>
      <c r="B3" s="558" t="e">
        <f>IF(C2="——",C37,ROUND(B2*10000/D3,0))</f>
        <v>#DIV/0!</v>
      </c>
      <c r="C3" s="354" t="s">
        <v>1761</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1762</v>
      </c>
      <c r="B4" s="356"/>
      <c r="C4" s="3751" t="s">
        <v>1763</v>
      </c>
      <c r="D4" s="3752"/>
      <c r="E4" s="3753" t="s">
        <v>1764</v>
      </c>
      <c r="F4" s="3754"/>
      <c r="G4" s="3751" t="s">
        <v>1765</v>
      </c>
      <c r="H4" s="3752"/>
      <c r="I4" s="3751" t="s">
        <v>1766</v>
      </c>
      <c r="J4" s="3752"/>
      <c r="K4" s="559" t="s">
        <v>1767</v>
      </c>
      <c r="L4" s="2712"/>
      <c r="M4" s="2713"/>
      <c r="N4" s="2713"/>
      <c r="O4" s="2713"/>
      <c r="P4" s="3755" t="s">
        <v>1768</v>
      </c>
      <c r="Q4" s="3756"/>
      <c r="R4" s="3738" t="s">
        <v>1764</v>
      </c>
      <c r="S4" s="3739"/>
      <c r="T4" s="3738" t="s">
        <v>1765</v>
      </c>
      <c r="U4" s="3739"/>
      <c r="V4" s="3763" t="s">
        <v>1766</v>
      </c>
      <c r="W4" s="3763"/>
      <c r="X4" s="1355"/>
      <c r="Y4" s="3738" t="s">
        <v>1768</v>
      </c>
      <c r="Z4" s="3739"/>
      <c r="AA4" s="3733" t="s">
        <v>1764</v>
      </c>
      <c r="AB4" s="3734" t="s">
        <v>1765</v>
      </c>
      <c r="AC4" s="3733" t="s">
        <v>1766</v>
      </c>
    </row>
    <row r="5" spans="1:29" ht="15">
      <c r="A5" s="358"/>
      <c r="B5" s="359"/>
      <c r="C5" s="3744" t="s">
        <v>1666</v>
      </c>
      <c r="D5" s="3745"/>
      <c r="E5" s="3742" t="s">
        <v>1667</v>
      </c>
      <c r="F5" s="3743"/>
      <c r="G5" s="3744" t="s">
        <v>1668</v>
      </c>
      <c r="H5" s="3745"/>
      <c r="I5" s="3744" t="s">
        <v>1669</v>
      </c>
      <c r="J5" s="3745"/>
      <c r="K5" s="559"/>
      <c r="L5" s="2712"/>
      <c r="M5" s="2713"/>
      <c r="N5" s="2713"/>
      <c r="O5" s="2713"/>
      <c r="P5" s="3757"/>
      <c r="Q5" s="3758"/>
      <c r="R5" s="3740"/>
      <c r="S5" s="3741"/>
      <c r="T5" s="3740"/>
      <c r="U5" s="3741"/>
      <c r="V5" s="3763"/>
      <c r="W5" s="3763"/>
      <c r="X5" s="1355"/>
      <c r="Y5" s="3740"/>
      <c r="Z5" s="3741"/>
      <c r="AA5" s="3734"/>
      <c r="AB5" s="3734"/>
      <c r="AC5" s="3734"/>
    </row>
    <row r="6" spans="1:29" ht="15.75" thickBot="1">
      <c r="A6" s="360"/>
      <c r="B6" s="361"/>
      <c r="C6" s="3746" t="s">
        <v>1670</v>
      </c>
      <c r="D6" s="3747"/>
      <c r="E6" s="3748" t="s">
        <v>1670</v>
      </c>
      <c r="F6" s="3749"/>
      <c r="G6" s="3746" t="s">
        <v>1670</v>
      </c>
      <c r="H6" s="3747"/>
      <c r="I6" s="3746" t="s">
        <v>1670</v>
      </c>
      <c r="J6" s="3747"/>
      <c r="K6" s="559" t="s">
        <v>1671</v>
      </c>
      <c r="L6" s="2712"/>
      <c r="M6" s="2713"/>
      <c r="N6" s="2713"/>
      <c r="O6" s="2713"/>
      <c r="P6" s="3759"/>
      <c r="Q6" s="3760"/>
      <c r="R6" s="3740"/>
      <c r="S6" s="3741"/>
      <c r="T6" s="3761"/>
      <c r="U6" s="3762"/>
      <c r="V6" s="3763"/>
      <c r="W6" s="3763"/>
      <c r="X6" s="1355"/>
      <c r="Y6" s="3761"/>
      <c r="Z6" s="3762"/>
      <c r="AA6" s="3735"/>
      <c r="AB6" s="3735"/>
      <c r="AC6" s="3735"/>
    </row>
    <row r="7" spans="1:29" s="108" customFormat="1" ht="15.75" thickBot="1">
      <c r="A7" s="362" t="s">
        <v>1672</v>
      </c>
      <c r="B7" s="363"/>
      <c r="C7" s="364">
        <f>'数据-取费表'!B2</f>
        <v>45352</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736" t="s">
        <v>1673</v>
      </c>
      <c r="Q7" s="3764"/>
      <c r="R7" s="701" t="s">
        <v>14</v>
      </c>
      <c r="S7" s="702">
        <f t="shared" ref="S7:S14" si="0">F7</f>
        <v>0</v>
      </c>
      <c r="T7" s="701" t="s">
        <v>14</v>
      </c>
      <c r="U7" s="702">
        <f t="shared" ref="U7:U14" si="1">H7</f>
        <v>0</v>
      </c>
      <c r="V7" s="701" t="s">
        <v>14</v>
      </c>
      <c r="W7" s="702">
        <f t="shared" ref="W7:W14" si="2">J7</f>
        <v>0</v>
      </c>
      <c r="X7" s="703"/>
      <c r="Y7" s="3736" t="s">
        <v>1673</v>
      </c>
      <c r="Z7" s="3737"/>
      <c r="AA7" s="704" t="e">
        <f>D7/F7</f>
        <v>#DIV/0!</v>
      </c>
      <c r="AB7" s="704" t="e">
        <f>D7/H7</f>
        <v>#DIV/0!</v>
      </c>
      <c r="AC7" s="704" t="e">
        <f>D7/J7</f>
        <v>#DIV/0!</v>
      </c>
    </row>
    <row r="8" spans="1:29" s="108" customFormat="1" ht="15.75" thickBot="1">
      <c r="A8" s="362" t="s">
        <v>1674</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36" t="s">
        <v>1676</v>
      </c>
      <c r="Q8" s="3737"/>
      <c r="R8" s="701" t="s">
        <v>14</v>
      </c>
      <c r="S8" s="702">
        <f t="shared" si="0"/>
        <v>100</v>
      </c>
      <c r="T8" s="701" t="s">
        <v>14</v>
      </c>
      <c r="U8" s="702">
        <f t="shared" si="1"/>
        <v>100</v>
      </c>
      <c r="V8" s="701" t="s">
        <v>14</v>
      </c>
      <c r="W8" s="702">
        <f t="shared" si="2"/>
        <v>100</v>
      </c>
      <c r="X8" s="703"/>
      <c r="Y8" s="3736" t="s">
        <v>1676</v>
      </c>
      <c r="Z8" s="3737"/>
      <c r="AA8" s="704">
        <f t="shared" ref="AA8:AA34" si="3">D8/F8</f>
        <v>1</v>
      </c>
      <c r="AB8" s="704">
        <f t="shared" ref="AB8:AB34" si="4">D8/H8</f>
        <v>1</v>
      </c>
      <c r="AC8" s="704">
        <f t="shared" ref="AC8:AC34" si="5">D8/J8</f>
        <v>1</v>
      </c>
    </row>
    <row r="9" spans="1:29" s="108" customFormat="1">
      <c r="A9" s="369" t="s">
        <v>1677</v>
      </c>
      <c r="B9" s="63" t="s">
        <v>1678</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68" t="s">
        <v>1679</v>
      </c>
      <c r="Q9" s="1343" t="str">
        <f t="shared" ref="Q9:Q14" si="6">B9</f>
        <v>用途</v>
      </c>
      <c r="R9" s="701" t="s">
        <v>14</v>
      </c>
      <c r="S9" s="702">
        <f t="shared" si="0"/>
        <v>100</v>
      </c>
      <c r="T9" s="701" t="s">
        <v>14</v>
      </c>
      <c r="U9" s="702">
        <f t="shared" si="1"/>
        <v>100</v>
      </c>
      <c r="V9" s="701" t="s">
        <v>14</v>
      </c>
      <c r="W9" s="702">
        <f t="shared" si="2"/>
        <v>100</v>
      </c>
      <c r="X9" s="703"/>
      <c r="Y9" s="3661" t="s">
        <v>1680</v>
      </c>
      <c r="Z9" s="52" t="str">
        <f t="shared" ref="Z9:Z14" si="7">Q9</f>
        <v>用途</v>
      </c>
      <c r="AA9" s="704">
        <f t="shared" si="3"/>
        <v>1</v>
      </c>
      <c r="AB9" s="704">
        <f t="shared" si="4"/>
        <v>1</v>
      </c>
      <c r="AC9" s="704">
        <f t="shared" si="5"/>
        <v>1</v>
      </c>
    </row>
    <row r="10" spans="1:29" s="378" customFormat="1" ht="27">
      <c r="A10" s="374"/>
      <c r="B10" s="375" t="s">
        <v>1681</v>
      </c>
      <c r="C10" s="3429"/>
      <c r="D10" s="127">
        <v>100</v>
      </c>
      <c r="E10" s="3429"/>
      <c r="F10" s="376">
        <f>SUMIF(53:53,E10,54:54)-SUMIF(53:53,C10,54:54)+100</f>
        <v>100</v>
      </c>
      <c r="G10" s="3429"/>
      <c r="H10" s="127">
        <f>SUMIF(53:53,G10,54:54)-SUMIF(53:53,C10,54:54)+100</f>
        <v>100</v>
      </c>
      <c r="I10" s="3429"/>
      <c r="J10" s="127">
        <f>SUMIF(53:53,I10,54:54)-SUMIF(53:53,C10,54:54)+100</f>
        <v>100</v>
      </c>
      <c r="K10" s="560"/>
      <c r="L10" s="2716"/>
      <c r="M10" s="2717"/>
      <c r="N10" s="2717"/>
      <c r="O10" s="2770"/>
      <c r="P10" s="3768"/>
      <c r="Q10" s="1343" t="str">
        <f t="shared" si="6"/>
        <v>土地使用年限（年）</v>
      </c>
      <c r="R10" s="701" t="s">
        <v>14</v>
      </c>
      <c r="S10" s="702">
        <f t="shared" si="0"/>
        <v>100</v>
      </c>
      <c r="T10" s="701" t="s">
        <v>14</v>
      </c>
      <c r="U10" s="702">
        <f t="shared" si="1"/>
        <v>100</v>
      </c>
      <c r="V10" s="701" t="s">
        <v>14</v>
      </c>
      <c r="W10" s="702">
        <f t="shared" si="2"/>
        <v>100</v>
      </c>
      <c r="X10" s="703"/>
      <c r="Y10" s="3661"/>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68"/>
      <c r="Q11" s="1343">
        <f t="shared" si="6"/>
        <v>111</v>
      </c>
      <c r="R11" s="701" t="s">
        <v>14</v>
      </c>
      <c r="S11" s="702">
        <f t="shared" si="0"/>
        <v>100</v>
      </c>
      <c r="T11" s="701" t="s">
        <v>14</v>
      </c>
      <c r="U11" s="702">
        <f t="shared" si="1"/>
        <v>100</v>
      </c>
      <c r="V11" s="701" t="s">
        <v>14</v>
      </c>
      <c r="W11" s="702">
        <f t="shared" si="2"/>
        <v>100</v>
      </c>
      <c r="X11" s="703"/>
      <c r="Y11" s="3661"/>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68"/>
      <c r="Q12" s="1343">
        <f t="shared" si="6"/>
        <v>111</v>
      </c>
      <c r="R12" s="701" t="s">
        <v>14</v>
      </c>
      <c r="S12" s="702">
        <f t="shared" si="0"/>
        <v>100</v>
      </c>
      <c r="T12" s="701" t="s">
        <v>14</v>
      </c>
      <c r="U12" s="702">
        <f t="shared" si="1"/>
        <v>100</v>
      </c>
      <c r="V12" s="701" t="s">
        <v>14</v>
      </c>
      <c r="W12" s="702">
        <f t="shared" si="2"/>
        <v>100</v>
      </c>
      <c r="X12" s="703"/>
      <c r="Y12" s="3661"/>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768"/>
      <c r="Q13" s="1343">
        <f t="shared" si="6"/>
        <v>111</v>
      </c>
      <c r="R13" s="701" t="s">
        <v>14</v>
      </c>
      <c r="S13" s="702">
        <f t="shared" si="0"/>
        <v>100</v>
      </c>
      <c r="T13" s="701" t="s">
        <v>14</v>
      </c>
      <c r="U13" s="702">
        <f t="shared" si="1"/>
        <v>100</v>
      </c>
      <c r="V13" s="701" t="s">
        <v>14</v>
      </c>
      <c r="W13" s="702">
        <f t="shared" si="2"/>
        <v>100</v>
      </c>
      <c r="X13" s="703"/>
      <c r="Y13" s="3661"/>
      <c r="Z13" s="52">
        <f t="shared" si="7"/>
        <v>111</v>
      </c>
      <c r="AA13" s="704">
        <f t="shared" si="3"/>
        <v>1</v>
      </c>
      <c r="AB13" s="704">
        <f t="shared" si="4"/>
        <v>1</v>
      </c>
      <c r="AC13" s="704">
        <f t="shared" si="5"/>
        <v>1</v>
      </c>
    </row>
    <row r="14" spans="1:29" ht="15">
      <c r="A14" s="391" t="s">
        <v>1683</v>
      </c>
      <c r="B14" s="61" t="s">
        <v>1826</v>
      </c>
      <c r="C14" s="1970"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70" t="s">
        <v>1684</v>
      </c>
      <c r="Q14" s="1352" t="str">
        <f t="shared" si="6"/>
        <v>交通便捷度</v>
      </c>
      <c r="R14" s="705" t="s">
        <v>14</v>
      </c>
      <c r="S14" s="706">
        <f t="shared" si="0"/>
        <v>100</v>
      </c>
      <c r="T14" s="705" t="s">
        <v>14</v>
      </c>
      <c r="U14" s="706">
        <f t="shared" si="1"/>
        <v>100</v>
      </c>
      <c r="V14" s="705" t="s">
        <v>14</v>
      </c>
      <c r="W14" s="706">
        <f t="shared" si="2"/>
        <v>100</v>
      </c>
      <c r="X14" s="1355"/>
      <c r="Y14" s="3770" t="s">
        <v>1684</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71"/>
      <c r="Q15" s="1352"/>
      <c r="R15" s="705"/>
      <c r="S15" s="706"/>
      <c r="T15" s="705"/>
      <c r="U15" s="706"/>
      <c r="V15" s="705"/>
      <c r="W15" s="706"/>
      <c r="X15" s="1355"/>
      <c r="Y15" s="3771"/>
      <c r="Z15" s="1356"/>
      <c r="AA15" s="1353">
        <v>1</v>
      </c>
      <c r="AB15" s="1353">
        <v>1</v>
      </c>
      <c r="AC15" s="1353">
        <v>1</v>
      </c>
    </row>
    <row r="16" spans="1:29" ht="15">
      <c r="A16" s="379"/>
      <c r="B16" s="402" t="s">
        <v>1805</v>
      </c>
      <c r="C16" s="1899"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71"/>
      <c r="Q16" s="1352" t="str">
        <f>B16</f>
        <v>公共配套设施</v>
      </c>
      <c r="R16" s="705" t="s">
        <v>14</v>
      </c>
      <c r="S16" s="706">
        <f>F16</f>
        <v>100</v>
      </c>
      <c r="T16" s="705" t="s">
        <v>14</v>
      </c>
      <c r="U16" s="706">
        <f>H16</f>
        <v>100</v>
      </c>
      <c r="V16" s="705" t="s">
        <v>14</v>
      </c>
      <c r="W16" s="706">
        <f>J16</f>
        <v>100</v>
      </c>
      <c r="X16" s="1355"/>
      <c r="Y16" s="3771"/>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19"/>
      <c r="M17" s="2713"/>
      <c r="N17" s="2713"/>
      <c r="O17" s="2771"/>
      <c r="P17" s="3771"/>
      <c r="Q17" s="1352"/>
      <c r="R17" s="705"/>
      <c r="S17" s="706"/>
      <c r="T17" s="705"/>
      <c r="U17" s="706"/>
      <c r="V17" s="705"/>
      <c r="W17" s="706"/>
      <c r="X17" s="1355"/>
      <c r="Y17" s="3771"/>
      <c r="Z17" s="1356"/>
      <c r="AA17" s="1353">
        <v>1</v>
      </c>
      <c r="AB17" s="1353">
        <v>1</v>
      </c>
      <c r="AC17" s="1353">
        <v>1</v>
      </c>
    </row>
    <row r="18" spans="1:29" ht="15">
      <c r="A18" s="379"/>
      <c r="B18" s="1131" t="s">
        <v>1806</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71"/>
      <c r="Q18" s="1352" t="str">
        <f>B18</f>
        <v>基础设施水平</v>
      </c>
      <c r="R18" s="705" t="s">
        <v>14</v>
      </c>
      <c r="S18" s="706">
        <f>F18</f>
        <v>100</v>
      </c>
      <c r="T18" s="705" t="s">
        <v>14</v>
      </c>
      <c r="U18" s="706">
        <f>H18</f>
        <v>100</v>
      </c>
      <c r="V18" s="705" t="s">
        <v>14</v>
      </c>
      <c r="W18" s="706">
        <f>J18</f>
        <v>100</v>
      </c>
      <c r="X18" s="1355"/>
      <c r="Y18" s="3771"/>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19"/>
      <c r="M19" s="2713"/>
      <c r="N19" s="2713"/>
      <c r="O19" s="2771"/>
      <c r="P19" s="3771"/>
      <c r="Q19" s="1352"/>
      <c r="R19" s="705"/>
      <c r="S19" s="706"/>
      <c r="T19" s="705"/>
      <c r="U19" s="706"/>
      <c r="V19" s="705"/>
      <c r="W19" s="706"/>
      <c r="X19" s="1355"/>
      <c r="Y19" s="3771"/>
      <c r="Z19" s="1356"/>
      <c r="AA19" s="1353">
        <v>1</v>
      </c>
      <c r="AB19" s="1353">
        <v>1</v>
      </c>
      <c r="AC19" s="1353">
        <v>1</v>
      </c>
    </row>
    <row r="20" spans="1:29" ht="15">
      <c r="A20" s="379"/>
      <c r="B20" s="402" t="s">
        <v>1827</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71"/>
      <c r="Q20" s="1352" t="str">
        <f>B20</f>
        <v>自然及人文环境</v>
      </c>
      <c r="R20" s="705" t="s">
        <v>14</v>
      </c>
      <c r="S20" s="706">
        <f>F20</f>
        <v>100</v>
      </c>
      <c r="T20" s="705" t="s">
        <v>14</v>
      </c>
      <c r="U20" s="706">
        <f>H20</f>
        <v>100</v>
      </c>
      <c r="V20" s="705" t="s">
        <v>14</v>
      </c>
      <c r="W20" s="706">
        <f>J20</f>
        <v>100</v>
      </c>
      <c r="X20" s="1355"/>
      <c r="Y20" s="377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71"/>
      <c r="Q21" s="1352"/>
      <c r="R21" s="705"/>
      <c r="S21" s="706"/>
      <c r="T21" s="705"/>
      <c r="U21" s="706"/>
      <c r="V21" s="705"/>
      <c r="W21" s="706"/>
      <c r="X21" s="1355"/>
      <c r="Y21" s="3771"/>
      <c r="Z21" s="1356"/>
      <c r="AA21" s="1353">
        <v>1</v>
      </c>
      <c r="AB21" s="1353">
        <v>1</v>
      </c>
      <c r="AC21" s="1353">
        <v>1</v>
      </c>
    </row>
    <row r="22" spans="1:29" ht="15">
      <c r="A22" s="379"/>
      <c r="B22" s="402" t="s">
        <v>1828</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71"/>
      <c r="Q22" s="1352" t="str">
        <f>B22</f>
        <v>楼层</v>
      </c>
      <c r="R22" s="705" t="s">
        <v>14</v>
      </c>
      <c r="S22" s="706">
        <f>F22</f>
        <v>100</v>
      </c>
      <c r="T22" s="705" t="s">
        <v>14</v>
      </c>
      <c r="U22" s="706">
        <f>H22</f>
        <v>100</v>
      </c>
      <c r="V22" s="705" t="s">
        <v>14</v>
      </c>
      <c r="W22" s="706">
        <f>J22</f>
        <v>100</v>
      </c>
      <c r="X22" s="1355"/>
      <c r="Y22" s="3771"/>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71"/>
      <c r="Q23" s="1352">
        <f>B23</f>
        <v>111</v>
      </c>
      <c r="R23" s="705" t="s">
        <v>14</v>
      </c>
      <c r="S23" s="706">
        <f>F23</f>
        <v>100</v>
      </c>
      <c r="T23" s="705" t="s">
        <v>14</v>
      </c>
      <c r="U23" s="706">
        <f>H23</f>
        <v>100</v>
      </c>
      <c r="V23" s="705" t="s">
        <v>14</v>
      </c>
      <c r="W23" s="706">
        <f>J23</f>
        <v>100</v>
      </c>
      <c r="X23" s="1355"/>
      <c r="Y23" s="3771"/>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71"/>
      <c r="Q24" s="1352">
        <f t="shared" ref="Q24:Q34" si="11">B24</f>
        <v>111</v>
      </c>
      <c r="R24" s="705" t="s">
        <v>14</v>
      </c>
      <c r="S24" s="706">
        <f>F24</f>
        <v>100</v>
      </c>
      <c r="T24" s="705" t="s">
        <v>14</v>
      </c>
      <c r="U24" s="706">
        <f>H24</f>
        <v>100</v>
      </c>
      <c r="V24" s="705" t="s">
        <v>14</v>
      </c>
      <c r="W24" s="706">
        <f>J24</f>
        <v>100</v>
      </c>
      <c r="X24" s="1355"/>
      <c r="Y24" s="3771"/>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771"/>
      <c r="Q25" s="1343">
        <f t="shared" si="11"/>
        <v>111</v>
      </c>
      <c r="R25" s="701" t="s">
        <v>14</v>
      </c>
      <c r="S25" s="702">
        <f>F25</f>
        <v>100</v>
      </c>
      <c r="T25" s="701" t="s">
        <v>14</v>
      </c>
      <c r="U25" s="702">
        <f>H25</f>
        <v>100</v>
      </c>
      <c r="V25" s="701" t="s">
        <v>14</v>
      </c>
      <c r="W25" s="702">
        <f>J25</f>
        <v>100</v>
      </c>
      <c r="X25" s="703"/>
      <c r="Y25" s="3771"/>
      <c r="Z25" s="52">
        <f>Q25</f>
        <v>111</v>
      </c>
      <c r="AA25" s="1353">
        <f>D25/F25</f>
        <v>1</v>
      </c>
      <c r="AB25" s="1353">
        <f>D25/H25</f>
        <v>1</v>
      </c>
      <c r="AC25" s="1353">
        <f>D25/J25</f>
        <v>1</v>
      </c>
    </row>
    <row r="26" spans="1:29" ht="28.5">
      <c r="A26" s="417" t="s">
        <v>1687</v>
      </c>
      <c r="B26" s="63" t="s">
        <v>1831</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794" t="s">
        <v>1689</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75" t="s">
        <v>1689</v>
      </c>
      <c r="Z26" s="1356" t="str">
        <f t="shared" ref="Z26:Z34" si="15">Q26</f>
        <v>公共部分装修</v>
      </c>
      <c r="AA26" s="1353">
        <f t="shared" si="3"/>
        <v>1</v>
      </c>
      <c r="AB26" s="1353">
        <f t="shared" si="4"/>
        <v>1</v>
      </c>
      <c r="AC26" s="1353">
        <f t="shared" si="5"/>
        <v>1</v>
      </c>
    </row>
    <row r="27" spans="1:29" s="422" customFormat="1" ht="15">
      <c r="A27" s="419"/>
      <c r="B27" s="375" t="s">
        <v>1832</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75"/>
      <c r="Q27" s="707" t="str">
        <f t="shared" si="11"/>
        <v>成新率</v>
      </c>
      <c r="R27" s="708" t="s">
        <v>14</v>
      </c>
      <c r="S27" s="709" t="e">
        <f t="shared" si="12"/>
        <v>#N/A</v>
      </c>
      <c r="T27" s="708" t="s">
        <v>14</v>
      </c>
      <c r="U27" s="709" t="e">
        <f t="shared" si="13"/>
        <v>#N/A</v>
      </c>
      <c r="V27" s="708" t="s">
        <v>14</v>
      </c>
      <c r="W27" s="709" t="e">
        <f t="shared" si="14"/>
        <v>#N/A</v>
      </c>
      <c r="X27" s="710"/>
      <c r="Y27" s="3775"/>
      <c r="Z27" s="711" t="str">
        <f t="shared" si="15"/>
        <v>成新率</v>
      </c>
      <c r="AA27" s="1353" t="e">
        <f t="shared" si="3"/>
        <v>#N/A</v>
      </c>
      <c r="AB27" s="1353" t="e">
        <f t="shared" si="4"/>
        <v>#N/A</v>
      </c>
      <c r="AC27" s="1353" t="e">
        <f t="shared" si="5"/>
        <v>#N/A</v>
      </c>
    </row>
    <row r="28" spans="1:29" ht="15">
      <c r="A28" s="423"/>
      <c r="B28" s="375" t="s">
        <v>1833</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75"/>
      <c r="Q28" s="1352" t="str">
        <f t="shared" si="11"/>
        <v>物业等级</v>
      </c>
      <c r="R28" s="705" t="s">
        <v>14</v>
      </c>
      <c r="S28" s="706">
        <f t="shared" si="12"/>
        <v>100</v>
      </c>
      <c r="T28" s="705" t="s">
        <v>14</v>
      </c>
      <c r="U28" s="706">
        <f t="shared" si="13"/>
        <v>100</v>
      </c>
      <c r="V28" s="705" t="s">
        <v>14</v>
      </c>
      <c r="W28" s="706">
        <f t="shared" si="14"/>
        <v>100</v>
      </c>
      <c r="X28" s="1355"/>
      <c r="Y28" s="3775"/>
      <c r="Z28" s="1356" t="str">
        <f t="shared" si="15"/>
        <v>物业等级</v>
      </c>
      <c r="AA28" s="1353">
        <f t="shared" si="3"/>
        <v>1</v>
      </c>
      <c r="AB28" s="1353">
        <f t="shared" si="4"/>
        <v>1</v>
      </c>
      <c r="AC28" s="1353">
        <f t="shared" si="5"/>
        <v>1</v>
      </c>
    </row>
    <row r="29" spans="1:29" ht="15">
      <c r="A29" s="423"/>
      <c r="B29" s="375" t="s">
        <v>1853</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75"/>
      <c r="Q29" s="1352" t="str">
        <f t="shared" si="11"/>
        <v>有无电梯</v>
      </c>
      <c r="R29" s="705" t="s">
        <v>14</v>
      </c>
      <c r="S29" s="706">
        <f t="shared" si="12"/>
        <v>100</v>
      </c>
      <c r="T29" s="705" t="s">
        <v>14</v>
      </c>
      <c r="U29" s="706">
        <f t="shared" si="13"/>
        <v>100</v>
      </c>
      <c r="V29" s="705" t="s">
        <v>14</v>
      </c>
      <c r="W29" s="706">
        <f t="shared" si="14"/>
        <v>100</v>
      </c>
      <c r="X29" s="1355"/>
      <c r="Y29" s="3775"/>
      <c r="Z29" s="1356" t="str">
        <f t="shared" si="15"/>
        <v>有无电梯</v>
      </c>
      <c r="AA29" s="1353">
        <f t="shared" si="3"/>
        <v>1</v>
      </c>
      <c r="AB29" s="1353">
        <f t="shared" si="4"/>
        <v>1</v>
      </c>
      <c r="AC29" s="1353">
        <f t="shared" si="5"/>
        <v>1</v>
      </c>
    </row>
    <row r="30" spans="1:29" ht="15">
      <c r="A30" s="423"/>
      <c r="B30" s="375" t="s">
        <v>1854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75"/>
      <c r="Q30" s="1352" t="str">
        <f t="shared" si="11"/>
        <v>建筑面积</v>
      </c>
      <c r="R30" s="705" t="s">
        <v>14</v>
      </c>
      <c r="S30" s="706" t="e">
        <f t="shared" si="12"/>
        <v>#N/A</v>
      </c>
      <c r="T30" s="705" t="s">
        <v>14</v>
      </c>
      <c r="U30" s="706" t="e">
        <f t="shared" si="13"/>
        <v>#N/A</v>
      </c>
      <c r="V30" s="705" t="s">
        <v>14</v>
      </c>
      <c r="W30" s="706" t="e">
        <f t="shared" si="14"/>
        <v>#N/A</v>
      </c>
      <c r="X30" s="1355"/>
      <c r="Y30" s="3775"/>
      <c r="Z30" s="1356" t="str">
        <f t="shared" si="15"/>
        <v>建筑面积</v>
      </c>
      <c r="AA30" s="1353" t="e">
        <f t="shared" si="3"/>
        <v>#N/A</v>
      </c>
      <c r="AB30" s="1353" t="e">
        <f t="shared" si="4"/>
        <v>#N/A</v>
      </c>
      <c r="AC30" s="1353" t="e">
        <f t="shared" si="5"/>
        <v>#N/A</v>
      </c>
    </row>
    <row r="31" spans="1:29" s="108" customFormat="1" ht="15">
      <c r="A31" s="424"/>
      <c r="B31" s="375" t="s">
        <v>1855</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75"/>
      <c r="Q31" s="1343" t="str">
        <f t="shared" si="11"/>
        <v>是否封闭</v>
      </c>
      <c r="R31" s="701" t="s">
        <v>14</v>
      </c>
      <c r="S31" s="702">
        <f t="shared" si="12"/>
        <v>100</v>
      </c>
      <c r="T31" s="701" t="s">
        <v>14</v>
      </c>
      <c r="U31" s="702">
        <f t="shared" si="13"/>
        <v>100</v>
      </c>
      <c r="V31" s="701" t="s">
        <v>14</v>
      </c>
      <c r="W31" s="702">
        <f t="shared" si="14"/>
        <v>100</v>
      </c>
      <c r="X31" s="703"/>
      <c r="Y31" s="3775"/>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75" t="s">
        <v>1689</v>
      </c>
      <c r="Q32" s="1352">
        <f t="shared" si="11"/>
        <v>111</v>
      </c>
      <c r="R32" s="705" t="s">
        <v>14</v>
      </c>
      <c r="S32" s="706">
        <f t="shared" si="12"/>
        <v>100</v>
      </c>
      <c r="T32" s="705" t="s">
        <v>14</v>
      </c>
      <c r="U32" s="706">
        <f t="shared" si="13"/>
        <v>100</v>
      </c>
      <c r="V32" s="705" t="s">
        <v>14</v>
      </c>
      <c r="W32" s="706">
        <f t="shared" si="14"/>
        <v>100</v>
      </c>
      <c r="X32" s="1355"/>
      <c r="Y32" s="3775" t="s">
        <v>1689</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75"/>
      <c r="Q33" s="1352">
        <f t="shared" si="11"/>
        <v>111</v>
      </c>
      <c r="R33" s="705" t="s">
        <v>14</v>
      </c>
      <c r="S33" s="706">
        <f t="shared" si="12"/>
        <v>100</v>
      </c>
      <c r="T33" s="705" t="s">
        <v>14</v>
      </c>
      <c r="U33" s="706">
        <f t="shared" si="13"/>
        <v>100</v>
      </c>
      <c r="V33" s="705" t="s">
        <v>14</v>
      </c>
      <c r="W33" s="706">
        <f t="shared" si="14"/>
        <v>100</v>
      </c>
      <c r="X33" s="1355"/>
      <c r="Y33" s="3775"/>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775"/>
      <c r="Q34" s="1352">
        <f t="shared" si="11"/>
        <v>111</v>
      </c>
      <c r="R34" s="705" t="s">
        <v>14</v>
      </c>
      <c r="S34" s="706">
        <f t="shared" si="12"/>
        <v>100</v>
      </c>
      <c r="T34" s="705" t="s">
        <v>14</v>
      </c>
      <c r="U34" s="706">
        <f t="shared" si="13"/>
        <v>100</v>
      </c>
      <c r="V34" s="705" t="s">
        <v>14</v>
      </c>
      <c r="W34" s="706">
        <f t="shared" si="14"/>
        <v>100</v>
      </c>
      <c r="X34" s="1355"/>
      <c r="Y34" s="3775"/>
      <c r="Z34" s="1356">
        <f t="shared" si="15"/>
        <v>111</v>
      </c>
      <c r="AA34" s="1353">
        <f t="shared" si="3"/>
        <v>1</v>
      </c>
      <c r="AB34" s="1353">
        <f t="shared" si="4"/>
        <v>1</v>
      </c>
      <c r="AC34" s="1353">
        <f t="shared" si="5"/>
        <v>1</v>
      </c>
    </row>
    <row r="35" spans="1:30" ht="15">
      <c r="A35" s="430" t="s">
        <v>1701</v>
      </c>
      <c r="B35" s="431"/>
      <c r="C35" s="1154" t="s">
        <v>0</v>
      </c>
      <c r="D35" s="1155"/>
      <c r="E35" s="1156"/>
      <c r="F35" s="1157"/>
      <c r="G35" s="1158"/>
      <c r="H35" s="1159"/>
      <c r="I35" s="1156"/>
      <c r="J35" s="1159"/>
      <c r="K35" s="714"/>
      <c r="L35" s="2721"/>
      <c r="M35" s="2722"/>
      <c r="N35" s="2713"/>
      <c r="O35" s="2722"/>
      <c r="P35" s="3768" t="str">
        <f>A35</f>
        <v>成交单价（元/平方米）</v>
      </c>
      <c r="Q35" s="3768"/>
      <c r="R35" s="3769">
        <f>E35</f>
        <v>0</v>
      </c>
      <c r="S35" s="3769"/>
      <c r="T35" s="3769">
        <f>G35</f>
        <v>0</v>
      </c>
      <c r="U35" s="3769"/>
      <c r="V35" s="3769">
        <f>I35</f>
        <v>0</v>
      </c>
      <c r="W35" s="3769"/>
      <c r="X35" s="690"/>
      <c r="Y35" s="712"/>
      <c r="Z35" s="690"/>
      <c r="AA35" s="690"/>
      <c r="AB35" s="690"/>
      <c r="AC35" s="690"/>
    </row>
    <row r="36" spans="1:30" ht="15.75" thickBot="1">
      <c r="A36" s="437" t="s">
        <v>1786</v>
      </c>
      <c r="B36" s="438"/>
      <c r="C36" s="1160" t="e">
        <f>R37</f>
        <v>#DIV/0!</v>
      </c>
      <c r="D36" s="2316" t="s">
        <v>2131</v>
      </c>
      <c r="E36" s="1161" t="e">
        <f>R36</f>
        <v>#DIV/0!</v>
      </c>
      <c r="F36" s="2317"/>
      <c r="G36" s="1160" t="e">
        <f>T36</f>
        <v>#DIV/0!</v>
      </c>
      <c r="H36" s="2317"/>
      <c r="I36" s="1161" t="e">
        <f>V36</f>
        <v>#DIV/0!</v>
      </c>
      <c r="J36" s="2317"/>
      <c r="K36" s="2319">
        <f>F36+H36+J36</f>
        <v>0</v>
      </c>
      <c r="L36" s="2721"/>
      <c r="M36" s="2722"/>
      <c r="N36" s="2713"/>
      <c r="O36" s="2722"/>
      <c r="P36" s="3768" t="str">
        <f>A36</f>
        <v>比较价值（元/平方米）</v>
      </c>
      <c r="Q36" s="3768"/>
      <c r="R36" s="3769" t="e">
        <f>IF(F1="售价",ROUND(PRODUCT(R35,AA7:AA34),0),ROUND(PRODUCT(R35,AA7:AA34),1))</f>
        <v>#DIV/0!</v>
      </c>
      <c r="S36" s="3769"/>
      <c r="T36" s="3769" t="e">
        <f>IF(F1="售价",ROUND(PRODUCT(T35,AB7:AB34),0),ROUND(PRODUCT(T35,AB7:AB34),1))</f>
        <v>#DIV/0!</v>
      </c>
      <c r="U36" s="3769"/>
      <c r="V36" s="3769" t="e">
        <f>IF(F1="售价",ROUND(PRODUCT(V35,AC7:AC34),0),ROUND(PRODUCT(V35,AC7:AC34),1))</f>
        <v>#DIV/0!</v>
      </c>
      <c r="W36" s="3769"/>
      <c r="X36" s="690"/>
      <c r="Y36" s="690"/>
      <c r="Z36" s="690"/>
      <c r="AA36" s="690"/>
      <c r="AB36" s="690"/>
      <c r="AC36" s="690"/>
    </row>
    <row r="37" spans="1:30" ht="15.75" thickBot="1">
      <c r="A37" s="441" t="s">
        <v>1787</v>
      </c>
      <c r="B37" s="442"/>
      <c r="C37" s="1163" t="e">
        <f>R37</f>
        <v>#DIV/0!</v>
      </c>
      <c r="D37" s="1163"/>
      <c r="E37" s="1163"/>
      <c r="F37" s="1163"/>
      <c r="G37" s="1163"/>
      <c r="H37" s="1163"/>
      <c r="I37" s="1163"/>
      <c r="J37" s="1163"/>
      <c r="K37" s="715"/>
      <c r="L37" s="2721"/>
      <c r="M37" s="2722"/>
      <c r="N37" s="2722"/>
      <c r="O37" s="2722"/>
      <c r="P37" s="3765" t="str">
        <f>A37</f>
        <v>估价对象XX用房的比较价值（楼面单价，元/平方米）</v>
      </c>
      <c r="Q37" s="3766"/>
      <c r="R37" s="3795" t="e">
        <f>IF(F1="售价",ROUND(IF(D36="简单平均",AVERAGE(R36:W36),R36*F36+T36*H36+V36*J36),0),ROUND(IF(D36="简单平均",AVERAGE(R36:V36),R36*F36+T36*H36+V36*J36),1))</f>
        <v>#DIV/0!</v>
      </c>
      <c r="S37" s="3795"/>
      <c r="T37" s="3795"/>
      <c r="U37" s="3795"/>
      <c r="V37" s="3795"/>
      <c r="W37" s="3795"/>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1788</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1789</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1790</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1791</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1672</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1709</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1674</v>
      </c>
      <c r="B49" s="459"/>
      <c r="C49" s="471" t="s">
        <v>1769</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1712</v>
      </c>
      <c r="B51" s="477" t="s">
        <v>1678</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1681</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1683</v>
      </c>
      <c r="B61" s="477" t="s">
        <v>1719</v>
      </c>
      <c r="C61" s="522" t="s">
        <v>1714</v>
      </c>
      <c r="D61" s="522" t="s">
        <v>1715</v>
      </c>
      <c r="E61" s="522" t="s">
        <v>1716</v>
      </c>
      <c r="F61" s="522" t="s">
        <v>1717</v>
      </c>
      <c r="G61" s="522" t="s">
        <v>1718</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1856</v>
      </c>
      <c r="C63" s="527" t="s">
        <v>1714</v>
      </c>
      <c r="D63" s="527" t="s">
        <v>1715</v>
      </c>
      <c r="E63" s="527" t="s">
        <v>1716</v>
      </c>
      <c r="F63" s="527" t="s">
        <v>1717</v>
      </c>
      <c r="G63" s="527" t="s">
        <v>1718</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1806</v>
      </c>
      <c r="C65" s="608" t="s">
        <v>1792</v>
      </c>
      <c r="D65" s="608" t="s">
        <v>1793</v>
      </c>
      <c r="E65" s="608" t="s">
        <v>1794</v>
      </c>
      <c r="F65" s="608" t="s">
        <v>1795</v>
      </c>
      <c r="G65" s="608" t="s">
        <v>1796</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1726</v>
      </c>
      <c r="C67" s="527" t="s">
        <v>1714</v>
      </c>
      <c r="D67" s="527" t="s">
        <v>1715</v>
      </c>
      <c r="E67" s="527" t="s">
        <v>1716</v>
      </c>
      <c r="F67" s="527" t="s">
        <v>1717</v>
      </c>
      <c r="G67" s="527" t="s">
        <v>1718</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1845</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1687</v>
      </c>
      <c r="B77" s="477" t="s">
        <v>1733</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1848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1849</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1857</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1858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1859</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1860</v>
      </c>
      <c r="B1" s="349"/>
      <c r="C1" s="350" t="s">
        <v>1861</v>
      </c>
      <c r="D1" s="686"/>
      <c r="E1" s="686"/>
      <c r="F1" s="685" t="s">
        <v>1760</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1455</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1457</v>
      </c>
      <c r="B3" s="558" t="e">
        <f>ROUND(IF(D3="",B2*10000/'数据-汇总表'!E3,B2*10000/D3),0)</f>
        <v>#DIV/0!</v>
      </c>
      <c r="C3" s="203" t="s">
        <v>1862</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1762</v>
      </c>
      <c r="B4" s="356"/>
      <c r="C4" s="3751" t="s">
        <v>1763</v>
      </c>
      <c r="D4" s="3752"/>
      <c r="E4" s="3753" t="s">
        <v>1764</v>
      </c>
      <c r="F4" s="3754"/>
      <c r="G4" s="3751" t="s">
        <v>1765</v>
      </c>
      <c r="H4" s="3752"/>
      <c r="I4" s="3751" t="s">
        <v>1766</v>
      </c>
      <c r="J4" s="3752"/>
      <c r="K4" s="559" t="s">
        <v>1767</v>
      </c>
      <c r="L4" s="2712"/>
      <c r="M4" s="2713"/>
      <c r="N4" s="2713"/>
      <c r="O4" s="2713"/>
      <c r="P4" s="3755" t="s">
        <v>1768</v>
      </c>
      <c r="Q4" s="3756"/>
      <c r="R4" s="3738" t="s">
        <v>1764</v>
      </c>
      <c r="S4" s="3739"/>
      <c r="T4" s="3738" t="s">
        <v>1765</v>
      </c>
      <c r="U4" s="3739"/>
      <c r="V4" s="3763" t="s">
        <v>1766</v>
      </c>
      <c r="W4" s="3763"/>
      <c r="X4" s="1355"/>
      <c r="Y4" s="3738" t="s">
        <v>1768</v>
      </c>
      <c r="Z4" s="3739"/>
      <c r="AA4" s="3733" t="s">
        <v>1764</v>
      </c>
      <c r="AB4" s="3734" t="s">
        <v>1765</v>
      </c>
      <c r="AC4" s="3733" t="s">
        <v>1766</v>
      </c>
    </row>
    <row r="5" spans="1:30" ht="15">
      <c r="A5" s="358"/>
      <c r="B5" s="359"/>
      <c r="C5" s="3744" t="s">
        <v>1666</v>
      </c>
      <c r="D5" s="3745"/>
      <c r="E5" s="3742" t="s">
        <v>1667</v>
      </c>
      <c r="F5" s="3743"/>
      <c r="G5" s="3744" t="s">
        <v>1668</v>
      </c>
      <c r="H5" s="3745"/>
      <c r="I5" s="3744" t="s">
        <v>1669</v>
      </c>
      <c r="J5" s="3745"/>
      <c r="K5" s="559"/>
      <c r="L5" s="2712"/>
      <c r="M5" s="2713"/>
      <c r="N5" s="2713"/>
      <c r="O5" s="2713"/>
      <c r="P5" s="3757"/>
      <c r="Q5" s="3758"/>
      <c r="R5" s="3740"/>
      <c r="S5" s="3741"/>
      <c r="T5" s="3740"/>
      <c r="U5" s="3741"/>
      <c r="V5" s="3763"/>
      <c r="W5" s="3763"/>
      <c r="X5" s="1355"/>
      <c r="Y5" s="3740"/>
      <c r="Z5" s="3741"/>
      <c r="AA5" s="3734"/>
      <c r="AB5" s="3734"/>
      <c r="AC5" s="3734"/>
    </row>
    <row r="6" spans="1:30" ht="15.75" thickBot="1">
      <c r="A6" s="360"/>
      <c r="B6" s="361"/>
      <c r="C6" s="3746" t="s">
        <v>1670</v>
      </c>
      <c r="D6" s="3747"/>
      <c r="E6" s="3748" t="s">
        <v>1670</v>
      </c>
      <c r="F6" s="3749"/>
      <c r="G6" s="3746" t="s">
        <v>1670</v>
      </c>
      <c r="H6" s="3747"/>
      <c r="I6" s="3746" t="s">
        <v>1670</v>
      </c>
      <c r="J6" s="3747"/>
      <c r="K6" s="559" t="s">
        <v>1671</v>
      </c>
      <c r="L6" s="2712"/>
      <c r="M6" s="2713"/>
      <c r="N6" s="2713"/>
      <c r="O6" s="2713"/>
      <c r="P6" s="3759"/>
      <c r="Q6" s="3760"/>
      <c r="R6" s="3740"/>
      <c r="S6" s="3741"/>
      <c r="T6" s="3761"/>
      <c r="U6" s="3762"/>
      <c r="V6" s="3763"/>
      <c r="W6" s="3763"/>
      <c r="X6" s="1355"/>
      <c r="Y6" s="3761"/>
      <c r="Z6" s="3762"/>
      <c r="AA6" s="3735"/>
      <c r="AB6" s="3735"/>
      <c r="AC6" s="3735"/>
    </row>
    <row r="7" spans="1:30" s="108" customFormat="1" ht="15.75" thickBot="1">
      <c r="A7" s="362" t="s">
        <v>1672</v>
      </c>
      <c r="B7" s="363"/>
      <c r="C7" s="364">
        <f>'数据-取费表'!B2</f>
        <v>45352</v>
      </c>
      <c r="D7" s="365">
        <v>100</v>
      </c>
      <c r="E7" s="366"/>
      <c r="F7" s="367">
        <f>SUMIF(69:69,YEAR(E7)&amp;"-"&amp;INT((MONTH(E7)+2)/3),70:70)</f>
        <v>0</v>
      </c>
      <c r="G7" s="1973"/>
      <c r="H7" s="365">
        <f>SUMIF(69:69,YEAR(G7)&amp;"-"&amp;INT((MONTH(G7)+2)/3),70:70)</f>
        <v>0</v>
      </c>
      <c r="I7" s="1973"/>
      <c r="J7" s="365">
        <f>SUMIF(69:69,YEAR(I7)&amp;"-"&amp;INT((MONTH(I7)+2)/3),70:70)</f>
        <v>0</v>
      </c>
      <c r="K7" s="560"/>
      <c r="L7" s="2714"/>
      <c r="M7" s="2715"/>
      <c r="N7" s="2715"/>
      <c r="O7" s="2715"/>
      <c r="P7" s="3736" t="s">
        <v>1673</v>
      </c>
      <c r="Q7" s="3764"/>
      <c r="R7" s="701" t="s">
        <v>14</v>
      </c>
      <c r="S7" s="702">
        <f t="shared" ref="S7:S15" si="0">F7</f>
        <v>0</v>
      </c>
      <c r="T7" s="701" t="s">
        <v>14</v>
      </c>
      <c r="U7" s="702">
        <f t="shared" ref="U7:U15" si="1">H7</f>
        <v>0</v>
      </c>
      <c r="V7" s="701" t="s">
        <v>14</v>
      </c>
      <c r="W7" s="702">
        <f t="shared" ref="W7:W15" si="2">J7</f>
        <v>0</v>
      </c>
      <c r="X7" s="703"/>
      <c r="Y7" s="3736" t="s">
        <v>1673</v>
      </c>
      <c r="Z7" s="3737"/>
      <c r="AA7" s="704" t="e">
        <f>D7/F7</f>
        <v>#DIV/0!</v>
      </c>
      <c r="AB7" s="704" t="e">
        <f>D7/H7</f>
        <v>#DIV/0!</v>
      </c>
      <c r="AC7" s="704" t="e">
        <f>D7/J7</f>
        <v>#DIV/0!</v>
      </c>
    </row>
    <row r="8" spans="1:30" s="108" customFormat="1" ht="15.75" thickBot="1">
      <c r="A8" s="362" t="s">
        <v>1674</v>
      </c>
      <c r="B8" s="363"/>
      <c r="C8" s="368" t="s">
        <v>1675</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36" t="s">
        <v>1676</v>
      </c>
      <c r="Q8" s="3737"/>
      <c r="R8" s="701" t="s">
        <v>14</v>
      </c>
      <c r="S8" s="702">
        <f t="shared" si="0"/>
        <v>0</v>
      </c>
      <c r="T8" s="701" t="s">
        <v>14</v>
      </c>
      <c r="U8" s="702">
        <f t="shared" si="1"/>
        <v>0</v>
      </c>
      <c r="V8" s="701" t="s">
        <v>14</v>
      </c>
      <c r="W8" s="702">
        <f t="shared" si="2"/>
        <v>0</v>
      </c>
      <c r="X8" s="703"/>
      <c r="Y8" s="3736" t="s">
        <v>1676</v>
      </c>
      <c r="Z8" s="3737"/>
      <c r="AA8" s="704" t="e">
        <f t="shared" ref="AA8:AA45" si="3">D8/F8</f>
        <v>#DIV/0!</v>
      </c>
      <c r="AB8" s="704" t="e">
        <f t="shared" ref="AB8:AB45" si="4">D8/H8</f>
        <v>#DIV/0!</v>
      </c>
      <c r="AC8" s="704" t="e">
        <f t="shared" ref="AC8:AC45" si="5">D8/J8</f>
        <v>#DIV/0!</v>
      </c>
    </row>
    <row r="9" spans="1:30" s="108" customFormat="1">
      <c r="A9" s="369" t="s">
        <v>1677</v>
      </c>
      <c r="B9" s="63" t="s">
        <v>1678</v>
      </c>
      <c r="C9" s="1976"/>
      <c r="D9" s="126">
        <v>100</v>
      </c>
      <c r="E9" s="1976"/>
      <c r="F9" s="126">
        <f>SUMIF(74:74,E9,75:75)-SUMIF(74:74,C9,75:75)+100</f>
        <v>100</v>
      </c>
      <c r="G9" s="1976"/>
      <c r="H9" s="126">
        <f>SUMIF(74:74,G9,75:75)-SUMIF(74:74,C9,75:75)+100</f>
        <v>100</v>
      </c>
      <c r="I9" s="1976"/>
      <c r="J9" s="126">
        <f>SUMIF(74:74,I9,75:75)-SUMIF(74:74,C9,75:75)+100</f>
        <v>100</v>
      </c>
      <c r="K9" s="560"/>
      <c r="L9" s="2714"/>
      <c r="M9" s="2715"/>
      <c r="N9" s="2715"/>
      <c r="O9" s="2769"/>
      <c r="P9" s="3768" t="s">
        <v>1679</v>
      </c>
      <c r="Q9" s="1343" t="str">
        <f t="shared" ref="Q9:Q15" si="6">B9</f>
        <v>用途</v>
      </c>
      <c r="R9" s="701" t="s">
        <v>14</v>
      </c>
      <c r="S9" s="702">
        <f t="shared" si="0"/>
        <v>100</v>
      </c>
      <c r="T9" s="701" t="s">
        <v>14</v>
      </c>
      <c r="U9" s="702">
        <f t="shared" si="1"/>
        <v>100</v>
      </c>
      <c r="V9" s="701" t="s">
        <v>14</v>
      </c>
      <c r="W9" s="702">
        <f t="shared" si="2"/>
        <v>100</v>
      </c>
      <c r="X9" s="703"/>
      <c r="Y9" s="3661" t="s">
        <v>1680</v>
      </c>
      <c r="Z9" s="52" t="str">
        <f t="shared" ref="Z9:Z15" si="7">Q9</f>
        <v>用途</v>
      </c>
      <c r="AA9" s="704">
        <f t="shared" si="3"/>
        <v>1</v>
      </c>
      <c r="AB9" s="704">
        <f t="shared" si="4"/>
        <v>1</v>
      </c>
      <c r="AC9" s="704">
        <f t="shared" si="5"/>
        <v>1</v>
      </c>
    </row>
    <row r="10" spans="1:30" s="378" customFormat="1" ht="27">
      <c r="A10" s="374"/>
      <c r="B10" s="375" t="s">
        <v>1681</v>
      </c>
      <c r="C10" s="383"/>
      <c r="D10" s="127">
        <v>100</v>
      </c>
      <c r="E10" s="416"/>
      <c r="F10" s="127">
        <f>ROUND(100/'数据-取费表'!G16,0)</f>
        <v>116</v>
      </c>
      <c r="G10" s="414"/>
      <c r="H10" s="127">
        <f>ROUND(100/'数据-取费表'!G16,0)</f>
        <v>116</v>
      </c>
      <c r="I10" s="414"/>
      <c r="J10" s="127">
        <f>ROUND(100/'数据-取费表'!G16,0)</f>
        <v>116</v>
      </c>
      <c r="K10" s="620"/>
      <c r="L10" s="2716"/>
      <c r="M10" s="2717"/>
      <c r="N10" s="2717"/>
      <c r="O10" s="2770"/>
      <c r="P10" s="3768"/>
      <c r="Q10" s="1343" t="str">
        <f t="shared" si="6"/>
        <v>土地使用年限（年）</v>
      </c>
      <c r="R10" s="701" t="s">
        <v>14</v>
      </c>
      <c r="S10" s="702">
        <f t="shared" si="0"/>
        <v>116</v>
      </c>
      <c r="T10" s="701" t="s">
        <v>14</v>
      </c>
      <c r="U10" s="702">
        <f t="shared" si="1"/>
        <v>116</v>
      </c>
      <c r="V10" s="701" t="s">
        <v>14</v>
      </c>
      <c r="W10" s="702">
        <f t="shared" si="2"/>
        <v>116</v>
      </c>
      <c r="X10" s="703"/>
      <c r="Y10" s="3661"/>
      <c r="Z10" s="52" t="str">
        <f t="shared" si="7"/>
        <v>土地使用年限（年）</v>
      </c>
      <c r="AA10" s="704">
        <f t="shared" si="3"/>
        <v>0.86206896551724133</v>
      </c>
      <c r="AB10" s="704">
        <f t="shared" si="4"/>
        <v>0.86206896551724133</v>
      </c>
      <c r="AC10" s="704">
        <f t="shared" si="5"/>
        <v>0.86206896551724133</v>
      </c>
    </row>
    <row r="11" spans="1:30" ht="15">
      <c r="A11" s="379"/>
      <c r="B11" s="375" t="s">
        <v>1682</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68"/>
      <c r="Q11" s="1343" t="str">
        <f t="shared" si="6"/>
        <v>容积率</v>
      </c>
      <c r="R11" s="701" t="s">
        <v>14</v>
      </c>
      <c r="S11" s="702" t="e">
        <f t="shared" si="0"/>
        <v>#N/A</v>
      </c>
      <c r="T11" s="701" t="s">
        <v>14</v>
      </c>
      <c r="U11" s="702" t="e">
        <f t="shared" si="1"/>
        <v>#N/A</v>
      </c>
      <c r="V11" s="701" t="s">
        <v>14</v>
      </c>
      <c r="W11" s="702" t="e">
        <f t="shared" si="2"/>
        <v>#N/A</v>
      </c>
      <c r="X11" s="703"/>
      <c r="Y11" s="3661"/>
      <c r="Z11" s="52" t="str">
        <f t="shared" si="7"/>
        <v>容积率</v>
      </c>
      <c r="AA11" s="704" t="e">
        <f t="shared" si="3"/>
        <v>#N/A</v>
      </c>
      <c r="AB11" s="704" t="e">
        <f t="shared" si="4"/>
        <v>#N/A</v>
      </c>
      <c r="AC11" s="704" t="e">
        <f t="shared" si="5"/>
        <v>#N/A</v>
      </c>
    </row>
    <row r="12" spans="1:30" s="108" customFormat="1" ht="15">
      <c r="A12" s="382"/>
      <c r="B12" s="1892" t="s">
        <v>1863</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68"/>
      <c r="Q12" s="1343" t="str">
        <f t="shared" si="6"/>
        <v>配建</v>
      </c>
      <c r="R12" s="701" t="s">
        <v>14</v>
      </c>
      <c r="S12" s="702">
        <f t="shared" si="0"/>
        <v>100</v>
      </c>
      <c r="T12" s="701" t="s">
        <v>14</v>
      </c>
      <c r="U12" s="702">
        <f t="shared" si="1"/>
        <v>100</v>
      </c>
      <c r="V12" s="701" t="s">
        <v>14</v>
      </c>
      <c r="W12" s="702">
        <f t="shared" si="2"/>
        <v>100</v>
      </c>
      <c r="X12" s="703"/>
      <c r="Y12" s="3661"/>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68"/>
      <c r="Q13" s="1343">
        <f t="shared" si="6"/>
        <v>111</v>
      </c>
      <c r="R13" s="701" t="s">
        <v>14</v>
      </c>
      <c r="S13" s="702">
        <f t="shared" si="0"/>
        <v>100</v>
      </c>
      <c r="T13" s="701" t="s">
        <v>14</v>
      </c>
      <c r="U13" s="702">
        <f t="shared" si="1"/>
        <v>100</v>
      </c>
      <c r="V13" s="701" t="s">
        <v>14</v>
      </c>
      <c r="W13" s="702">
        <f t="shared" si="2"/>
        <v>100</v>
      </c>
      <c r="X13" s="703"/>
      <c r="Y13" s="3661"/>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68"/>
      <c r="Q14" s="1343">
        <f t="shared" si="6"/>
        <v>111</v>
      </c>
      <c r="R14" s="701" t="s">
        <v>14</v>
      </c>
      <c r="S14" s="702">
        <f t="shared" si="0"/>
        <v>100</v>
      </c>
      <c r="T14" s="701" t="s">
        <v>14</v>
      </c>
      <c r="U14" s="702">
        <f t="shared" si="1"/>
        <v>100</v>
      </c>
      <c r="V14" s="701" t="s">
        <v>14</v>
      </c>
      <c r="W14" s="702">
        <f t="shared" si="2"/>
        <v>100</v>
      </c>
      <c r="X14" s="703"/>
      <c r="Y14" s="3661"/>
      <c r="Z14" s="52">
        <f t="shared" si="7"/>
        <v>111</v>
      </c>
      <c r="AA14" s="704">
        <f>D14/F14</f>
        <v>1</v>
      </c>
      <c r="AB14" s="704">
        <f>D14/H14</f>
        <v>1</v>
      </c>
      <c r="AC14" s="704">
        <f>D14/J14</f>
        <v>1</v>
      </c>
    </row>
    <row r="15" spans="1:30" ht="15">
      <c r="A15" s="391" t="s">
        <v>1683</v>
      </c>
      <c r="B15" s="61" t="s">
        <v>1250</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70" t="s">
        <v>1684</v>
      </c>
      <c r="Q15" s="1352" t="str">
        <f t="shared" si="6"/>
        <v>居住社区成熟度</v>
      </c>
      <c r="R15" s="705" t="s">
        <v>14</v>
      </c>
      <c r="S15" s="706">
        <f t="shared" si="0"/>
        <v>100</v>
      </c>
      <c r="T15" s="705" t="s">
        <v>14</v>
      </c>
      <c r="U15" s="706">
        <f t="shared" si="1"/>
        <v>100</v>
      </c>
      <c r="V15" s="705" t="s">
        <v>14</v>
      </c>
      <c r="W15" s="706">
        <f t="shared" si="2"/>
        <v>100</v>
      </c>
      <c r="X15" s="1355"/>
      <c r="Y15" s="3770" t="s">
        <v>1684</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19"/>
      <c r="M16" s="2713"/>
      <c r="N16" s="2713"/>
      <c r="O16" s="2771"/>
      <c r="P16" s="3771"/>
      <c r="Q16" s="1352"/>
      <c r="R16" s="705"/>
      <c r="S16" s="706"/>
      <c r="T16" s="705"/>
      <c r="U16" s="706"/>
      <c r="V16" s="705"/>
      <c r="W16" s="706"/>
      <c r="X16" s="1355"/>
      <c r="Y16" s="3771"/>
      <c r="Z16" s="1356"/>
      <c r="AA16" s="1353">
        <v>1</v>
      </c>
      <c r="AB16" s="1353">
        <v>1</v>
      </c>
      <c r="AC16" s="1353">
        <v>1</v>
      </c>
    </row>
    <row r="17" spans="1:29" ht="15">
      <c r="A17" s="379"/>
      <c r="B17" s="402" t="s">
        <v>1770</v>
      </c>
      <c r="C17" s="1954"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71"/>
      <c r="Q17" s="1352" t="str">
        <f>B17</f>
        <v>商业繁华度</v>
      </c>
      <c r="R17" s="705" t="s">
        <v>14</v>
      </c>
      <c r="S17" s="706">
        <f>F17</f>
        <v>100</v>
      </c>
      <c r="T17" s="705" t="s">
        <v>14</v>
      </c>
      <c r="U17" s="706">
        <f>H17</f>
        <v>100</v>
      </c>
      <c r="V17" s="705" t="s">
        <v>14</v>
      </c>
      <c r="W17" s="706">
        <f>J17</f>
        <v>100</v>
      </c>
      <c r="X17" s="1355"/>
      <c r="Y17" s="3771"/>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19"/>
      <c r="M18" s="2713"/>
      <c r="N18" s="2713"/>
      <c r="O18" s="2771"/>
      <c r="P18" s="3771"/>
      <c r="Q18" s="1352"/>
      <c r="R18" s="705"/>
      <c r="S18" s="706"/>
      <c r="T18" s="705"/>
      <c r="U18" s="706"/>
      <c r="V18" s="705"/>
      <c r="W18" s="706"/>
      <c r="X18" s="1355"/>
      <c r="Y18" s="3771"/>
      <c r="Z18" s="1356"/>
      <c r="AA18" s="1353">
        <v>1</v>
      </c>
      <c r="AB18" s="1353">
        <v>1</v>
      </c>
      <c r="AC18" s="1353">
        <v>1</v>
      </c>
    </row>
    <row r="19" spans="1:29" ht="15">
      <c r="A19" s="379"/>
      <c r="B19" s="402" t="s">
        <v>1804</v>
      </c>
      <c r="C19" s="1954"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71"/>
      <c r="Q19" s="1352" t="str">
        <f>B19</f>
        <v>办公集聚程度</v>
      </c>
      <c r="R19" s="705" t="s">
        <v>14</v>
      </c>
      <c r="S19" s="706">
        <f>F19</f>
        <v>100</v>
      </c>
      <c r="T19" s="705" t="s">
        <v>14</v>
      </c>
      <c r="U19" s="706">
        <f>H19</f>
        <v>100</v>
      </c>
      <c r="V19" s="705" t="s">
        <v>14</v>
      </c>
      <c r="W19" s="706">
        <f>J19</f>
        <v>100</v>
      </c>
      <c r="X19" s="1355"/>
      <c r="Y19" s="3771"/>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19"/>
      <c r="M20" s="2713"/>
      <c r="N20" s="2713"/>
      <c r="O20" s="2771"/>
      <c r="P20" s="3771"/>
      <c r="Q20" s="1352"/>
      <c r="R20" s="705"/>
      <c r="S20" s="706"/>
      <c r="T20" s="705"/>
      <c r="U20" s="706"/>
      <c r="V20" s="705"/>
      <c r="W20" s="706"/>
      <c r="X20" s="1355"/>
      <c r="Y20" s="3771"/>
      <c r="Z20" s="1356"/>
      <c r="AA20" s="1353">
        <v>1</v>
      </c>
      <c r="AB20" s="1353">
        <v>1</v>
      </c>
      <c r="AC20" s="1353">
        <v>1</v>
      </c>
    </row>
    <row r="21" spans="1:29" ht="15">
      <c r="A21" s="379"/>
      <c r="B21" s="402" t="s">
        <v>1826</v>
      </c>
      <c r="C21" s="1899"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71"/>
      <c r="Q21" s="1352" t="str">
        <f>B21</f>
        <v>交通便捷度</v>
      </c>
      <c r="R21" s="705" t="s">
        <v>14</v>
      </c>
      <c r="S21" s="706">
        <f>F21</f>
        <v>100</v>
      </c>
      <c r="T21" s="705" t="s">
        <v>14</v>
      </c>
      <c r="U21" s="706">
        <f>H21</f>
        <v>100</v>
      </c>
      <c r="V21" s="705" t="s">
        <v>14</v>
      </c>
      <c r="W21" s="706">
        <f>J21</f>
        <v>100</v>
      </c>
      <c r="X21" s="1355"/>
      <c r="Y21" s="3771"/>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19"/>
      <c r="M22" s="2713"/>
      <c r="N22" s="2713"/>
      <c r="O22" s="2771"/>
      <c r="P22" s="3771"/>
      <c r="Q22" s="1352"/>
      <c r="R22" s="705"/>
      <c r="S22" s="706"/>
      <c r="T22" s="705"/>
      <c r="U22" s="706"/>
      <c r="V22" s="705"/>
      <c r="W22" s="706"/>
      <c r="X22" s="1355"/>
      <c r="Y22" s="3771"/>
      <c r="Z22" s="1356"/>
      <c r="AA22" s="1353">
        <v>1</v>
      </c>
      <c r="AB22" s="1353">
        <v>1</v>
      </c>
      <c r="AC22" s="1353">
        <v>1</v>
      </c>
    </row>
    <row r="23" spans="1:29" ht="15">
      <c r="A23" s="358"/>
      <c r="B23" s="402" t="s">
        <v>1864</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71"/>
      <c r="Q23" s="1352" t="str">
        <f t="shared" ref="Q23:Q37" si="8">B23</f>
        <v>区域土地利用方向</v>
      </c>
      <c r="R23" s="705" t="s">
        <v>14</v>
      </c>
      <c r="S23" s="706">
        <f>F23</f>
        <v>100</v>
      </c>
      <c r="T23" s="705" t="s">
        <v>14</v>
      </c>
      <c r="U23" s="706">
        <f>H23</f>
        <v>100</v>
      </c>
      <c r="V23" s="705" t="s">
        <v>14</v>
      </c>
      <c r="W23" s="706">
        <f>J23</f>
        <v>100</v>
      </c>
      <c r="X23" s="1355"/>
      <c r="Y23" s="3771"/>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19"/>
      <c r="M24" s="2713"/>
      <c r="N24" s="2713"/>
      <c r="O24" s="2771"/>
      <c r="P24" s="3771"/>
      <c r="Q24" s="1352"/>
      <c r="R24" s="705"/>
      <c r="S24" s="706"/>
      <c r="T24" s="705"/>
      <c r="U24" s="706"/>
      <c r="V24" s="705"/>
      <c r="W24" s="706"/>
      <c r="X24" s="1355"/>
      <c r="Y24" s="3771"/>
      <c r="Z24" s="1356"/>
      <c r="AA24" s="1353"/>
      <c r="AB24" s="1353"/>
      <c r="AC24" s="1353"/>
    </row>
    <row r="25" spans="1:29" ht="27">
      <c r="A25" s="358"/>
      <c r="B25" s="1131" t="s">
        <v>1865</v>
      </c>
      <c r="C25" s="1954"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71"/>
      <c r="Q25" s="1352" t="str">
        <f t="shared" si="8"/>
        <v>自然及人文环境状况</v>
      </c>
      <c r="R25" s="705" t="s">
        <v>14</v>
      </c>
      <c r="S25" s="706">
        <f>F25</f>
        <v>100</v>
      </c>
      <c r="T25" s="705" t="s">
        <v>14</v>
      </c>
      <c r="U25" s="706">
        <f>H25</f>
        <v>100</v>
      </c>
      <c r="V25" s="705" t="s">
        <v>14</v>
      </c>
      <c r="W25" s="706">
        <f>J25</f>
        <v>100</v>
      </c>
      <c r="X25" s="1355"/>
      <c r="Y25" s="3771"/>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19"/>
      <c r="M26" s="2713"/>
      <c r="N26" s="2713"/>
      <c r="O26" s="2771"/>
      <c r="P26" s="3771"/>
      <c r="Q26" s="1352"/>
      <c r="R26" s="705"/>
      <c r="S26" s="706"/>
      <c r="T26" s="705"/>
      <c r="U26" s="706"/>
      <c r="V26" s="705"/>
      <c r="W26" s="706"/>
      <c r="X26" s="1355"/>
      <c r="Y26" s="3771"/>
      <c r="Z26" s="1356"/>
      <c r="AA26" s="1353">
        <v>1</v>
      </c>
      <c r="AB26" s="1353">
        <v>1</v>
      </c>
      <c r="AC26" s="1353">
        <v>1</v>
      </c>
    </row>
    <row r="27" spans="1:29" s="108" customFormat="1" ht="15">
      <c r="A27" s="597"/>
      <c r="B27" s="1131" t="s">
        <v>1771</v>
      </c>
      <c r="C27" s="1899"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71"/>
      <c r="Q27" s="1343" t="str">
        <f t="shared" si="8"/>
        <v>公共配套设施</v>
      </c>
      <c r="R27" s="701" t="s">
        <v>14</v>
      </c>
      <c r="S27" s="702">
        <f>F27</f>
        <v>100</v>
      </c>
      <c r="T27" s="701" t="s">
        <v>14</v>
      </c>
      <c r="U27" s="702">
        <f>H27</f>
        <v>100</v>
      </c>
      <c r="V27" s="701" t="s">
        <v>14</v>
      </c>
      <c r="W27" s="702">
        <f>J27</f>
        <v>100</v>
      </c>
      <c r="X27" s="703"/>
      <c r="Y27" s="3771"/>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4"/>
      <c r="M28" s="2715"/>
      <c r="N28" s="2715"/>
      <c r="O28" s="2769"/>
      <c r="P28" s="3771"/>
      <c r="Q28" s="1343"/>
      <c r="R28" s="701"/>
      <c r="S28" s="702"/>
      <c r="T28" s="701"/>
      <c r="U28" s="702"/>
      <c r="V28" s="701"/>
      <c r="W28" s="702"/>
      <c r="X28" s="703"/>
      <c r="Y28" s="3771"/>
      <c r="Z28" s="52"/>
      <c r="AA28" s="1353">
        <v>1</v>
      </c>
      <c r="AB28" s="1353">
        <v>1</v>
      </c>
      <c r="AC28" s="1353">
        <v>1</v>
      </c>
    </row>
    <row r="29" spans="1:29" s="108" customFormat="1" ht="15">
      <c r="A29" s="597"/>
      <c r="B29" s="1131" t="s">
        <v>1772</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71"/>
      <c r="Q29" s="1343" t="str">
        <f t="shared" ref="Q29" si="9">B29</f>
        <v>基础设施水平</v>
      </c>
      <c r="R29" s="701" t="s">
        <v>14</v>
      </c>
      <c r="S29" s="702">
        <f>F29</f>
        <v>100</v>
      </c>
      <c r="T29" s="701" t="s">
        <v>14</v>
      </c>
      <c r="U29" s="702">
        <f>H29</f>
        <v>100</v>
      </c>
      <c r="V29" s="701" t="s">
        <v>14</v>
      </c>
      <c r="W29" s="702">
        <f>J29</f>
        <v>100</v>
      </c>
      <c r="X29" s="703"/>
      <c r="Y29" s="3771"/>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4"/>
      <c r="M30" s="2715"/>
      <c r="N30" s="2715"/>
      <c r="O30" s="2769"/>
      <c r="P30" s="3771"/>
      <c r="Q30" s="1343"/>
      <c r="R30" s="701"/>
      <c r="S30" s="702"/>
      <c r="T30" s="701"/>
      <c r="U30" s="702"/>
      <c r="V30" s="701"/>
      <c r="W30" s="702"/>
      <c r="X30" s="703"/>
      <c r="Y30" s="3771"/>
      <c r="Z30" s="52"/>
      <c r="AA30" s="1353">
        <v>1</v>
      </c>
      <c r="AB30" s="1353">
        <v>1</v>
      </c>
      <c r="AC30" s="1353">
        <v>1</v>
      </c>
    </row>
    <row r="31" spans="1:29" ht="15">
      <c r="A31" s="379"/>
      <c r="B31" s="407" t="s">
        <v>1773</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7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71"/>
      <c r="Z31" s="1356" t="str">
        <f t="shared" ref="Z31:Z45" si="13">Q31</f>
        <v>临街状况</v>
      </c>
      <c r="AA31" s="1353">
        <f t="shared" si="3"/>
        <v>1</v>
      </c>
      <c r="AB31" s="1353">
        <f t="shared" si="4"/>
        <v>1</v>
      </c>
      <c r="AC31" s="1353">
        <f t="shared" si="5"/>
        <v>1</v>
      </c>
    </row>
    <row r="32" spans="1:29" ht="27">
      <c r="A32" s="379"/>
      <c r="B32" s="1131" t="s">
        <v>1808</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71"/>
      <c r="Q32" s="1352" t="str">
        <f t="shared" si="8"/>
        <v>毗邻道路的类型与等级</v>
      </c>
      <c r="R32" s="705" t="s">
        <v>14</v>
      </c>
      <c r="S32" s="706">
        <f t="shared" si="10"/>
        <v>100</v>
      </c>
      <c r="T32" s="705" t="s">
        <v>14</v>
      </c>
      <c r="U32" s="706">
        <f t="shared" si="11"/>
        <v>100</v>
      </c>
      <c r="V32" s="705" t="s">
        <v>14</v>
      </c>
      <c r="W32" s="706">
        <f t="shared" si="12"/>
        <v>100</v>
      </c>
      <c r="X32" s="1355"/>
      <c r="Y32" s="3771"/>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19"/>
      <c r="M33" s="2713"/>
      <c r="N33" s="2713"/>
      <c r="O33" s="2771"/>
      <c r="P33" s="3771"/>
      <c r="Q33" s="1352"/>
      <c r="R33" s="705"/>
      <c r="S33" s="706"/>
      <c r="T33" s="705"/>
      <c r="U33" s="706"/>
      <c r="V33" s="705"/>
      <c r="W33" s="706"/>
      <c r="X33" s="1355"/>
      <c r="Y33" s="3771"/>
      <c r="Z33" s="1356"/>
      <c r="AA33" s="1353">
        <v>1</v>
      </c>
      <c r="AB33" s="1353">
        <v>1</v>
      </c>
      <c r="AC33" s="1353">
        <v>1</v>
      </c>
    </row>
    <row r="34" spans="1:29" ht="15">
      <c r="A34" s="379"/>
      <c r="B34" s="375" t="s">
        <v>1866</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71"/>
      <c r="Q34" s="1352" t="str">
        <f t="shared" si="8"/>
        <v>土地级别</v>
      </c>
      <c r="R34" s="705" t="s">
        <v>14</v>
      </c>
      <c r="S34" s="706">
        <f t="shared" si="10"/>
        <v>100</v>
      </c>
      <c r="T34" s="705" t="s">
        <v>14</v>
      </c>
      <c r="U34" s="706">
        <f t="shared" si="11"/>
        <v>100</v>
      </c>
      <c r="V34" s="705" t="s">
        <v>14</v>
      </c>
      <c r="W34" s="706">
        <f t="shared" si="12"/>
        <v>100</v>
      </c>
      <c r="X34" s="1355"/>
      <c r="Y34" s="377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71"/>
      <c r="Q35" s="1352">
        <f t="shared" si="8"/>
        <v>111</v>
      </c>
      <c r="R35" s="705" t="s">
        <v>14</v>
      </c>
      <c r="S35" s="706">
        <f t="shared" si="10"/>
        <v>100</v>
      </c>
      <c r="T35" s="705" t="s">
        <v>14</v>
      </c>
      <c r="U35" s="706">
        <f t="shared" si="11"/>
        <v>100</v>
      </c>
      <c r="V35" s="705" t="s">
        <v>14</v>
      </c>
      <c r="W35" s="706">
        <f t="shared" si="12"/>
        <v>100</v>
      </c>
      <c r="X35" s="1355"/>
      <c r="Y35" s="377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94" t="s">
        <v>1689</v>
      </c>
      <c r="Q36" s="1352">
        <f t="shared" si="8"/>
        <v>111</v>
      </c>
      <c r="R36" s="705" t="s">
        <v>14</v>
      </c>
      <c r="S36" s="706">
        <f t="shared" si="10"/>
        <v>100</v>
      </c>
      <c r="T36" s="705" t="s">
        <v>14</v>
      </c>
      <c r="U36" s="706">
        <f t="shared" si="11"/>
        <v>100</v>
      </c>
      <c r="V36" s="705" t="s">
        <v>14</v>
      </c>
      <c r="W36" s="706">
        <f t="shared" si="12"/>
        <v>100</v>
      </c>
      <c r="X36" s="1355"/>
      <c r="Y36" s="3775" t="s">
        <v>1689</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75"/>
      <c r="Q37" s="1352">
        <f t="shared" si="8"/>
        <v>111</v>
      </c>
      <c r="R37" s="708" t="s">
        <v>14</v>
      </c>
      <c r="S37" s="709">
        <f t="shared" si="10"/>
        <v>100</v>
      </c>
      <c r="T37" s="708" t="s">
        <v>14</v>
      </c>
      <c r="U37" s="709">
        <f t="shared" si="11"/>
        <v>100</v>
      </c>
      <c r="V37" s="708" t="s">
        <v>14</v>
      </c>
      <c r="W37" s="709">
        <f t="shared" si="12"/>
        <v>100</v>
      </c>
      <c r="X37" s="710"/>
      <c r="Y37" s="3775"/>
      <c r="Z37" s="711">
        <f t="shared" si="13"/>
        <v>111</v>
      </c>
      <c r="AA37" s="1353">
        <f t="shared" si="3"/>
        <v>1</v>
      </c>
      <c r="AB37" s="1353">
        <f t="shared" si="4"/>
        <v>1</v>
      </c>
      <c r="AC37" s="1353">
        <f t="shared" si="5"/>
        <v>1</v>
      </c>
    </row>
    <row r="38" spans="1:29" ht="15">
      <c r="A38" s="423" t="s">
        <v>1687</v>
      </c>
      <c r="B38" s="407" t="s">
        <v>1867</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75"/>
      <c r="Q38" s="1352" t="str">
        <f>B38</f>
        <v>宗地面积</v>
      </c>
      <c r="R38" s="705" t="s">
        <v>14</v>
      </c>
      <c r="S38" s="706" t="e">
        <f t="shared" si="10"/>
        <v>#N/A</v>
      </c>
      <c r="T38" s="705" t="s">
        <v>14</v>
      </c>
      <c r="U38" s="706" t="e">
        <f t="shared" si="11"/>
        <v>#N/A</v>
      </c>
      <c r="V38" s="705" t="s">
        <v>14</v>
      </c>
      <c r="W38" s="706" t="e">
        <f t="shared" si="12"/>
        <v>#N/A</v>
      </c>
      <c r="X38" s="1355"/>
      <c r="Y38" s="3775"/>
      <c r="Z38" s="1356" t="str">
        <f t="shared" si="13"/>
        <v>宗地面积</v>
      </c>
      <c r="AA38" s="1353" t="e">
        <f t="shared" si="3"/>
        <v>#N/A</v>
      </c>
      <c r="AB38" s="1353" t="e">
        <f t="shared" si="4"/>
        <v>#N/A</v>
      </c>
      <c r="AC38" s="1353" t="e">
        <f t="shared" si="5"/>
        <v>#N/A</v>
      </c>
    </row>
    <row r="39" spans="1:29" ht="15">
      <c r="A39" s="423"/>
      <c r="B39" s="375" t="s">
        <v>1868</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775"/>
      <c r="Q39" s="1352" t="str">
        <f t="shared" ref="Q39:Q45" si="14">B39</f>
        <v>宗地形状</v>
      </c>
      <c r="R39" s="705" t="s">
        <v>14</v>
      </c>
      <c r="S39" s="706">
        <f t="shared" si="10"/>
        <v>100</v>
      </c>
      <c r="T39" s="705" t="s">
        <v>14</v>
      </c>
      <c r="U39" s="706">
        <f t="shared" si="11"/>
        <v>100</v>
      </c>
      <c r="V39" s="705" t="s">
        <v>14</v>
      </c>
      <c r="W39" s="706">
        <f t="shared" si="12"/>
        <v>100</v>
      </c>
      <c r="X39" s="1355"/>
      <c r="Y39" s="3775"/>
      <c r="Z39" s="1356" t="str">
        <f t="shared" si="13"/>
        <v>宗地形状</v>
      </c>
      <c r="AA39" s="1353">
        <f t="shared" si="3"/>
        <v>1</v>
      </c>
      <c r="AB39" s="1353">
        <f t="shared" si="4"/>
        <v>1</v>
      </c>
      <c r="AC39" s="1353">
        <f t="shared" si="5"/>
        <v>1</v>
      </c>
    </row>
    <row r="40" spans="1:29" ht="15">
      <c r="A40" s="423"/>
      <c r="B40" s="375" t="s">
        <v>1869</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775"/>
      <c r="Q40" s="1352" t="str">
        <f t="shared" si="14"/>
        <v>临街宽度及深度</v>
      </c>
      <c r="R40" s="705" t="s">
        <v>14</v>
      </c>
      <c r="S40" s="706">
        <f t="shared" si="10"/>
        <v>100</v>
      </c>
      <c r="T40" s="705" t="s">
        <v>14</v>
      </c>
      <c r="U40" s="706">
        <f t="shared" si="11"/>
        <v>100</v>
      </c>
      <c r="V40" s="705" t="s">
        <v>14</v>
      </c>
      <c r="W40" s="706">
        <f t="shared" si="12"/>
        <v>100</v>
      </c>
      <c r="X40" s="1355"/>
      <c r="Y40" s="3775"/>
      <c r="Z40" s="1356" t="str">
        <f t="shared" si="13"/>
        <v>临街宽度及深度</v>
      </c>
      <c r="AA40" s="1353">
        <f t="shared" si="3"/>
        <v>1</v>
      </c>
      <c r="AB40" s="1353">
        <f t="shared" si="4"/>
        <v>1</v>
      </c>
      <c r="AC40" s="1353">
        <f t="shared" si="5"/>
        <v>1</v>
      </c>
    </row>
    <row r="41" spans="1:29" s="108" customFormat="1" ht="15">
      <c r="A41" s="424"/>
      <c r="B41" s="375" t="s">
        <v>1870</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4"/>
      <c r="M41" s="2715"/>
      <c r="N41" s="2715"/>
      <c r="O41" s="2769"/>
      <c r="P41" s="3775"/>
      <c r="Q41" s="1352" t="str">
        <f t="shared" si="14"/>
        <v>宗地开发程度</v>
      </c>
      <c r="R41" s="701" t="s">
        <v>14</v>
      </c>
      <c r="S41" s="702">
        <f t="shared" si="10"/>
        <v>100</v>
      </c>
      <c r="T41" s="701" t="s">
        <v>14</v>
      </c>
      <c r="U41" s="702">
        <f t="shared" si="11"/>
        <v>100</v>
      </c>
      <c r="V41" s="701" t="s">
        <v>14</v>
      </c>
      <c r="W41" s="702">
        <f t="shared" si="12"/>
        <v>100</v>
      </c>
      <c r="X41" s="703"/>
      <c r="Y41" s="3775"/>
      <c r="Z41" s="52" t="str">
        <f t="shared" si="13"/>
        <v>宗地开发程度</v>
      </c>
      <c r="AA41" s="704">
        <f t="shared" si="3"/>
        <v>1</v>
      </c>
      <c r="AB41" s="704">
        <f t="shared" si="4"/>
        <v>1</v>
      </c>
      <c r="AC41" s="704">
        <f t="shared" si="5"/>
        <v>1</v>
      </c>
    </row>
    <row r="42" spans="1:29" ht="15">
      <c r="A42" s="423"/>
      <c r="B42" s="375" t="s">
        <v>1871</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775" t="s">
        <v>1689</v>
      </c>
      <c r="Q42" s="1352" t="str">
        <f t="shared" si="14"/>
        <v>工程地质条件</v>
      </c>
      <c r="R42" s="705" t="s">
        <v>14</v>
      </c>
      <c r="S42" s="706">
        <f t="shared" si="10"/>
        <v>100</v>
      </c>
      <c r="T42" s="705" t="s">
        <v>14</v>
      </c>
      <c r="U42" s="706">
        <f t="shared" si="11"/>
        <v>100</v>
      </c>
      <c r="V42" s="705" t="s">
        <v>14</v>
      </c>
      <c r="W42" s="706">
        <f t="shared" si="12"/>
        <v>100</v>
      </c>
      <c r="X42" s="1355"/>
      <c r="Y42" s="3775" t="s">
        <v>1689</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75"/>
      <c r="Q43" s="1352">
        <f t="shared" si="14"/>
        <v>111</v>
      </c>
      <c r="R43" s="705" t="s">
        <v>14</v>
      </c>
      <c r="S43" s="706">
        <f t="shared" si="10"/>
        <v>100</v>
      </c>
      <c r="T43" s="705" t="s">
        <v>14</v>
      </c>
      <c r="U43" s="706">
        <f t="shared" si="11"/>
        <v>100</v>
      </c>
      <c r="V43" s="705" t="s">
        <v>14</v>
      </c>
      <c r="W43" s="706">
        <f t="shared" si="12"/>
        <v>100</v>
      </c>
      <c r="X43" s="1355"/>
      <c r="Y43" s="377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75"/>
      <c r="Q44" s="1352">
        <f t="shared" si="14"/>
        <v>111</v>
      </c>
      <c r="R44" s="705" t="s">
        <v>14</v>
      </c>
      <c r="S44" s="706">
        <f t="shared" si="10"/>
        <v>100</v>
      </c>
      <c r="T44" s="705" t="s">
        <v>14</v>
      </c>
      <c r="U44" s="706">
        <f t="shared" si="11"/>
        <v>100</v>
      </c>
      <c r="V44" s="705" t="s">
        <v>14</v>
      </c>
      <c r="W44" s="706">
        <f t="shared" si="12"/>
        <v>100</v>
      </c>
      <c r="X44" s="1355"/>
      <c r="Y44" s="3775"/>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75"/>
      <c r="Q45" s="1352">
        <f t="shared" si="14"/>
        <v>111</v>
      </c>
      <c r="R45" s="708" t="s">
        <v>14</v>
      </c>
      <c r="S45" s="709">
        <f t="shared" si="10"/>
        <v>100</v>
      </c>
      <c r="T45" s="708" t="s">
        <v>14</v>
      </c>
      <c r="U45" s="709">
        <f t="shared" si="11"/>
        <v>100</v>
      </c>
      <c r="V45" s="708" t="s">
        <v>14</v>
      </c>
      <c r="W45" s="709">
        <f t="shared" si="12"/>
        <v>100</v>
      </c>
      <c r="X45" s="710"/>
      <c r="Y45" s="3775"/>
      <c r="Z45" s="711">
        <f t="shared" si="13"/>
        <v>111</v>
      </c>
      <c r="AA45" s="1353">
        <f t="shared" si="3"/>
        <v>1</v>
      </c>
      <c r="AB45" s="1353">
        <f t="shared" si="4"/>
        <v>1</v>
      </c>
      <c r="AC45" s="1353">
        <f t="shared" si="5"/>
        <v>1</v>
      </c>
    </row>
    <row r="46" spans="1:29" ht="15">
      <c r="A46" s="430" t="s">
        <v>1837</v>
      </c>
      <c r="B46" s="1981" t="s">
        <v>1872</v>
      </c>
      <c r="C46" s="630" t="s">
        <v>0</v>
      </c>
      <c r="D46" s="432"/>
      <c r="E46" s="433"/>
      <c r="F46" s="434"/>
      <c r="G46" s="435"/>
      <c r="H46" s="436"/>
      <c r="I46" s="433"/>
      <c r="J46" s="436"/>
      <c r="K46" s="714"/>
      <c r="L46" s="2721"/>
      <c r="M46" s="2722"/>
      <c r="N46" s="2713"/>
      <c r="O46" s="2722"/>
      <c r="P46" s="3768" t="str">
        <f>A46</f>
        <v>成交单价</v>
      </c>
      <c r="Q46" s="3768"/>
      <c r="R46" s="3763">
        <f>E46</f>
        <v>0</v>
      </c>
      <c r="S46" s="3763"/>
      <c r="T46" s="3763">
        <f>G46</f>
        <v>0</v>
      </c>
      <c r="U46" s="3763"/>
      <c r="V46" s="3763">
        <f>I46</f>
        <v>0</v>
      </c>
      <c r="W46" s="3763"/>
      <c r="X46" s="690"/>
      <c r="Y46" s="712"/>
      <c r="Z46" s="690"/>
      <c r="AA46" s="690"/>
      <c r="AB46" s="690"/>
      <c r="AC46" s="690"/>
    </row>
    <row r="47" spans="1:29" ht="15.75" thickBot="1">
      <c r="A47" s="437" t="s">
        <v>1786</v>
      </c>
      <c r="B47" s="631"/>
      <c r="C47" s="440" t="e">
        <f>R48</f>
        <v>#DIV/0!</v>
      </c>
      <c r="D47" s="2316" t="s">
        <v>2131</v>
      </c>
      <c r="E47" s="440" t="e">
        <f>R47</f>
        <v>#DIV/0!</v>
      </c>
      <c r="F47" s="2317"/>
      <c r="G47" s="439" t="e">
        <f>T47</f>
        <v>#DIV/0!</v>
      </c>
      <c r="H47" s="2317"/>
      <c r="I47" s="440" t="e">
        <f>V47</f>
        <v>#DIV/0!</v>
      </c>
      <c r="J47" s="2317"/>
      <c r="K47" s="2319">
        <f>F47+H47+J47</f>
        <v>0</v>
      </c>
      <c r="L47" s="2721"/>
      <c r="M47" s="2722"/>
      <c r="N47" s="2722"/>
      <c r="O47" s="2722"/>
      <c r="P47" s="3768" t="str">
        <f>A47</f>
        <v>比较价值（元/平方米）</v>
      </c>
      <c r="Q47" s="3768"/>
      <c r="R47" s="3796" t="e">
        <f>ROUND(PRODUCT(R46,AA7:AA45),0)</f>
        <v>#DIV/0!</v>
      </c>
      <c r="S47" s="3796"/>
      <c r="T47" s="3796" t="e">
        <f>ROUND(PRODUCT(T46,AB7:AB45),0)</f>
        <v>#DIV/0!</v>
      </c>
      <c r="U47" s="3796"/>
      <c r="V47" s="3796" t="e">
        <f>ROUND(PRODUCT(V46,AC7:AC45),0)</f>
        <v>#DIV/0!</v>
      </c>
      <c r="W47" s="3796"/>
      <c r="X47" s="690"/>
      <c r="Y47" s="690"/>
      <c r="Z47" s="690"/>
      <c r="AA47" s="690"/>
      <c r="AB47" s="690"/>
      <c r="AC47" s="690"/>
    </row>
    <row r="48" spans="1:29" ht="15.75" thickBot="1">
      <c r="A48" s="441" t="s">
        <v>1873</v>
      </c>
      <c r="B48" s="442"/>
      <c r="C48" s="443" t="e">
        <f>R48</f>
        <v>#DIV/0!</v>
      </c>
      <c r="D48" s="443"/>
      <c r="E48" s="443"/>
      <c r="F48" s="443"/>
      <c r="G48" s="443"/>
      <c r="H48" s="443"/>
      <c r="I48" s="443"/>
      <c r="J48" s="443"/>
      <c r="K48" s="715"/>
      <c r="L48" s="2721"/>
      <c r="M48" s="2722"/>
      <c r="N48" s="2722"/>
      <c r="O48" s="2722"/>
      <c r="P48" s="3765" t="str">
        <f>A48</f>
        <v>估价对象XX用房的比较价值（楼面单价，元/平方米）</v>
      </c>
      <c r="Q48" s="3766"/>
      <c r="R48" s="3797" t="e">
        <f>ROUND(IF(D47="简单平均",AVERAGE(R47:W47),R47*F47+T47*H47+V47*J47),0)</f>
        <v>#DIV/0!</v>
      </c>
      <c r="S48" s="3797"/>
      <c r="T48" s="3797"/>
      <c r="U48" s="3797"/>
      <c r="V48" s="3797"/>
      <c r="W48" s="3797"/>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1788</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1789</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1790</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1874</v>
      </c>
      <c r="B55" s="633" t="s">
        <v>1875</v>
      </c>
      <c r="C55" s="1982" t="s">
        <v>1876</v>
      </c>
      <c r="D55" s="1983" t="s">
        <v>1877</v>
      </c>
      <c r="E55" s="634" t="s">
        <v>1878</v>
      </c>
      <c r="F55" s="890" t="s">
        <v>1879</v>
      </c>
      <c r="G55" s="3751" t="s">
        <v>1880</v>
      </c>
      <c r="H55" s="3798"/>
      <c r="I55" s="135" t="s">
        <v>1881</v>
      </c>
      <c r="J55" s="1984">
        <f>项目基本情况!F35</f>
        <v>0</v>
      </c>
      <c r="K55" s="1985" t="s">
        <v>1882</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1883</v>
      </c>
      <c r="B56" s="637" t="e">
        <f>C48</f>
        <v>#DIV/0!</v>
      </c>
      <c r="C56" s="638">
        <v>1</v>
      </c>
      <c r="D56" s="944">
        <v>1</v>
      </c>
      <c r="E56" s="638">
        <f>'数据-汇总表'!E8+'数据-汇总表'!E9</f>
        <v>55413.87</v>
      </c>
      <c r="F56" s="886" t="e">
        <f t="shared" ref="F56:F64" si="15">ROUND(B56*E56/10000,0)</f>
        <v>#DIV/0!</v>
      </c>
      <c r="G56" s="3750"/>
      <c r="H56" s="3768"/>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1884</v>
      </c>
      <c r="B57" s="218" t="e">
        <f>ROUND($C$48*C57*D57,0)</f>
        <v>#DIV/0!</v>
      </c>
      <c r="C57" s="171">
        <f t="shared" ref="C57:C64" si="16">IF($C$55="北京市系数",I57,J57)</f>
        <v>0</v>
      </c>
      <c r="D57" s="945">
        <v>0.25</v>
      </c>
      <c r="E57" s="642"/>
      <c r="F57" s="886" t="e">
        <f t="shared" si="15"/>
        <v>#DIV/0!</v>
      </c>
      <c r="G57" s="3001" t="s">
        <v>1885</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1886</v>
      </c>
      <c r="B58" s="218" t="e">
        <f t="shared" ref="B58:B64" si="17">ROUND($C$48*C58*D58,0)</f>
        <v>#DIV/0!</v>
      </c>
      <c r="C58" s="171">
        <f t="shared" si="16"/>
        <v>0</v>
      </c>
      <c r="D58" s="945">
        <v>0.25</v>
      </c>
      <c r="E58" s="642"/>
      <c r="F58" s="886" t="e">
        <f t="shared" si="15"/>
        <v>#DIV/0!</v>
      </c>
      <c r="G58" s="3002"/>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1887</v>
      </c>
      <c r="B59" s="218" t="e">
        <f t="shared" si="17"/>
        <v>#DIV/0!</v>
      </c>
      <c r="C59" s="171">
        <f t="shared" si="16"/>
        <v>0</v>
      </c>
      <c r="D59" s="945">
        <v>0.25</v>
      </c>
      <c r="E59" s="642"/>
      <c r="F59" s="886" t="e">
        <f t="shared" si="15"/>
        <v>#DIV/0!</v>
      </c>
      <c r="G59" s="3002"/>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1888</v>
      </c>
      <c r="B60" s="218" t="e">
        <f t="shared" si="17"/>
        <v>#DIV/0!</v>
      </c>
      <c r="C60" s="171">
        <f t="shared" si="16"/>
        <v>0</v>
      </c>
      <c r="D60" s="945">
        <v>0.25</v>
      </c>
      <c r="E60" s="217">
        <f>'数据-汇总表'!E11</f>
        <v>7650.01</v>
      </c>
      <c r="F60" s="886" t="e">
        <f t="shared" si="15"/>
        <v>#DIV/0!</v>
      </c>
      <c r="G60" s="1986" t="s">
        <v>1889</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1890</v>
      </c>
      <c r="B61" s="218" t="e">
        <f t="shared" si="17"/>
        <v>#DIV/0!</v>
      </c>
      <c r="C61" s="171">
        <f t="shared" si="16"/>
        <v>0</v>
      </c>
      <c r="D61" s="945">
        <v>0.25</v>
      </c>
      <c r="E61" s="217">
        <f>'数据-汇总表'!E12</f>
        <v>0</v>
      </c>
      <c r="F61" s="886" t="e">
        <f t="shared" si="15"/>
        <v>#DIV/0!</v>
      </c>
      <c r="G61" s="892" t="s">
        <v>1891</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1892</v>
      </c>
      <c r="B62" s="218" t="e">
        <f t="shared" si="17"/>
        <v>#DIV/0!</v>
      </c>
      <c r="C62" s="171">
        <f t="shared" si="16"/>
        <v>0</v>
      </c>
      <c r="D62" s="945">
        <v>0.25</v>
      </c>
      <c r="E62" s="217">
        <f>'数据-汇总表'!E13</f>
        <v>0</v>
      </c>
      <c r="F62" s="886" t="e">
        <f t="shared" si="15"/>
        <v>#DIV/0!</v>
      </c>
      <c r="G62" s="892" t="s">
        <v>1893</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1894</v>
      </c>
      <c r="B63" s="218" t="e">
        <f t="shared" si="17"/>
        <v>#DIV/0!</v>
      </c>
      <c r="C63" s="171">
        <f t="shared" si="16"/>
        <v>0</v>
      </c>
      <c r="D63" s="945">
        <v>0.25</v>
      </c>
      <c r="E63" s="217">
        <f>'数据-汇总表'!E14</f>
        <v>0</v>
      </c>
      <c r="F63" s="886" t="e">
        <f t="shared" si="15"/>
        <v>#DIV/0!</v>
      </c>
      <c r="G63" s="1986" t="s">
        <v>1885</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1895</v>
      </c>
      <c r="B64" s="218" t="e">
        <f t="shared" si="17"/>
        <v>#DIV/0!</v>
      </c>
      <c r="C64" s="171">
        <f t="shared" si="16"/>
        <v>0</v>
      </c>
      <c r="D64" s="945">
        <v>0.25</v>
      </c>
      <c r="E64" s="217">
        <f>'数据-汇总表'!E15</f>
        <v>0</v>
      </c>
      <c r="F64" s="886" t="e">
        <f t="shared" si="15"/>
        <v>#DIV/0!</v>
      </c>
      <c r="G64" s="1987" t="s">
        <v>1889</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1896</v>
      </c>
      <c r="B65" s="644" t="s">
        <v>22</v>
      </c>
      <c r="C65" s="644" t="s">
        <v>23</v>
      </c>
      <c r="D65" s="644" t="s">
        <v>392</v>
      </c>
      <c r="E65" s="644">
        <f>IF(B46="楼面地价",SUM(E56:E64),'数据-汇总表'!D3)</f>
        <v>63063.880000000005</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2"/>
      <c r="Q67" s="2722"/>
      <c r="R67" s="2722"/>
      <c r="S67" s="2722"/>
      <c r="T67" s="2722"/>
      <c r="U67" s="2722"/>
      <c r="V67" s="2722"/>
      <c r="W67" s="2722"/>
      <c r="X67" s="2722"/>
      <c r="Y67" s="2722"/>
      <c r="Z67" s="2722"/>
      <c r="AA67" s="2722"/>
      <c r="AB67" s="2722"/>
      <c r="AC67" s="2722"/>
    </row>
    <row r="68" spans="1:29" ht="21.75" thickBot="1">
      <c r="A68" s="694" t="s">
        <v>1791</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8" t="s">
        <v>1897</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3"/>
      <c r="Q69" s="2738"/>
      <c r="R69" s="2738"/>
      <c r="S69" s="2738"/>
      <c r="T69" s="2738"/>
      <c r="U69" s="2738"/>
      <c r="V69" s="2738"/>
      <c r="W69" s="2738"/>
      <c r="X69" s="2738"/>
      <c r="Y69" s="2738"/>
      <c r="Z69" s="2738"/>
      <c r="AA69" s="2738"/>
      <c r="AB69" s="2738"/>
      <c r="AC69" s="2738"/>
    </row>
    <row r="70" spans="1:29" s="108" customFormat="1" ht="30" customHeight="1">
      <c r="A70" s="1989" t="s">
        <v>1898</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1709</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1674</v>
      </c>
      <c r="B72" s="459"/>
      <c r="C72" s="471" t="s">
        <v>1769</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1712</v>
      </c>
      <c r="B74" s="477" t="s">
        <v>1678</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1681</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1682</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1683</v>
      </c>
      <c r="B87" s="477" t="s">
        <v>1713</v>
      </c>
      <c r="C87" s="522" t="s">
        <v>1714</v>
      </c>
      <c r="D87" s="522" t="s">
        <v>1715</v>
      </c>
      <c r="E87" s="522" t="s">
        <v>1716</v>
      </c>
      <c r="F87" s="522" t="s">
        <v>1717</v>
      </c>
      <c r="G87" s="522" t="s">
        <v>1718</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1899</v>
      </c>
      <c r="C89" s="527" t="s">
        <v>1714</v>
      </c>
      <c r="D89" s="527" t="s">
        <v>1715</v>
      </c>
      <c r="E89" s="527" t="s">
        <v>1716</v>
      </c>
      <c r="F89" s="527" t="s">
        <v>1717</v>
      </c>
      <c r="G89" s="527" t="s">
        <v>1718</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1814</v>
      </c>
      <c r="C91" s="527" t="s">
        <v>1714</v>
      </c>
      <c r="D91" s="527" t="s">
        <v>1715</v>
      </c>
      <c r="E91" s="527" t="s">
        <v>1716</v>
      </c>
      <c r="F91" s="527" t="s">
        <v>1717</v>
      </c>
      <c r="G91" s="527" t="s">
        <v>1718</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1719</v>
      </c>
      <c r="C93" s="527" t="s">
        <v>1714</v>
      </c>
      <c r="D93" s="527" t="s">
        <v>1715</v>
      </c>
      <c r="E93" s="527" t="s">
        <v>1716</v>
      </c>
      <c r="F93" s="527" t="s">
        <v>1717</v>
      </c>
      <c r="G93" s="527" t="s">
        <v>1718</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1900</v>
      </c>
      <c r="C95" s="527" t="s">
        <v>1714</v>
      </c>
      <c r="D95" s="527" t="s">
        <v>1715</v>
      </c>
      <c r="E95" s="527" t="s">
        <v>1716</v>
      </c>
      <c r="F95" s="527" t="s">
        <v>1717</v>
      </c>
      <c r="G95" s="527" t="s">
        <v>1718</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1901</v>
      </c>
      <c r="C97" s="522" t="s">
        <v>1714</v>
      </c>
      <c r="D97" s="522" t="s">
        <v>1715</v>
      </c>
      <c r="E97" s="522" t="s">
        <v>1716</v>
      </c>
      <c r="F97" s="522" t="s">
        <v>1717</v>
      </c>
      <c r="G97" s="522" t="s">
        <v>1718</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1771</v>
      </c>
      <c r="C99" s="522" t="s">
        <v>1714</v>
      </c>
      <c r="D99" s="522" t="s">
        <v>1715</v>
      </c>
      <c r="E99" s="522" t="s">
        <v>1716</v>
      </c>
      <c r="F99" s="522" t="s">
        <v>1717</v>
      </c>
      <c r="G99" s="522" t="s">
        <v>1718</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1772</v>
      </c>
      <c r="C101" s="608" t="s">
        <v>1792</v>
      </c>
      <c r="D101" s="608" t="s">
        <v>1793</v>
      </c>
      <c r="E101" s="608" t="s">
        <v>1794</v>
      </c>
      <c r="F101" s="608" t="s">
        <v>1795</v>
      </c>
      <c r="G101" s="608" t="s">
        <v>1796</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1902</v>
      </c>
      <c r="D103" s="488" t="s">
        <v>1903</v>
      </c>
      <c r="E103" s="488" t="s">
        <v>1904</v>
      </c>
      <c r="F103" s="488" t="s">
        <v>1905</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1808</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1866</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1687</v>
      </c>
      <c r="B115" s="477" t="s">
        <v>1906</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1907</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1908</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1909</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1910</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1860</v>
      </c>
      <c r="B1" s="349"/>
      <c r="C1" s="350" t="s">
        <v>1911</v>
      </c>
      <c r="D1" s="686"/>
      <c r="E1" s="686"/>
      <c r="F1" s="685" t="s">
        <v>1760</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1455</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1457</v>
      </c>
      <c r="B3" s="558" t="e">
        <f>ROUND(IF(D3="",B2*10000/'数据-汇总表'!E3,B2*10000/D3),0)</f>
        <v>#DIV/0!</v>
      </c>
      <c r="C3" s="203" t="s">
        <v>1862</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1762</v>
      </c>
      <c r="B4" s="356"/>
      <c r="C4" s="3751" t="s">
        <v>1763</v>
      </c>
      <c r="D4" s="3752"/>
      <c r="E4" s="3753" t="s">
        <v>1764</v>
      </c>
      <c r="F4" s="3754"/>
      <c r="G4" s="3751" t="s">
        <v>1765</v>
      </c>
      <c r="H4" s="3752"/>
      <c r="I4" s="3751" t="s">
        <v>1766</v>
      </c>
      <c r="J4" s="3752"/>
      <c r="K4" s="559" t="s">
        <v>1767</v>
      </c>
      <c r="L4" s="2712"/>
      <c r="M4" s="2713"/>
      <c r="N4" s="2713"/>
      <c r="O4" s="2713"/>
      <c r="P4" s="3755" t="s">
        <v>1768</v>
      </c>
      <c r="Q4" s="3756"/>
      <c r="R4" s="3738" t="s">
        <v>1764</v>
      </c>
      <c r="S4" s="3739"/>
      <c r="T4" s="3738" t="s">
        <v>1765</v>
      </c>
      <c r="U4" s="3739"/>
      <c r="V4" s="3763" t="s">
        <v>1766</v>
      </c>
      <c r="W4" s="3763"/>
      <c r="X4" s="1355"/>
      <c r="Y4" s="3738" t="s">
        <v>1768</v>
      </c>
      <c r="Z4" s="3739"/>
      <c r="AA4" s="3733" t="s">
        <v>1764</v>
      </c>
      <c r="AB4" s="3734" t="s">
        <v>1765</v>
      </c>
      <c r="AC4" s="3733" t="s">
        <v>1766</v>
      </c>
    </row>
    <row r="5" spans="1:29" ht="15">
      <c r="A5" s="358"/>
      <c r="B5" s="359"/>
      <c r="C5" s="3744" t="s">
        <v>1666</v>
      </c>
      <c r="D5" s="3745"/>
      <c r="E5" s="3742" t="s">
        <v>1667</v>
      </c>
      <c r="F5" s="3743"/>
      <c r="G5" s="3744" t="s">
        <v>1668</v>
      </c>
      <c r="H5" s="3745"/>
      <c r="I5" s="3744" t="s">
        <v>1669</v>
      </c>
      <c r="J5" s="3745"/>
      <c r="K5" s="559"/>
      <c r="L5" s="2712"/>
      <c r="M5" s="2713"/>
      <c r="N5" s="2713"/>
      <c r="O5" s="2713"/>
      <c r="P5" s="3757"/>
      <c r="Q5" s="3758"/>
      <c r="R5" s="3740"/>
      <c r="S5" s="3741"/>
      <c r="T5" s="3740"/>
      <c r="U5" s="3741"/>
      <c r="V5" s="3763"/>
      <c r="W5" s="3763"/>
      <c r="X5" s="1355"/>
      <c r="Y5" s="3740"/>
      <c r="Z5" s="3741"/>
      <c r="AA5" s="3734"/>
      <c r="AB5" s="3734"/>
      <c r="AC5" s="3734"/>
    </row>
    <row r="6" spans="1:29" ht="15.75" thickBot="1">
      <c r="A6" s="360"/>
      <c r="B6" s="361"/>
      <c r="C6" s="3799" t="s">
        <v>1912</v>
      </c>
      <c r="D6" s="3800"/>
      <c r="E6" s="3801" t="s">
        <v>1912</v>
      </c>
      <c r="F6" s="3802"/>
      <c r="G6" s="3799" t="s">
        <v>1912</v>
      </c>
      <c r="H6" s="3800"/>
      <c r="I6" s="3799" t="s">
        <v>1912</v>
      </c>
      <c r="J6" s="3800"/>
      <c r="K6" s="559" t="s">
        <v>1671</v>
      </c>
      <c r="L6" s="2712"/>
      <c r="M6" s="2713"/>
      <c r="N6" s="2713"/>
      <c r="O6" s="2713"/>
      <c r="P6" s="3759"/>
      <c r="Q6" s="3760"/>
      <c r="R6" s="3740"/>
      <c r="S6" s="3741"/>
      <c r="T6" s="3761"/>
      <c r="U6" s="3762"/>
      <c r="V6" s="3763"/>
      <c r="W6" s="3763"/>
      <c r="X6" s="1355"/>
      <c r="Y6" s="3761"/>
      <c r="Z6" s="3762"/>
      <c r="AA6" s="3735"/>
      <c r="AB6" s="3735"/>
      <c r="AC6" s="3735"/>
    </row>
    <row r="7" spans="1:29" s="108" customFormat="1" ht="15.75" thickBot="1">
      <c r="A7" s="362" t="s">
        <v>1672</v>
      </c>
      <c r="B7" s="363"/>
      <c r="C7" s="364">
        <f>'数据-取费表'!B2</f>
        <v>45352</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736" t="s">
        <v>1673</v>
      </c>
      <c r="Q7" s="3764"/>
      <c r="R7" s="701" t="s">
        <v>14</v>
      </c>
      <c r="S7" s="702">
        <f t="shared" ref="S7:S15" si="0">F7</f>
        <v>0</v>
      </c>
      <c r="T7" s="701" t="s">
        <v>14</v>
      </c>
      <c r="U7" s="702">
        <f t="shared" ref="U7:U15" si="1">H7</f>
        <v>0</v>
      </c>
      <c r="V7" s="701" t="s">
        <v>14</v>
      </c>
      <c r="W7" s="702">
        <f t="shared" ref="W7:W15" si="2">J7</f>
        <v>0</v>
      </c>
      <c r="X7" s="703"/>
      <c r="Y7" s="3736" t="s">
        <v>1673</v>
      </c>
      <c r="Z7" s="3737"/>
      <c r="AA7" s="704" t="e">
        <f>D7/F7</f>
        <v>#DIV/0!</v>
      </c>
      <c r="AB7" s="704" t="e">
        <f>D7/H7</f>
        <v>#DIV/0!</v>
      </c>
      <c r="AC7" s="704" t="e">
        <f>D7/J7</f>
        <v>#DIV/0!</v>
      </c>
    </row>
    <row r="8" spans="1:29" s="108" customFormat="1" ht="15.75" thickBot="1">
      <c r="A8" s="362" t="s">
        <v>1674</v>
      </c>
      <c r="B8" s="363"/>
      <c r="C8" s="368" t="s">
        <v>1675</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36" t="s">
        <v>1676</v>
      </c>
      <c r="Q8" s="3737"/>
      <c r="R8" s="701" t="s">
        <v>14</v>
      </c>
      <c r="S8" s="702">
        <f t="shared" si="0"/>
        <v>0</v>
      </c>
      <c r="T8" s="701" t="s">
        <v>14</v>
      </c>
      <c r="U8" s="702">
        <f t="shared" si="1"/>
        <v>0</v>
      </c>
      <c r="V8" s="701" t="s">
        <v>14</v>
      </c>
      <c r="W8" s="702">
        <f t="shared" si="2"/>
        <v>0</v>
      </c>
      <c r="X8" s="703"/>
      <c r="Y8" s="3736" t="s">
        <v>1676</v>
      </c>
      <c r="Z8" s="3737"/>
      <c r="AA8" s="704" t="e">
        <f t="shared" ref="AA8:AA40" si="3">D8/F8</f>
        <v>#DIV/0!</v>
      </c>
      <c r="AB8" s="704" t="e">
        <f t="shared" ref="AB8:AB40" si="4">D8/H8</f>
        <v>#DIV/0!</v>
      </c>
      <c r="AC8" s="704" t="e">
        <f t="shared" ref="AC8:AC40" si="5">D8/J8</f>
        <v>#DIV/0!</v>
      </c>
    </row>
    <row r="9" spans="1:29" s="108" customFormat="1">
      <c r="A9" s="369" t="s">
        <v>1677</v>
      </c>
      <c r="B9" s="63" t="s">
        <v>1678</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768" t="s">
        <v>1679</v>
      </c>
      <c r="Q9" s="1343" t="str">
        <f t="shared" ref="Q9:Q15" si="6">B9</f>
        <v>用途</v>
      </c>
      <c r="R9" s="701" t="s">
        <v>14</v>
      </c>
      <c r="S9" s="702">
        <f t="shared" si="0"/>
        <v>100</v>
      </c>
      <c r="T9" s="701" t="s">
        <v>14</v>
      </c>
      <c r="U9" s="702">
        <f t="shared" si="1"/>
        <v>100</v>
      </c>
      <c r="V9" s="701" t="s">
        <v>14</v>
      </c>
      <c r="W9" s="702">
        <f t="shared" si="2"/>
        <v>100</v>
      </c>
      <c r="X9" s="703"/>
      <c r="Y9" s="3661" t="s">
        <v>1680</v>
      </c>
      <c r="Z9" s="52" t="str">
        <f t="shared" ref="Z9:Z15" si="7">Q9</f>
        <v>用途</v>
      </c>
      <c r="AA9" s="704">
        <f t="shared" si="3"/>
        <v>1</v>
      </c>
      <c r="AB9" s="704">
        <f t="shared" si="4"/>
        <v>1</v>
      </c>
      <c r="AC9" s="704">
        <f t="shared" si="5"/>
        <v>1</v>
      </c>
    </row>
    <row r="10" spans="1:29" s="378" customFormat="1" ht="27">
      <c r="A10" s="374"/>
      <c r="B10" s="375" t="s">
        <v>1681</v>
      </c>
      <c r="C10" s="383"/>
      <c r="D10" s="127">
        <v>100</v>
      </c>
      <c r="E10" s="383"/>
      <c r="F10" s="127">
        <f>ROUND(100/'数据-取费表'!G16,0)</f>
        <v>116</v>
      </c>
      <c r="G10" s="383"/>
      <c r="H10" s="127">
        <f>ROUND(100/'数据-取费表'!G16,0)</f>
        <v>116</v>
      </c>
      <c r="I10" s="383"/>
      <c r="J10" s="127">
        <f>ROUND(100/'数据-取费表'!G16,0)</f>
        <v>116</v>
      </c>
      <c r="K10" s="620"/>
      <c r="L10" s="2716"/>
      <c r="M10" s="2717"/>
      <c r="N10" s="2717"/>
      <c r="O10" s="2770"/>
      <c r="P10" s="3768"/>
      <c r="Q10" s="1343" t="str">
        <f t="shared" si="6"/>
        <v>土地使用年限（年）</v>
      </c>
      <c r="R10" s="701" t="s">
        <v>14</v>
      </c>
      <c r="S10" s="702">
        <f t="shared" si="0"/>
        <v>116</v>
      </c>
      <c r="T10" s="701" t="s">
        <v>14</v>
      </c>
      <c r="U10" s="702">
        <f t="shared" si="1"/>
        <v>116</v>
      </c>
      <c r="V10" s="701" t="s">
        <v>14</v>
      </c>
      <c r="W10" s="702">
        <f t="shared" si="2"/>
        <v>116</v>
      </c>
      <c r="X10" s="703"/>
      <c r="Y10" s="3661"/>
      <c r="Z10" s="52" t="str">
        <f t="shared" si="7"/>
        <v>土地使用年限（年）</v>
      </c>
      <c r="AA10" s="704">
        <f t="shared" si="3"/>
        <v>0.86206896551724133</v>
      </c>
      <c r="AB10" s="704">
        <f t="shared" si="4"/>
        <v>0.86206896551724133</v>
      </c>
      <c r="AC10" s="704">
        <f t="shared" si="5"/>
        <v>0.86206896551724133</v>
      </c>
    </row>
    <row r="11" spans="1:29" ht="15">
      <c r="A11" s="379"/>
      <c r="B11" s="375" t="s">
        <v>1682</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68"/>
      <c r="Q11" s="1343" t="str">
        <f t="shared" si="6"/>
        <v>容积率</v>
      </c>
      <c r="R11" s="701" t="s">
        <v>14</v>
      </c>
      <c r="S11" s="702" t="e">
        <f t="shared" si="0"/>
        <v>#N/A</v>
      </c>
      <c r="T11" s="701" t="s">
        <v>14</v>
      </c>
      <c r="U11" s="702" t="e">
        <f t="shared" si="1"/>
        <v>#N/A</v>
      </c>
      <c r="V11" s="701" t="s">
        <v>14</v>
      </c>
      <c r="W11" s="702" t="e">
        <f t="shared" si="2"/>
        <v>#N/A</v>
      </c>
      <c r="X11" s="703"/>
      <c r="Y11" s="3661"/>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68"/>
      <c r="Q12" s="1343">
        <f t="shared" si="6"/>
        <v>111</v>
      </c>
      <c r="R12" s="701" t="s">
        <v>14</v>
      </c>
      <c r="S12" s="702">
        <f t="shared" si="0"/>
        <v>100</v>
      </c>
      <c r="T12" s="701" t="s">
        <v>14</v>
      </c>
      <c r="U12" s="702">
        <f t="shared" si="1"/>
        <v>100</v>
      </c>
      <c r="V12" s="701" t="s">
        <v>14</v>
      </c>
      <c r="W12" s="702">
        <f t="shared" si="2"/>
        <v>100</v>
      </c>
      <c r="X12" s="703"/>
      <c r="Y12" s="3661"/>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68"/>
      <c r="Q13" s="1343">
        <f t="shared" si="6"/>
        <v>111</v>
      </c>
      <c r="R13" s="701" t="s">
        <v>14</v>
      </c>
      <c r="S13" s="702">
        <f t="shared" si="0"/>
        <v>100</v>
      </c>
      <c r="T13" s="701" t="s">
        <v>14</v>
      </c>
      <c r="U13" s="702">
        <f t="shared" si="1"/>
        <v>100</v>
      </c>
      <c r="V13" s="701" t="s">
        <v>14</v>
      </c>
      <c r="W13" s="702">
        <f t="shared" si="2"/>
        <v>100</v>
      </c>
      <c r="X13" s="703"/>
      <c r="Y13" s="3661"/>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68"/>
      <c r="Q14" s="1343">
        <f t="shared" si="6"/>
        <v>111</v>
      </c>
      <c r="R14" s="701" t="s">
        <v>14</v>
      </c>
      <c r="S14" s="702">
        <f t="shared" si="0"/>
        <v>100</v>
      </c>
      <c r="T14" s="701" t="s">
        <v>14</v>
      </c>
      <c r="U14" s="702">
        <f t="shared" si="1"/>
        <v>100</v>
      </c>
      <c r="V14" s="701" t="s">
        <v>14</v>
      </c>
      <c r="W14" s="702">
        <f t="shared" si="2"/>
        <v>100</v>
      </c>
      <c r="X14" s="703"/>
      <c r="Y14" s="3661"/>
      <c r="Z14" s="52">
        <f t="shared" si="7"/>
        <v>111</v>
      </c>
      <c r="AA14" s="704">
        <f t="shared" si="3"/>
        <v>1</v>
      </c>
      <c r="AB14" s="704">
        <f t="shared" si="4"/>
        <v>1</v>
      </c>
      <c r="AC14" s="704">
        <f t="shared" si="5"/>
        <v>1</v>
      </c>
    </row>
    <row r="15" spans="1:29" ht="57">
      <c r="A15" s="391" t="s">
        <v>1683</v>
      </c>
      <c r="B15" s="577" t="s">
        <v>1913</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70" t="s">
        <v>1684</v>
      </c>
      <c r="Q15" s="1352" t="str">
        <f t="shared" si="6"/>
        <v>产业集聚程度</v>
      </c>
      <c r="R15" s="705" t="s">
        <v>14</v>
      </c>
      <c r="S15" s="706">
        <f t="shared" si="0"/>
        <v>100</v>
      </c>
      <c r="T15" s="705" t="s">
        <v>14</v>
      </c>
      <c r="U15" s="706">
        <f t="shared" si="1"/>
        <v>100</v>
      </c>
      <c r="V15" s="705" t="s">
        <v>14</v>
      </c>
      <c r="W15" s="706">
        <f t="shared" si="2"/>
        <v>100</v>
      </c>
      <c r="X15" s="1355"/>
      <c r="Y15" s="3770" t="s">
        <v>1684</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19"/>
      <c r="M16" s="2713"/>
      <c r="N16" s="2713"/>
      <c r="O16" s="2771"/>
      <c r="P16" s="3771"/>
      <c r="Q16" s="1352"/>
      <c r="R16" s="705"/>
      <c r="S16" s="706"/>
      <c r="T16" s="705"/>
      <c r="U16" s="706"/>
      <c r="V16" s="705"/>
      <c r="W16" s="706"/>
      <c r="X16" s="1355"/>
      <c r="Y16" s="3771"/>
      <c r="Z16" s="1356"/>
      <c r="AA16" s="1353">
        <v>1</v>
      </c>
      <c r="AB16" s="1353">
        <v>1</v>
      </c>
      <c r="AC16" s="1353">
        <v>1</v>
      </c>
    </row>
    <row r="17" spans="1:29" ht="85.5">
      <c r="A17" s="379"/>
      <c r="B17" s="579" t="s">
        <v>1826</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71"/>
      <c r="Q17" s="1352" t="str">
        <f>B17</f>
        <v>交通便捷度</v>
      </c>
      <c r="R17" s="705" t="s">
        <v>14</v>
      </c>
      <c r="S17" s="706">
        <f>F17</f>
        <v>100</v>
      </c>
      <c r="T17" s="705" t="s">
        <v>14</v>
      </c>
      <c r="U17" s="706">
        <f>H17</f>
        <v>100</v>
      </c>
      <c r="V17" s="705" t="s">
        <v>14</v>
      </c>
      <c r="W17" s="706">
        <f>J17</f>
        <v>100</v>
      </c>
      <c r="X17" s="1355"/>
      <c r="Y17" s="3771"/>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19"/>
      <c r="M18" s="2713"/>
      <c r="N18" s="2713"/>
      <c r="O18" s="2771"/>
      <c r="P18" s="3771"/>
      <c r="Q18" s="1352"/>
      <c r="R18" s="705"/>
      <c r="S18" s="706"/>
      <c r="T18" s="705"/>
      <c r="U18" s="706"/>
      <c r="V18" s="705"/>
      <c r="W18" s="706"/>
      <c r="X18" s="1355"/>
      <c r="Y18" s="3771"/>
      <c r="Z18" s="1356"/>
      <c r="AA18" s="1353">
        <v>1</v>
      </c>
      <c r="AB18" s="1353">
        <v>1</v>
      </c>
      <c r="AC18" s="1353">
        <v>1</v>
      </c>
    </row>
    <row r="19" spans="1:29" ht="15">
      <c r="A19" s="379"/>
      <c r="B19" s="579" t="s">
        <v>1864</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71"/>
      <c r="Q19" s="1352" t="str">
        <f t="shared" ref="Q19:Q33" si="8">B19</f>
        <v>区域土地利用方向</v>
      </c>
      <c r="R19" s="705" t="s">
        <v>14</v>
      </c>
      <c r="S19" s="706">
        <f>F19</f>
        <v>100</v>
      </c>
      <c r="T19" s="705" t="s">
        <v>14</v>
      </c>
      <c r="U19" s="706">
        <f>H19</f>
        <v>100</v>
      </c>
      <c r="V19" s="705" t="s">
        <v>14</v>
      </c>
      <c r="W19" s="706">
        <f>J19</f>
        <v>100</v>
      </c>
      <c r="X19" s="1355"/>
      <c r="Y19" s="3771"/>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19"/>
      <c r="M20" s="2713"/>
      <c r="N20" s="2713"/>
      <c r="O20" s="2771"/>
      <c r="P20" s="3771"/>
      <c r="Q20" s="1352"/>
      <c r="R20" s="705"/>
      <c r="S20" s="706"/>
      <c r="T20" s="705"/>
      <c r="U20" s="706"/>
      <c r="V20" s="705"/>
      <c r="W20" s="706"/>
      <c r="X20" s="1355"/>
      <c r="Y20" s="3771"/>
      <c r="Z20" s="1356"/>
      <c r="AA20" s="1353"/>
      <c r="AB20" s="1353"/>
      <c r="AC20" s="1353"/>
    </row>
    <row r="21" spans="1:29" ht="71.25">
      <c r="A21" s="358"/>
      <c r="B21" s="579" t="s">
        <v>1914</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71"/>
      <c r="Q21" s="1352" t="str">
        <f t="shared" si="8"/>
        <v>环境状况</v>
      </c>
      <c r="R21" s="705" t="s">
        <v>14</v>
      </c>
      <c r="S21" s="706">
        <f>F21</f>
        <v>100</v>
      </c>
      <c r="T21" s="705" t="s">
        <v>14</v>
      </c>
      <c r="U21" s="706">
        <f>H21</f>
        <v>100</v>
      </c>
      <c r="V21" s="705" t="s">
        <v>14</v>
      </c>
      <c r="W21" s="706">
        <f>J21</f>
        <v>100</v>
      </c>
      <c r="X21" s="1355"/>
      <c r="Y21" s="3771"/>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19"/>
      <c r="M22" s="2713"/>
      <c r="N22" s="2713"/>
      <c r="O22" s="2771"/>
      <c r="P22" s="3771"/>
      <c r="Q22" s="1352"/>
      <c r="R22" s="705"/>
      <c r="S22" s="706"/>
      <c r="T22" s="705"/>
      <c r="U22" s="706"/>
      <c r="V22" s="705"/>
      <c r="W22" s="706"/>
      <c r="X22" s="1355"/>
      <c r="Y22" s="3771"/>
      <c r="Z22" s="1356"/>
      <c r="AA22" s="1353">
        <v>1</v>
      </c>
      <c r="AB22" s="1353">
        <v>1</v>
      </c>
      <c r="AC22" s="1353">
        <v>1</v>
      </c>
    </row>
    <row r="23" spans="1:29" s="108" customFormat="1" ht="42.75">
      <c r="A23" s="597"/>
      <c r="B23" s="581" t="s">
        <v>1771</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71"/>
      <c r="Q23" s="1343" t="str">
        <f t="shared" si="8"/>
        <v>公共配套设施</v>
      </c>
      <c r="R23" s="701" t="s">
        <v>14</v>
      </c>
      <c r="S23" s="702">
        <f>F23</f>
        <v>100</v>
      </c>
      <c r="T23" s="701" t="s">
        <v>14</v>
      </c>
      <c r="U23" s="702">
        <f>H23</f>
        <v>100</v>
      </c>
      <c r="V23" s="701" t="s">
        <v>14</v>
      </c>
      <c r="W23" s="702">
        <f>J23</f>
        <v>100</v>
      </c>
      <c r="X23" s="703"/>
      <c r="Y23" s="3771"/>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4"/>
      <c r="M24" s="2715"/>
      <c r="N24" s="2715"/>
      <c r="O24" s="2769"/>
      <c r="P24" s="3771"/>
      <c r="Q24" s="1343"/>
      <c r="R24" s="701"/>
      <c r="S24" s="702"/>
      <c r="T24" s="701"/>
      <c r="U24" s="702"/>
      <c r="V24" s="701"/>
      <c r="W24" s="702"/>
      <c r="X24" s="703"/>
      <c r="Y24" s="3771"/>
      <c r="Z24" s="52"/>
      <c r="AA24" s="704">
        <v>1</v>
      </c>
      <c r="AB24" s="704">
        <v>1</v>
      </c>
      <c r="AC24" s="704">
        <v>1</v>
      </c>
    </row>
    <row r="25" spans="1:29" s="108" customFormat="1" ht="28.5">
      <c r="A25" s="597"/>
      <c r="B25" s="581" t="s">
        <v>1772</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71"/>
      <c r="Q25" s="1343" t="str">
        <f t="shared" ref="Q25" si="9">B25</f>
        <v>基础设施水平</v>
      </c>
      <c r="R25" s="701" t="s">
        <v>14</v>
      </c>
      <c r="S25" s="702">
        <f>F25</f>
        <v>100</v>
      </c>
      <c r="T25" s="701" t="s">
        <v>14</v>
      </c>
      <c r="U25" s="702">
        <f>H25</f>
        <v>100</v>
      </c>
      <c r="V25" s="701" t="s">
        <v>14</v>
      </c>
      <c r="W25" s="702">
        <f>J25</f>
        <v>100</v>
      </c>
      <c r="X25" s="703"/>
      <c r="Y25" s="3771"/>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4"/>
      <c r="M26" s="2715"/>
      <c r="N26" s="2715"/>
      <c r="O26" s="2769"/>
      <c r="P26" s="3771"/>
      <c r="Q26" s="1343"/>
      <c r="R26" s="701"/>
      <c r="S26" s="702"/>
      <c r="T26" s="701"/>
      <c r="U26" s="702"/>
      <c r="V26" s="701"/>
      <c r="W26" s="702"/>
      <c r="X26" s="703"/>
      <c r="Y26" s="3771"/>
      <c r="Z26" s="52"/>
      <c r="AA26" s="704">
        <v>1</v>
      </c>
      <c r="AB26" s="704">
        <v>1</v>
      </c>
      <c r="AC26" s="704">
        <v>1</v>
      </c>
    </row>
    <row r="27" spans="1:29" ht="15">
      <c r="A27" s="379"/>
      <c r="B27" s="580" t="s">
        <v>1773</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7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71"/>
      <c r="Z27" s="1356" t="str">
        <f t="shared" ref="Z27:Z40" si="13">Q27</f>
        <v>临街状况</v>
      </c>
      <c r="AA27" s="1353">
        <f t="shared" si="3"/>
        <v>1</v>
      </c>
      <c r="AB27" s="1353">
        <f t="shared" si="4"/>
        <v>1</v>
      </c>
      <c r="AC27" s="1353">
        <f t="shared" si="5"/>
        <v>1</v>
      </c>
    </row>
    <row r="28" spans="1:29" ht="27">
      <c r="A28" s="379"/>
      <c r="B28" s="581" t="s">
        <v>1808</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71"/>
      <c r="Q28" s="1352" t="str">
        <f t="shared" si="8"/>
        <v>毗邻道路的类型与等级</v>
      </c>
      <c r="R28" s="705" t="s">
        <v>14</v>
      </c>
      <c r="S28" s="706">
        <f t="shared" si="10"/>
        <v>100</v>
      </c>
      <c r="T28" s="705" t="s">
        <v>14</v>
      </c>
      <c r="U28" s="706">
        <f t="shared" si="11"/>
        <v>100</v>
      </c>
      <c r="V28" s="705" t="s">
        <v>14</v>
      </c>
      <c r="W28" s="706">
        <f t="shared" si="12"/>
        <v>100</v>
      </c>
      <c r="X28" s="1355"/>
      <c r="Y28" s="3771"/>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19"/>
      <c r="M29" s="2713"/>
      <c r="N29" s="2713"/>
      <c r="O29" s="2771"/>
      <c r="P29" s="3771"/>
      <c r="Q29" s="1352"/>
      <c r="R29" s="705"/>
      <c r="S29" s="706"/>
      <c r="T29" s="705"/>
      <c r="U29" s="706"/>
      <c r="V29" s="705"/>
      <c r="W29" s="706"/>
      <c r="X29" s="1355"/>
      <c r="Y29" s="3771"/>
      <c r="Z29" s="1356"/>
      <c r="AA29" s="1353">
        <v>1</v>
      </c>
      <c r="AB29" s="1353">
        <v>1</v>
      </c>
      <c r="AC29" s="1353">
        <v>1</v>
      </c>
    </row>
    <row r="30" spans="1:29" ht="15">
      <c r="A30" s="379"/>
      <c r="B30" s="602" t="s">
        <v>1866</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71"/>
      <c r="Q30" s="1352" t="str">
        <f t="shared" si="8"/>
        <v>土地级别</v>
      </c>
      <c r="R30" s="705" t="s">
        <v>14</v>
      </c>
      <c r="S30" s="706">
        <f t="shared" si="10"/>
        <v>100</v>
      </c>
      <c r="T30" s="705" t="s">
        <v>14</v>
      </c>
      <c r="U30" s="706">
        <f t="shared" si="11"/>
        <v>100</v>
      </c>
      <c r="V30" s="705" t="s">
        <v>14</v>
      </c>
      <c r="W30" s="706">
        <f t="shared" si="12"/>
        <v>100</v>
      </c>
      <c r="X30" s="1355"/>
      <c r="Y30" s="3771"/>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71"/>
      <c r="Q31" s="1352">
        <f t="shared" si="8"/>
        <v>111</v>
      </c>
      <c r="R31" s="705" t="s">
        <v>14</v>
      </c>
      <c r="S31" s="706">
        <f t="shared" si="10"/>
        <v>100</v>
      </c>
      <c r="T31" s="705" t="s">
        <v>14</v>
      </c>
      <c r="U31" s="706">
        <f t="shared" si="11"/>
        <v>100</v>
      </c>
      <c r="V31" s="705" t="s">
        <v>14</v>
      </c>
      <c r="W31" s="706">
        <f t="shared" si="12"/>
        <v>100</v>
      </c>
      <c r="X31" s="1355"/>
      <c r="Y31" s="3771"/>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94" t="s">
        <v>1689</v>
      </c>
      <c r="Q32" s="1352">
        <f t="shared" si="8"/>
        <v>111</v>
      </c>
      <c r="R32" s="705" t="s">
        <v>14</v>
      </c>
      <c r="S32" s="706">
        <f t="shared" si="10"/>
        <v>100</v>
      </c>
      <c r="T32" s="705" t="s">
        <v>14</v>
      </c>
      <c r="U32" s="706">
        <f t="shared" si="11"/>
        <v>100</v>
      </c>
      <c r="V32" s="705" t="s">
        <v>14</v>
      </c>
      <c r="W32" s="706">
        <f t="shared" si="12"/>
        <v>100</v>
      </c>
      <c r="X32" s="1355"/>
      <c r="Y32" s="3775" t="s">
        <v>1689</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75"/>
      <c r="Q33" s="1352">
        <f t="shared" si="8"/>
        <v>111</v>
      </c>
      <c r="R33" s="708" t="s">
        <v>14</v>
      </c>
      <c r="S33" s="709">
        <f t="shared" si="10"/>
        <v>100</v>
      </c>
      <c r="T33" s="708" t="s">
        <v>14</v>
      </c>
      <c r="U33" s="709">
        <f t="shared" si="11"/>
        <v>100</v>
      </c>
      <c r="V33" s="708" t="s">
        <v>14</v>
      </c>
      <c r="W33" s="709">
        <f t="shared" si="12"/>
        <v>100</v>
      </c>
      <c r="X33" s="710"/>
      <c r="Y33" s="3775"/>
      <c r="Z33" s="711">
        <f t="shared" si="13"/>
        <v>111</v>
      </c>
      <c r="AA33" s="1353">
        <f t="shared" si="3"/>
        <v>1</v>
      </c>
      <c r="AB33" s="1353">
        <f t="shared" si="4"/>
        <v>1</v>
      </c>
      <c r="AC33" s="1353">
        <f t="shared" si="5"/>
        <v>1</v>
      </c>
    </row>
    <row r="34" spans="1:31" ht="15">
      <c r="A34" s="391" t="s">
        <v>1687</v>
      </c>
      <c r="B34" s="407" t="s">
        <v>1867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75"/>
      <c r="Q34" s="1352" t="str">
        <f>B34</f>
        <v>宗地面积</v>
      </c>
      <c r="R34" s="705" t="s">
        <v>14</v>
      </c>
      <c r="S34" s="706" t="e">
        <f t="shared" si="10"/>
        <v>#N/A</v>
      </c>
      <c r="T34" s="705" t="s">
        <v>14</v>
      </c>
      <c r="U34" s="706" t="e">
        <f t="shared" si="11"/>
        <v>#N/A</v>
      </c>
      <c r="V34" s="705" t="s">
        <v>14</v>
      </c>
      <c r="W34" s="706" t="e">
        <f t="shared" si="12"/>
        <v>#N/A</v>
      </c>
      <c r="X34" s="1355"/>
      <c r="Y34" s="3775"/>
      <c r="Z34" s="1356" t="str">
        <f t="shared" si="13"/>
        <v>宗地面积</v>
      </c>
      <c r="AA34" s="1353" t="e">
        <f t="shared" si="3"/>
        <v>#N/A</v>
      </c>
      <c r="AB34" s="1353" t="e">
        <f t="shared" si="4"/>
        <v>#N/A</v>
      </c>
      <c r="AC34" s="1353" t="e">
        <f t="shared" si="5"/>
        <v>#N/A</v>
      </c>
    </row>
    <row r="35" spans="1:31" ht="15">
      <c r="A35" s="423"/>
      <c r="B35" s="375" t="s">
        <v>1868</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75"/>
      <c r="Q35" s="1352" t="str">
        <f t="shared" ref="Q35:Q40" si="14">B35</f>
        <v>宗地形状</v>
      </c>
      <c r="R35" s="705" t="s">
        <v>14</v>
      </c>
      <c r="S35" s="706">
        <f t="shared" si="10"/>
        <v>100</v>
      </c>
      <c r="T35" s="705" t="s">
        <v>14</v>
      </c>
      <c r="U35" s="706">
        <f t="shared" si="11"/>
        <v>100</v>
      </c>
      <c r="V35" s="705" t="s">
        <v>14</v>
      </c>
      <c r="W35" s="706">
        <f t="shared" si="12"/>
        <v>100</v>
      </c>
      <c r="X35" s="1355"/>
      <c r="Y35" s="3775"/>
      <c r="Z35" s="1356" t="str">
        <f t="shared" si="13"/>
        <v>宗地形状</v>
      </c>
      <c r="AA35" s="1353">
        <f t="shared" si="3"/>
        <v>1</v>
      </c>
      <c r="AB35" s="1353">
        <f t="shared" si="4"/>
        <v>1</v>
      </c>
      <c r="AC35" s="1353">
        <f t="shared" si="5"/>
        <v>1</v>
      </c>
    </row>
    <row r="36" spans="1:31" s="108" customFormat="1" ht="15">
      <c r="A36" s="424"/>
      <c r="B36" s="375" t="s">
        <v>1870</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775"/>
      <c r="Q36" s="1352" t="str">
        <f t="shared" si="14"/>
        <v>宗地开发程度</v>
      </c>
      <c r="R36" s="701" t="s">
        <v>14</v>
      </c>
      <c r="S36" s="702">
        <f t="shared" si="10"/>
        <v>100</v>
      </c>
      <c r="T36" s="701" t="s">
        <v>14</v>
      </c>
      <c r="U36" s="702">
        <f t="shared" si="11"/>
        <v>100</v>
      </c>
      <c r="V36" s="701" t="s">
        <v>14</v>
      </c>
      <c r="W36" s="702">
        <f t="shared" si="12"/>
        <v>100</v>
      </c>
      <c r="X36" s="703"/>
      <c r="Y36" s="3775"/>
      <c r="Z36" s="52" t="str">
        <f t="shared" si="13"/>
        <v>宗地开发程度</v>
      </c>
      <c r="AA36" s="704">
        <f t="shared" si="3"/>
        <v>1</v>
      </c>
      <c r="AB36" s="704">
        <f t="shared" si="4"/>
        <v>1</v>
      </c>
      <c r="AC36" s="704">
        <f t="shared" si="5"/>
        <v>1</v>
      </c>
    </row>
    <row r="37" spans="1:31" ht="15">
      <c r="A37" s="423"/>
      <c r="B37" s="375" t="s">
        <v>1871</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75" t="s">
        <v>1689</v>
      </c>
      <c r="Q37" s="1352" t="str">
        <f t="shared" si="14"/>
        <v>工程地质条件</v>
      </c>
      <c r="R37" s="705" t="s">
        <v>14</v>
      </c>
      <c r="S37" s="706">
        <f t="shared" si="10"/>
        <v>100</v>
      </c>
      <c r="T37" s="705" t="s">
        <v>14</v>
      </c>
      <c r="U37" s="706">
        <f t="shared" si="11"/>
        <v>100</v>
      </c>
      <c r="V37" s="705" t="s">
        <v>14</v>
      </c>
      <c r="W37" s="706">
        <f t="shared" si="12"/>
        <v>100</v>
      </c>
      <c r="X37" s="1355"/>
      <c r="Y37" s="3775" t="s">
        <v>1689</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75"/>
      <c r="Q38" s="1352">
        <f t="shared" si="14"/>
        <v>111</v>
      </c>
      <c r="R38" s="705" t="s">
        <v>14</v>
      </c>
      <c r="S38" s="706">
        <f t="shared" si="10"/>
        <v>100</v>
      </c>
      <c r="T38" s="705" t="s">
        <v>14</v>
      </c>
      <c r="U38" s="706">
        <f t="shared" si="11"/>
        <v>100</v>
      </c>
      <c r="V38" s="705" t="s">
        <v>14</v>
      </c>
      <c r="W38" s="706">
        <f t="shared" si="12"/>
        <v>100</v>
      </c>
      <c r="X38" s="1355"/>
      <c r="Y38" s="377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75"/>
      <c r="Q39" s="1352">
        <f t="shared" si="14"/>
        <v>111</v>
      </c>
      <c r="R39" s="705" t="s">
        <v>14</v>
      </c>
      <c r="S39" s="706">
        <f t="shared" si="10"/>
        <v>100</v>
      </c>
      <c r="T39" s="705" t="s">
        <v>14</v>
      </c>
      <c r="U39" s="706">
        <f t="shared" si="11"/>
        <v>100</v>
      </c>
      <c r="V39" s="705" t="s">
        <v>14</v>
      </c>
      <c r="W39" s="706">
        <f t="shared" si="12"/>
        <v>100</v>
      </c>
      <c r="X39" s="1355"/>
      <c r="Y39" s="3775"/>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75"/>
      <c r="Q40" s="1352">
        <f t="shared" si="14"/>
        <v>111</v>
      </c>
      <c r="R40" s="708" t="s">
        <v>14</v>
      </c>
      <c r="S40" s="709">
        <f t="shared" si="10"/>
        <v>100</v>
      </c>
      <c r="T40" s="708" t="s">
        <v>14</v>
      </c>
      <c r="U40" s="709">
        <f t="shared" si="11"/>
        <v>100</v>
      </c>
      <c r="V40" s="708" t="s">
        <v>14</v>
      </c>
      <c r="W40" s="709">
        <f t="shared" si="12"/>
        <v>100</v>
      </c>
      <c r="X40" s="710"/>
      <c r="Y40" s="3775"/>
      <c r="Z40" s="711">
        <f t="shared" si="13"/>
        <v>111</v>
      </c>
      <c r="AA40" s="1353">
        <f t="shared" si="3"/>
        <v>1</v>
      </c>
      <c r="AB40" s="1353">
        <f t="shared" si="4"/>
        <v>1</v>
      </c>
      <c r="AC40" s="1353">
        <f t="shared" si="5"/>
        <v>1</v>
      </c>
    </row>
    <row r="41" spans="1:31" ht="15">
      <c r="A41" s="430" t="s">
        <v>1837</v>
      </c>
      <c r="B41" s="1981" t="s">
        <v>1915</v>
      </c>
      <c r="C41" s="630" t="s">
        <v>0</v>
      </c>
      <c r="D41" s="432"/>
      <c r="E41" s="433"/>
      <c r="F41" s="434"/>
      <c r="G41" s="435"/>
      <c r="H41" s="436"/>
      <c r="I41" s="433"/>
      <c r="J41" s="436"/>
      <c r="K41" s="714"/>
      <c r="L41" s="2721"/>
      <c r="M41" s="2713"/>
      <c r="N41" s="2713"/>
      <c r="O41" s="2722"/>
      <c r="P41" s="3768" t="str">
        <f>A41</f>
        <v>成交单价</v>
      </c>
      <c r="Q41" s="3768"/>
      <c r="R41" s="3763">
        <f>E41</f>
        <v>0</v>
      </c>
      <c r="S41" s="3763"/>
      <c r="T41" s="3763">
        <f>G41</f>
        <v>0</v>
      </c>
      <c r="U41" s="3763"/>
      <c r="V41" s="3763">
        <f>I41</f>
        <v>0</v>
      </c>
      <c r="W41" s="3763"/>
      <c r="X41" s="690"/>
      <c r="Y41" s="712"/>
      <c r="Z41" s="690"/>
      <c r="AA41" s="690"/>
      <c r="AB41" s="690"/>
      <c r="AC41" s="690"/>
    </row>
    <row r="42" spans="1:31" ht="15.75" thickBot="1">
      <c r="A42" s="437" t="s">
        <v>1786</v>
      </c>
      <c r="B42" s="631"/>
      <c r="C42" s="440" t="e">
        <f>R43</f>
        <v>#DIV/0!</v>
      </c>
      <c r="D42" s="2316" t="s">
        <v>2131</v>
      </c>
      <c r="E42" s="440" t="e">
        <f>R42</f>
        <v>#DIV/0!</v>
      </c>
      <c r="F42" s="2317"/>
      <c r="G42" s="439" t="e">
        <f>T42</f>
        <v>#DIV/0!</v>
      </c>
      <c r="H42" s="2317"/>
      <c r="I42" s="440" t="e">
        <f>V42</f>
        <v>#DIV/0!</v>
      </c>
      <c r="J42" s="2317"/>
      <c r="K42" s="2319">
        <f>F42+H42+J42</f>
        <v>0</v>
      </c>
      <c r="L42" s="2721"/>
      <c r="M42" s="2713"/>
      <c r="N42" s="2713"/>
      <c r="O42" s="2722"/>
      <c r="P42" s="3768" t="str">
        <f>A42</f>
        <v>比较价值（元/平方米）</v>
      </c>
      <c r="Q42" s="3768"/>
      <c r="R42" s="3796" t="e">
        <f>ROUND(PRODUCT(R41,AA7:AA40),0)</f>
        <v>#DIV/0!</v>
      </c>
      <c r="S42" s="3796"/>
      <c r="T42" s="3796" t="e">
        <f>ROUND(PRODUCT(T41,AB7:AB40),0)</f>
        <v>#DIV/0!</v>
      </c>
      <c r="U42" s="3796"/>
      <c r="V42" s="3796" t="e">
        <f>ROUND(PRODUCT(V41,AC7:AC40),0)</f>
        <v>#DIV/0!</v>
      </c>
      <c r="W42" s="3796"/>
      <c r="X42" s="690"/>
      <c r="Y42" s="690"/>
      <c r="Z42" s="690"/>
      <c r="AA42" s="690"/>
      <c r="AB42" s="690"/>
      <c r="AC42" s="690"/>
    </row>
    <row r="43" spans="1:31" ht="15.75" thickBot="1">
      <c r="A43" s="441" t="s">
        <v>1787</v>
      </c>
      <c r="B43" s="442"/>
      <c r="C43" s="443" t="e">
        <f>R43</f>
        <v>#DIV/0!</v>
      </c>
      <c r="D43" s="443"/>
      <c r="E43" s="443"/>
      <c r="F43" s="443"/>
      <c r="G43" s="443"/>
      <c r="H43" s="443"/>
      <c r="I43" s="443"/>
      <c r="J43" s="443"/>
      <c r="K43" s="715"/>
      <c r="L43" s="2721"/>
      <c r="M43" s="2713"/>
      <c r="N43" s="2713"/>
      <c r="O43" s="2722"/>
      <c r="P43" s="3765" t="str">
        <f>A43</f>
        <v>估价对象XX用房的比较价值（楼面单价，元/平方米）</v>
      </c>
      <c r="Q43" s="3766"/>
      <c r="R43" s="3797" t="e">
        <f>ROUND(IF(D42="简单平均",AVERAGE(R42:W42),R42*F42+T42*H42+V42*J42),0)</f>
        <v>#DIV/0!</v>
      </c>
      <c r="S43" s="3797"/>
      <c r="T43" s="3797"/>
      <c r="U43" s="3797"/>
      <c r="V43" s="3797"/>
      <c r="W43" s="3797"/>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1788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1789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1874</v>
      </c>
      <c r="B50" s="633" t="s">
        <v>1875</v>
      </c>
      <c r="C50" s="1982" t="s">
        <v>1876</v>
      </c>
      <c r="D50" s="1983" t="s">
        <v>1877</v>
      </c>
      <c r="E50" s="634" t="s">
        <v>1878</v>
      </c>
      <c r="F50" s="635" t="s">
        <v>1879</v>
      </c>
      <c r="G50" s="3751" t="s">
        <v>1880</v>
      </c>
      <c r="H50" s="3798"/>
      <c r="I50" s="1356" t="s">
        <v>1916</v>
      </c>
      <c r="J50" s="1356">
        <f>项目基本情况!F35</f>
        <v>0</v>
      </c>
      <c r="K50" s="1985" t="s">
        <v>1882</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1883</v>
      </c>
      <c r="B51" s="637" t="e">
        <f>C43</f>
        <v>#DIV/0!</v>
      </c>
      <c r="C51" s="638">
        <v>1</v>
      </c>
      <c r="D51" s="944">
        <v>1</v>
      </c>
      <c r="E51" s="638">
        <f>'数据-汇总表'!E8+'数据-汇总表'!E9</f>
        <v>55413.87</v>
      </c>
      <c r="F51" s="639" t="e">
        <f t="shared" ref="F51:F60" si="15">ROUND(B51*E51/10000,0)</f>
        <v>#DIV/0!</v>
      </c>
      <c r="G51" s="3750"/>
      <c r="H51" s="3768"/>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1884</v>
      </c>
      <c r="B52" s="218" t="e">
        <f>ROUND($C$43*C52*D52,0)</f>
        <v>#DIV/0!</v>
      </c>
      <c r="C52" s="171">
        <f t="shared" ref="C52:C60" si="16">IF($C$50="北京市系数",I52,J52)</f>
        <v>0</v>
      </c>
      <c r="D52" s="945">
        <v>0.25</v>
      </c>
      <c r="E52" s="642"/>
      <c r="F52" s="639" t="e">
        <f t="shared" si="15"/>
        <v>#DIV/0!</v>
      </c>
      <c r="G52" s="3001" t="s">
        <v>1885</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1886</v>
      </c>
      <c r="B53" s="218" t="e">
        <f t="shared" ref="B53:B60" si="17">ROUND($C$43*C53*D53,0)</f>
        <v>#DIV/0!</v>
      </c>
      <c r="C53" s="171">
        <f t="shared" si="16"/>
        <v>0</v>
      </c>
      <c r="D53" s="945">
        <v>0.25</v>
      </c>
      <c r="E53" s="642"/>
      <c r="F53" s="639" t="e">
        <f t="shared" si="15"/>
        <v>#DIV/0!</v>
      </c>
      <c r="G53" s="3002"/>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1887</v>
      </c>
      <c r="B54" s="218" t="e">
        <f t="shared" si="17"/>
        <v>#DIV/0!</v>
      </c>
      <c r="C54" s="171">
        <f t="shared" si="16"/>
        <v>0</v>
      </c>
      <c r="D54" s="945">
        <v>0.25</v>
      </c>
      <c r="E54" s="642"/>
      <c r="F54" s="639" t="e">
        <f t="shared" si="15"/>
        <v>#DIV/0!</v>
      </c>
      <c r="G54" s="3002"/>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3"/>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1888</v>
      </c>
      <c r="B56" s="218" t="e">
        <f t="shared" si="17"/>
        <v>#DIV/0!</v>
      </c>
      <c r="C56" s="171">
        <f t="shared" si="16"/>
        <v>0</v>
      </c>
      <c r="D56" s="945">
        <v>0.25</v>
      </c>
      <c r="E56" s="217">
        <f>'数据-汇总表'!E11</f>
        <v>7650.01</v>
      </c>
      <c r="F56" s="639" t="e">
        <f t="shared" si="15"/>
        <v>#DIV/0!</v>
      </c>
      <c r="G56" s="1986" t="s">
        <v>1889</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1890</v>
      </c>
      <c r="B57" s="218" t="e">
        <f t="shared" si="17"/>
        <v>#DIV/0!</v>
      </c>
      <c r="C57" s="171">
        <f t="shared" si="16"/>
        <v>0</v>
      </c>
      <c r="D57" s="945">
        <v>0.25</v>
      </c>
      <c r="E57" s="217">
        <f>'数据-汇总表'!E12</f>
        <v>0</v>
      </c>
      <c r="F57" s="639" t="e">
        <f t="shared" si="15"/>
        <v>#DIV/0!</v>
      </c>
      <c r="G57" s="892" t="s">
        <v>1891</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1892</v>
      </c>
      <c r="B58" s="218" t="e">
        <f t="shared" si="17"/>
        <v>#DIV/0!</v>
      </c>
      <c r="C58" s="171">
        <f t="shared" si="16"/>
        <v>0</v>
      </c>
      <c r="D58" s="945">
        <v>0.25</v>
      </c>
      <c r="E58" s="217">
        <f>'数据-汇总表'!E13</f>
        <v>0</v>
      </c>
      <c r="F58" s="639" t="e">
        <f t="shared" si="15"/>
        <v>#DIV/0!</v>
      </c>
      <c r="G58" s="892" t="s">
        <v>1893</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1894</v>
      </c>
      <c r="B59" s="218" t="e">
        <f t="shared" si="17"/>
        <v>#DIV/0!</v>
      </c>
      <c r="C59" s="171">
        <f t="shared" si="16"/>
        <v>0</v>
      </c>
      <c r="D59" s="945">
        <v>0.25</v>
      </c>
      <c r="E59" s="217">
        <f>'数据-汇总表'!E14</f>
        <v>0</v>
      </c>
      <c r="F59" s="639" t="e">
        <f t="shared" si="15"/>
        <v>#DIV/0!</v>
      </c>
      <c r="G59" s="1986" t="s">
        <v>1885</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1895</v>
      </c>
      <c r="B60" s="218" t="e">
        <f t="shared" si="17"/>
        <v>#DIV/0!</v>
      </c>
      <c r="C60" s="171">
        <f t="shared" si="16"/>
        <v>0</v>
      </c>
      <c r="D60" s="945">
        <v>0.25</v>
      </c>
      <c r="E60" s="217">
        <f>'数据-汇总表'!E15</f>
        <v>0</v>
      </c>
      <c r="F60" s="639" t="e">
        <f t="shared" si="15"/>
        <v>#DIV/0!</v>
      </c>
      <c r="G60" s="1987" t="s">
        <v>1889</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1896</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2"/>
      <c r="Q63" s="2722"/>
      <c r="R63" s="2722"/>
      <c r="S63" s="2722"/>
      <c r="T63" s="2722"/>
      <c r="U63" s="2722"/>
      <c r="V63" s="2722"/>
      <c r="W63" s="2722"/>
      <c r="X63" s="2722"/>
      <c r="Y63" s="2722"/>
      <c r="Z63" s="2722"/>
      <c r="AA63" s="2722"/>
      <c r="AB63" s="2722"/>
      <c r="AC63" s="2722"/>
      <c r="AD63" s="2722"/>
      <c r="AE63" s="2722"/>
    </row>
    <row r="64" spans="1:31" ht="21.75" thickBot="1">
      <c r="A64" s="694" t="s">
        <v>1791</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8" t="s">
        <v>1897</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1917</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1709</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1674</v>
      </c>
      <c r="B68" s="459"/>
      <c r="C68" s="471" t="s">
        <v>1769</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1712</v>
      </c>
      <c r="B70" s="477" t="s">
        <v>1678</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1681</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1683</v>
      </c>
      <c r="B83" s="477" t="s">
        <v>1822</v>
      </c>
      <c r="C83" s="522" t="s">
        <v>1714</v>
      </c>
      <c r="D83" s="522" t="s">
        <v>1715</v>
      </c>
      <c r="E83" s="522" t="s">
        <v>1716</v>
      </c>
      <c r="F83" s="522" t="s">
        <v>1717</v>
      </c>
      <c r="G83" s="522" t="s">
        <v>1718</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1719</v>
      </c>
      <c r="C85" s="527" t="s">
        <v>1714</v>
      </c>
      <c r="D85" s="527" t="s">
        <v>1715</v>
      </c>
      <c r="E85" s="527" t="s">
        <v>1716</v>
      </c>
      <c r="F85" s="527" t="s">
        <v>1717</v>
      </c>
      <c r="G85" s="527" t="s">
        <v>1718</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1900</v>
      </c>
      <c r="C87" s="522" t="s">
        <v>1714</v>
      </c>
      <c r="D87" s="522" t="s">
        <v>1715</v>
      </c>
      <c r="E87" s="522" t="s">
        <v>1716</v>
      </c>
      <c r="F87" s="522" t="s">
        <v>1717</v>
      </c>
      <c r="G87" s="522" t="s">
        <v>1718</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1901</v>
      </c>
      <c r="C89" s="522" t="s">
        <v>1714</v>
      </c>
      <c r="D89" s="522" t="s">
        <v>1715</v>
      </c>
      <c r="E89" s="522" t="s">
        <v>1716</v>
      </c>
      <c r="F89" s="522" t="s">
        <v>1717</v>
      </c>
      <c r="G89" s="522" t="s">
        <v>1718</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1771</v>
      </c>
      <c r="C91" s="522" t="s">
        <v>1714</v>
      </c>
      <c r="D91" s="522" t="s">
        <v>1715</v>
      </c>
      <c r="E91" s="522" t="s">
        <v>1716</v>
      </c>
      <c r="F91" s="522" t="s">
        <v>1717</v>
      </c>
      <c r="G91" s="522" t="s">
        <v>1718</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1918</v>
      </c>
      <c r="C93" s="608" t="s">
        <v>1792</v>
      </c>
      <c r="D93" s="608" t="s">
        <v>1793</v>
      </c>
      <c r="E93" s="608" t="s">
        <v>1794</v>
      </c>
      <c r="F93" s="608" t="s">
        <v>1795</v>
      </c>
      <c r="G93" s="608" t="s">
        <v>1796</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1902</v>
      </c>
      <c r="D95" s="488" t="s">
        <v>1903</v>
      </c>
      <c r="E95" s="488" t="s">
        <v>1904</v>
      </c>
      <c r="F95" s="488" t="s">
        <v>1905</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1808</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1866</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1687</v>
      </c>
      <c r="B107" s="477" t="s">
        <v>1906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1907</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1909</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1910</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2076</v>
      </c>
      <c r="C1" s="3806" t="s">
        <v>2077</v>
      </c>
      <c r="D1" s="3807"/>
      <c r="E1" s="3807"/>
      <c r="F1" s="3807"/>
      <c r="G1" s="3807"/>
      <c r="H1" s="3807"/>
      <c r="I1" s="3807"/>
      <c r="J1" s="3807"/>
      <c r="K1" s="3807"/>
      <c r="L1" s="3807"/>
      <c r="M1" s="3807"/>
      <c r="N1" s="3807"/>
      <c r="O1" s="3807"/>
      <c r="P1" s="3807"/>
      <c r="Q1" s="3807"/>
      <c r="R1" s="3807"/>
      <c r="S1" s="3808"/>
      <c r="T1" s="983" t="s">
        <v>2078</v>
      </c>
    </row>
    <row r="2" spans="1:45" s="655" customFormat="1">
      <c r="A2" s="984"/>
      <c r="B2" s="651" t="s">
        <v>2079</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2080</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2081</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2082</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2083</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2084</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2085</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2086</v>
      </c>
      <c r="B17" s="2148" t="s">
        <v>2087</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2088</v>
      </c>
      <c r="E19" s="1340"/>
      <c r="F19" s="1340"/>
      <c r="G19" s="1340"/>
      <c r="H19" s="1059"/>
      <c r="I19" s="159"/>
      <c r="J19" s="159"/>
      <c r="K19" s="159"/>
      <c r="L19" s="159"/>
      <c r="M19" s="159"/>
      <c r="N19" s="159"/>
      <c r="O19" s="159"/>
      <c r="P19" s="159"/>
      <c r="Q19" s="159"/>
      <c r="R19" s="718"/>
      <c r="S19" s="129"/>
    </row>
    <row r="20" spans="1:45" ht="16.5" thickBot="1">
      <c r="A20" s="662" t="s">
        <v>2089</v>
      </c>
      <c r="B20" s="294" t="e">
        <f ca="1">IF(D20="——",S22,S22-F20)</f>
        <v>#REF!</v>
      </c>
      <c r="C20" s="159"/>
      <c r="D20" s="2150"/>
      <c r="E20" s="1341"/>
      <c r="F20" s="983" t="e">
        <f ca="1">SUMIF(INDIRECT("'"&amp;H20&amp;"'"&amp;"!A:A"),"承租人权益价值",INDIRECT("'"&amp;H20&amp;"'"&amp;"!c:c"))</f>
        <v>#REF!</v>
      </c>
      <c r="G20" s="983" t="s">
        <v>2090</v>
      </c>
      <c r="H20" s="2151"/>
      <c r="I20" s="159"/>
      <c r="J20" s="159"/>
      <c r="K20" s="159"/>
      <c r="L20" s="159"/>
      <c r="M20" s="159"/>
      <c r="N20" s="159"/>
      <c r="O20" s="159"/>
      <c r="P20" s="159"/>
      <c r="Q20" s="159"/>
      <c r="R20" s="718"/>
      <c r="S20" s="129"/>
    </row>
    <row r="21" spans="1:45" ht="15.75">
      <c r="A21" s="662" t="s">
        <v>2091</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2092</v>
      </c>
      <c r="B22" s="21">
        <f>SUM(B24:B10000)</f>
        <v>0</v>
      </c>
      <c r="C22" s="3803" t="s">
        <v>27</v>
      </c>
      <c r="D22" s="3804"/>
      <c r="E22" s="3804"/>
      <c r="F22" s="3804"/>
      <c r="G22" s="3804"/>
      <c r="H22" s="3804"/>
      <c r="I22" s="3804"/>
      <c r="J22" s="3804"/>
      <c r="K22" s="3804"/>
      <c r="L22" s="3804"/>
      <c r="M22" s="3804"/>
      <c r="N22" s="3804"/>
      <c r="O22" s="3804"/>
      <c r="P22" s="3804"/>
      <c r="Q22" s="3805"/>
      <c r="R22" s="663" t="e">
        <f>ROUND(S22*10000/B22,0)</f>
        <v>#DIV/0!</v>
      </c>
      <c r="S22" s="21">
        <f>SUM(S24:S10000)</f>
        <v>0</v>
      </c>
    </row>
    <row r="23" spans="1:45" s="9" customFormat="1" ht="24">
      <c r="A23" s="8" t="s">
        <v>2093</v>
      </c>
      <c r="B23" s="8" t="s">
        <v>2094</v>
      </c>
      <c r="C23" s="8" t="s">
        <v>2095</v>
      </c>
      <c r="D23" s="8" t="str">
        <f>B5</f>
        <v>修正项2</v>
      </c>
      <c r="E23" s="8" t="s">
        <v>2095</v>
      </c>
      <c r="F23" s="8" t="str">
        <f>B7</f>
        <v>修正项3</v>
      </c>
      <c r="G23" s="8" t="s">
        <v>2095</v>
      </c>
      <c r="H23" s="8" t="str">
        <f>B9</f>
        <v>修正项4</v>
      </c>
      <c r="I23" s="8" t="s">
        <v>2095</v>
      </c>
      <c r="J23" s="8" t="str">
        <f>B11</f>
        <v>修正项5</v>
      </c>
      <c r="K23" s="8" t="s">
        <v>2095</v>
      </c>
      <c r="L23" s="8" t="str">
        <f>B13</f>
        <v>修正项6</v>
      </c>
      <c r="M23" s="8" t="s">
        <v>2095</v>
      </c>
      <c r="N23" s="8" t="str">
        <f>B15</f>
        <v>修正项7</v>
      </c>
      <c r="O23" s="8" t="s">
        <v>2095</v>
      </c>
      <c r="P23" s="8" t="str">
        <f>B17</f>
        <v>楼层</v>
      </c>
      <c r="Q23" s="8" t="s">
        <v>2095</v>
      </c>
      <c r="R23" s="664" t="s">
        <v>2096</v>
      </c>
      <c r="S23" s="8" t="s">
        <v>2097</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2098</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6" t="s">
        <v>2074</v>
      </c>
      <c r="B1" s="2146"/>
      <c r="C1" s="2146"/>
      <c r="D1" s="2146"/>
      <c r="E1" s="2146"/>
      <c r="F1" s="2790"/>
      <c r="G1" s="2790"/>
      <c r="H1" s="2790"/>
      <c r="I1" s="2790"/>
      <c r="J1" s="2790"/>
      <c r="K1" s="2790"/>
      <c r="L1" s="2790"/>
      <c r="M1" s="2790"/>
      <c r="N1" s="2790"/>
      <c r="O1" s="2790"/>
      <c r="P1" s="2790"/>
    </row>
    <row r="2" spans="1:16" ht="15.75">
      <c r="A2" s="2144" t="s">
        <v>2066</v>
      </c>
      <c r="B2" s="2599">
        <f ca="1">SUMIF(B6:B13,"&lt;&gt;#ref!",B6:B13)</f>
        <v>52981</v>
      </c>
      <c r="C2" s="2144" t="s">
        <v>2067</v>
      </c>
      <c r="D2" s="2144" t="s">
        <v>2068</v>
      </c>
      <c r="E2" s="2609">
        <f ca="1">SUMIF(E6:E13,"&lt;&gt;#ref!",E6:E13)</f>
        <v>63063.880000000005</v>
      </c>
      <c r="F2" s="2790"/>
      <c r="G2" s="2790"/>
      <c r="H2" s="2790"/>
      <c r="I2" s="2790"/>
      <c r="J2" s="2790"/>
      <c r="K2" s="2790"/>
      <c r="L2" s="2790"/>
      <c r="M2" s="2790"/>
      <c r="N2" s="2790"/>
      <c r="O2" s="2790"/>
      <c r="P2" s="2790"/>
    </row>
    <row r="3" spans="1:16" ht="15.75">
      <c r="A3" s="2144" t="s">
        <v>2069</v>
      </c>
      <c r="B3" s="2599">
        <f ca="1">ROUND(B2*10000/E2,0)</f>
        <v>8401</v>
      </c>
      <c r="C3" s="2144" t="s">
        <v>2075</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2070</v>
      </c>
      <c r="B5" s="2607" t="s">
        <v>2071</v>
      </c>
      <c r="C5" s="2145"/>
      <c r="D5" s="2790"/>
      <c r="E5" s="2608" t="s">
        <v>2072</v>
      </c>
      <c r="F5" s="2790"/>
      <c r="G5" s="2790"/>
      <c r="H5" s="2790"/>
      <c r="I5" s="2790"/>
      <c r="J5" s="2790"/>
      <c r="K5" s="2790"/>
      <c r="L5" s="2790"/>
      <c r="M5" s="2790"/>
      <c r="N5" s="2790"/>
      <c r="O5" s="2790"/>
      <c r="P5" s="2790"/>
    </row>
    <row r="6" spans="1:16" ht="15.75">
      <c r="A6" s="2606" t="s">
        <v>2073</v>
      </c>
      <c r="B6" s="2599">
        <f ca="1">SUMIF(INDIRECT("'"&amp;A6&amp;"'"&amp;"!A:A"),"总价",INDIRECT("'"&amp;A6&amp;"'"&amp;"!B:B"))</f>
        <v>52981</v>
      </c>
      <c r="C6" s="2144" t="s">
        <v>2067</v>
      </c>
      <c r="D6" s="2790"/>
      <c r="E6" s="2609">
        <f ca="1">SUMIF(INDIRECT("'"&amp;A6&amp;"'"&amp;"!C:C"),"建筑面积",INDIRECT("'"&amp;A6&amp;"'"&amp;"!D:D"))</f>
        <v>63063.880000000005</v>
      </c>
      <c r="F6" s="2790"/>
      <c r="G6" s="2790"/>
      <c r="H6" s="2790"/>
      <c r="I6" s="2790"/>
      <c r="J6" s="2790"/>
      <c r="K6" s="2790"/>
      <c r="L6" s="2790"/>
      <c r="M6" s="2790"/>
      <c r="N6" s="2790"/>
      <c r="O6" s="2790"/>
      <c r="P6" s="2790"/>
    </row>
    <row r="7" spans="1:16" ht="15.75">
      <c r="A7" s="2606"/>
      <c r="B7" s="2599" t="e">
        <f ca="1">SUMIF(INDIRECT("'"&amp;A7&amp;"'"&amp;"!A:A"),"总价",INDIRECT("'"&amp;A7&amp;"'"&amp;"!B:B"))</f>
        <v>#REF!</v>
      </c>
      <c r="C7" s="2144" t="s">
        <v>2067</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4" t="s">
        <v>2067</v>
      </c>
      <c r="D8" s="2790"/>
      <c r="E8" s="2609" t="e">
        <f t="shared" ca="1" si="0"/>
        <v>#REF!</v>
      </c>
      <c r="F8" s="2790"/>
      <c r="G8" s="2790"/>
      <c r="H8" s="2790"/>
      <c r="I8" s="2790"/>
      <c r="J8" s="2790"/>
      <c r="K8" s="2790"/>
      <c r="L8" s="2790"/>
      <c r="M8" s="2790"/>
      <c r="N8" s="2790"/>
      <c r="O8" s="2790"/>
      <c r="P8" s="2790"/>
    </row>
    <row r="9" spans="1:16" ht="15.75">
      <c r="A9" s="2606"/>
      <c r="B9" s="2599" t="e">
        <f t="shared" ca="1" si="1"/>
        <v>#REF!</v>
      </c>
      <c r="C9" s="2144" t="s">
        <v>2067</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4" t="s">
        <v>2067</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4" t="s">
        <v>2067</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4" t="s">
        <v>2067</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4" t="s">
        <v>2067</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2582</v>
      </c>
      <c r="B1" s="3067" t="s">
        <v>2583</v>
      </c>
      <c r="C1" s="3067" t="s">
        <v>2584</v>
      </c>
      <c r="D1" s="3067" t="s">
        <v>2585</v>
      </c>
      <c r="E1" s="3067" t="s">
        <v>2586</v>
      </c>
      <c r="F1" s="3067" t="s">
        <v>2587</v>
      </c>
      <c r="G1" s="3067" t="s">
        <v>2588</v>
      </c>
      <c r="H1" s="3067" t="s">
        <v>2589</v>
      </c>
      <c r="I1" s="3067" t="s">
        <v>2590</v>
      </c>
      <c r="J1" s="3067" t="s">
        <v>2591</v>
      </c>
      <c r="K1" s="3067" t="s">
        <v>2592</v>
      </c>
      <c r="L1" s="3067" t="s">
        <v>2593</v>
      </c>
      <c r="M1" s="3068" t="s">
        <v>2594</v>
      </c>
    </row>
    <row r="2" spans="1:13" ht="19.5" customHeight="1">
      <c r="A2" s="3070" t="s">
        <v>2595</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2596</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2597</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2598</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2599</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2600</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2601</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2602</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2603</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2604</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2605</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2606</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2607</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2608</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2609</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2610</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2611</v>
      </c>
      <c r="B18" s="3092"/>
      <c r="C18" s="3093"/>
      <c r="D18" s="3093"/>
      <c r="E18" s="3092"/>
      <c r="F18" s="3093"/>
      <c r="G18" s="3093"/>
    </row>
    <row r="19" spans="1:13" ht="19.5" customHeight="1" thickBot="1">
      <c r="A19" s="3090" t="s">
        <v>2612</v>
      </c>
      <c r="B19" s="3095" t="s">
        <v>2613</v>
      </c>
      <c r="C19" s="3095" t="s">
        <v>2614</v>
      </c>
      <c r="D19" s="3096"/>
      <c r="E19" s="3090" t="s">
        <v>2615</v>
      </c>
      <c r="F19" s="3097"/>
      <c r="G19" s="3097"/>
    </row>
    <row r="20" spans="1:13" ht="19.5" customHeight="1">
      <c r="A20" s="3816" t="s">
        <v>2595</v>
      </c>
      <c r="B20" s="3809" t="s">
        <v>2616</v>
      </c>
      <c r="C20" s="3098" t="s">
        <v>2427</v>
      </c>
      <c r="D20" s="3099"/>
      <c r="E20" s="3100">
        <v>1</v>
      </c>
      <c r="F20" s="3101" t="s">
        <v>2428</v>
      </c>
      <c r="G20" s="3101"/>
    </row>
    <row r="21" spans="1:13" ht="19.5" customHeight="1">
      <c r="A21" s="3817"/>
      <c r="B21" s="3810"/>
      <c r="C21" s="3102" t="s">
        <v>2429</v>
      </c>
      <c r="D21" s="3103"/>
      <c r="E21" s="3104">
        <v>1</v>
      </c>
      <c r="F21" s="3101" t="s">
        <v>2430</v>
      </c>
      <c r="G21" s="3101"/>
    </row>
    <row r="22" spans="1:13" ht="19.5" customHeight="1">
      <c r="A22" s="3817"/>
      <c r="B22" s="3810"/>
      <c r="C22" s="3102" t="s">
        <v>2431</v>
      </c>
      <c r="D22" s="3103"/>
      <c r="E22" s="3104">
        <v>0.9</v>
      </c>
      <c r="F22" s="3101" t="s">
        <v>2432</v>
      </c>
      <c r="G22" s="3101"/>
    </row>
    <row r="23" spans="1:13" ht="19.5" customHeight="1">
      <c r="A23" s="3817"/>
      <c r="B23" s="3810"/>
      <c r="C23" s="3102" t="s">
        <v>2433</v>
      </c>
      <c r="D23" s="3103"/>
      <c r="E23" s="3104">
        <v>0.9</v>
      </c>
      <c r="F23" s="3101" t="s">
        <v>2434</v>
      </c>
      <c r="G23" s="3101"/>
    </row>
    <row r="24" spans="1:13" ht="19.5" customHeight="1">
      <c r="A24" s="3817"/>
      <c r="B24" s="3810"/>
      <c r="C24" s="3102" t="s">
        <v>2435</v>
      </c>
      <c r="D24" s="3103"/>
      <c r="E24" s="3104">
        <v>0.8</v>
      </c>
      <c r="F24" s="3101" t="s">
        <v>2436</v>
      </c>
      <c r="G24" s="3101"/>
    </row>
    <row r="25" spans="1:13" ht="19.5" customHeight="1" thickBot="1">
      <c r="A25" s="3818"/>
      <c r="B25" s="3811"/>
      <c r="C25" s="3105" t="s">
        <v>2437</v>
      </c>
      <c r="D25" s="3106"/>
      <c r="E25" s="3107">
        <v>0.8</v>
      </c>
      <c r="F25" s="3101" t="s">
        <v>2438</v>
      </c>
      <c r="G25" s="3101"/>
    </row>
    <row r="26" spans="1:13" ht="19.5" customHeight="1" thickBot="1">
      <c r="A26" s="3108" t="s">
        <v>2617</v>
      </c>
      <c r="B26" s="3109" t="s">
        <v>2616</v>
      </c>
      <c r="C26" s="3110" t="s">
        <v>2618</v>
      </c>
      <c r="D26" s="3111"/>
      <c r="E26" s="3112">
        <v>1</v>
      </c>
      <c r="F26" s="3101" t="s">
        <v>2439</v>
      </c>
      <c r="G26" s="3101"/>
    </row>
    <row r="27" spans="1:13" ht="19.5" customHeight="1">
      <c r="A27" s="3812" t="s">
        <v>2619</v>
      </c>
      <c r="B27" s="3809" t="s">
        <v>2600</v>
      </c>
      <c r="C27" s="3098" t="s">
        <v>2440</v>
      </c>
      <c r="D27" s="3099"/>
      <c r="E27" s="3100">
        <v>1</v>
      </c>
      <c r="F27" s="3101" t="s">
        <v>2441</v>
      </c>
      <c r="G27" s="3101"/>
    </row>
    <row r="28" spans="1:13" ht="19.5" customHeight="1">
      <c r="A28" s="3813"/>
      <c r="B28" s="3810"/>
      <c r="C28" s="3102" t="s">
        <v>2442</v>
      </c>
      <c r="D28" s="3103"/>
      <c r="E28" s="3104">
        <v>1</v>
      </c>
      <c r="F28" s="3101" t="s">
        <v>2443</v>
      </c>
      <c r="G28" s="3101"/>
    </row>
    <row r="29" spans="1:13" ht="19.5" customHeight="1">
      <c r="A29" s="3813"/>
      <c r="B29" s="3810"/>
      <c r="C29" s="3102" t="s">
        <v>2444</v>
      </c>
      <c r="D29" s="3103"/>
      <c r="E29" s="3104">
        <v>0.8</v>
      </c>
      <c r="F29" s="3101" t="s">
        <v>2445</v>
      </c>
      <c r="G29" s="3101"/>
    </row>
    <row r="30" spans="1:13" ht="19.5" customHeight="1">
      <c r="A30" s="3813"/>
      <c r="B30" s="3810"/>
      <c r="C30" s="3102" t="s">
        <v>2446</v>
      </c>
      <c r="D30" s="3103"/>
      <c r="E30" s="3104">
        <v>0.8</v>
      </c>
      <c r="F30" s="3101" t="s">
        <v>2447</v>
      </c>
      <c r="G30" s="3101"/>
    </row>
    <row r="31" spans="1:13" ht="19.5" customHeight="1">
      <c r="A31" s="3813"/>
      <c r="B31" s="3810"/>
      <c r="C31" s="3102" t="s">
        <v>2448</v>
      </c>
      <c r="D31" s="3103"/>
      <c r="E31" s="3104">
        <v>0.8</v>
      </c>
      <c r="F31" s="3101" t="s">
        <v>2449</v>
      </c>
      <c r="G31" s="3101"/>
    </row>
    <row r="32" spans="1:13" ht="19.5" customHeight="1">
      <c r="A32" s="3813"/>
      <c r="B32" s="3810"/>
      <c r="C32" s="3102" t="s">
        <v>2450</v>
      </c>
      <c r="D32" s="3103"/>
      <c r="E32" s="3104">
        <v>0.7</v>
      </c>
      <c r="F32" s="3101" t="s">
        <v>2451</v>
      </c>
      <c r="G32" s="3101"/>
    </row>
    <row r="33" spans="1:7" ht="19.5" customHeight="1">
      <c r="A33" s="3813"/>
      <c r="B33" s="3810"/>
      <c r="C33" s="3102" t="s">
        <v>2452</v>
      </c>
      <c r="D33" s="3103"/>
      <c r="E33" s="3104">
        <v>0.8</v>
      </c>
      <c r="F33" s="3101" t="s">
        <v>2453</v>
      </c>
      <c r="G33" s="3101"/>
    </row>
    <row r="34" spans="1:7" ht="19.5" customHeight="1">
      <c r="A34" s="3813"/>
      <c r="B34" s="3810"/>
      <c r="C34" s="3102" t="s">
        <v>2454</v>
      </c>
      <c r="D34" s="3103"/>
      <c r="E34" s="3104">
        <v>0.6</v>
      </c>
      <c r="F34" s="3101" t="s">
        <v>2455</v>
      </c>
      <c r="G34" s="3101"/>
    </row>
    <row r="35" spans="1:7" ht="19.5" customHeight="1">
      <c r="A35" s="3813"/>
      <c r="B35" s="3810"/>
      <c r="C35" s="3102" t="s">
        <v>2456</v>
      </c>
      <c r="D35" s="3103"/>
      <c r="E35" s="3104">
        <v>0.2</v>
      </c>
      <c r="F35" s="3101" t="s">
        <v>2457</v>
      </c>
      <c r="G35" s="3101"/>
    </row>
    <row r="36" spans="1:7" ht="19.5" customHeight="1">
      <c r="A36" s="3813"/>
      <c r="B36" s="3810"/>
      <c r="C36" s="3102" t="s">
        <v>2458</v>
      </c>
      <c r="D36" s="3103"/>
      <c r="E36" s="3104">
        <v>0.2</v>
      </c>
      <c r="F36" s="3101" t="s">
        <v>2459</v>
      </c>
      <c r="G36" s="3101"/>
    </row>
    <row r="37" spans="1:7" ht="19.5" customHeight="1">
      <c r="A37" s="3813"/>
      <c r="B37" s="3815" t="s">
        <v>2620</v>
      </c>
      <c r="C37" s="3102" t="s">
        <v>2460</v>
      </c>
      <c r="D37" s="3103"/>
      <c r="E37" s="3104">
        <v>0.6</v>
      </c>
      <c r="F37" s="3101" t="s">
        <v>2461</v>
      </c>
      <c r="G37" s="3101"/>
    </row>
    <row r="38" spans="1:7" ht="19.5" customHeight="1">
      <c r="A38" s="3813"/>
      <c r="B38" s="3810"/>
      <c r="C38" s="3102" t="s">
        <v>2462</v>
      </c>
      <c r="D38" s="3103"/>
      <c r="E38" s="3104">
        <v>0.6</v>
      </c>
      <c r="F38" s="3101" t="s">
        <v>2463</v>
      </c>
      <c r="G38" s="3101"/>
    </row>
    <row r="39" spans="1:7" ht="19.5" customHeight="1" thickBot="1">
      <c r="A39" s="3814"/>
      <c r="B39" s="3811"/>
      <c r="C39" s="3105" t="s">
        <v>2464</v>
      </c>
      <c r="D39" s="3106"/>
      <c r="E39" s="3107">
        <v>0.6</v>
      </c>
      <c r="F39" s="3101" t="s">
        <v>2465</v>
      </c>
      <c r="G39" s="3101"/>
    </row>
    <row r="40" spans="1:7" ht="19.5" customHeight="1" thickBot="1">
      <c r="A40" s="3108" t="s">
        <v>2597</v>
      </c>
      <c r="B40" s="3109" t="s">
        <v>2597</v>
      </c>
      <c r="C40" s="3110" t="s">
        <v>2621</v>
      </c>
      <c r="D40" s="3111"/>
      <c r="E40" s="3112">
        <v>1</v>
      </c>
      <c r="F40" s="3101" t="s">
        <v>2466</v>
      </c>
      <c r="G40" s="3101"/>
    </row>
    <row r="41" spans="1:7" ht="19.5" customHeight="1">
      <c r="A41" s="3816" t="s">
        <v>2598</v>
      </c>
      <c r="B41" s="3809" t="s">
        <v>2622</v>
      </c>
      <c r="C41" s="3098" t="s">
        <v>2467</v>
      </c>
      <c r="D41" s="3099"/>
      <c r="E41" s="3100">
        <v>1</v>
      </c>
      <c r="F41" s="3101" t="s">
        <v>2468</v>
      </c>
      <c r="G41" s="3101"/>
    </row>
    <row r="42" spans="1:7" ht="19.5" customHeight="1">
      <c r="A42" s="3817"/>
      <c r="B42" s="3810"/>
      <c r="C42" s="3102" t="s">
        <v>2469</v>
      </c>
      <c r="D42" s="3103"/>
      <c r="E42" s="3104">
        <v>1</v>
      </c>
      <c r="F42" s="3101" t="s">
        <v>2470</v>
      </c>
      <c r="G42" s="3101"/>
    </row>
    <row r="43" spans="1:7" ht="19.5" customHeight="1">
      <c r="A43" s="3817"/>
      <c r="B43" s="3819"/>
      <c r="C43" s="3102" t="s">
        <v>2471</v>
      </c>
      <c r="D43" s="3103"/>
      <c r="E43" s="3104">
        <v>1.5</v>
      </c>
      <c r="F43" s="3101" t="s">
        <v>2472</v>
      </c>
      <c r="G43" s="3101"/>
    </row>
    <row r="44" spans="1:7" ht="19.5" customHeight="1">
      <c r="A44" s="3817"/>
      <c r="B44" s="3113" t="s">
        <v>2623</v>
      </c>
      <c r="C44" s="3102" t="s">
        <v>2624</v>
      </c>
      <c r="D44" s="3103"/>
      <c r="E44" s="3104">
        <v>2</v>
      </c>
      <c r="F44" s="3101" t="s">
        <v>2473</v>
      </c>
      <c r="G44" s="3101"/>
    </row>
    <row r="45" spans="1:7" ht="19.5" customHeight="1">
      <c r="A45" s="3817"/>
      <c r="B45" s="3815" t="s">
        <v>2625</v>
      </c>
      <c r="C45" s="3102" t="s">
        <v>2474</v>
      </c>
      <c r="D45" s="3103"/>
      <c r="E45" s="3104">
        <v>1</v>
      </c>
      <c r="F45" s="3101" t="s">
        <v>2475</v>
      </c>
      <c r="G45" s="3101"/>
    </row>
    <row r="46" spans="1:7" ht="19.5" customHeight="1">
      <c r="A46" s="3817"/>
      <c r="B46" s="3810"/>
      <c r="C46" s="3102" t="s">
        <v>2476</v>
      </c>
      <c r="D46" s="3103"/>
      <c r="E46" s="3104">
        <v>1</v>
      </c>
      <c r="F46" s="3101" t="s">
        <v>2477</v>
      </c>
      <c r="G46" s="3101"/>
    </row>
    <row r="47" spans="1:7" ht="19.5" customHeight="1">
      <c r="A47" s="3817"/>
      <c r="B47" s="3810"/>
      <c r="C47" s="3102" t="s">
        <v>2478</v>
      </c>
      <c r="D47" s="3103"/>
      <c r="E47" s="3104">
        <v>1</v>
      </c>
      <c r="F47" s="3101" t="s">
        <v>2479</v>
      </c>
      <c r="G47" s="3101"/>
    </row>
    <row r="48" spans="1:7" ht="19.5" customHeight="1">
      <c r="A48" s="3817"/>
      <c r="B48" s="3810"/>
      <c r="C48" s="3102" t="s">
        <v>2480</v>
      </c>
      <c r="D48" s="3103"/>
      <c r="E48" s="3104">
        <v>1</v>
      </c>
      <c r="F48" s="3101" t="s">
        <v>2481</v>
      </c>
      <c r="G48" s="3101"/>
    </row>
    <row r="49" spans="1:7" ht="19.5" customHeight="1">
      <c r="A49" s="3817"/>
      <c r="B49" s="3810"/>
      <c r="C49" s="3102" t="s">
        <v>2482</v>
      </c>
      <c r="D49" s="3103"/>
      <c r="E49" s="3104">
        <v>1</v>
      </c>
      <c r="F49" s="3101" t="s">
        <v>2483</v>
      </c>
      <c r="G49" s="3101"/>
    </row>
    <row r="50" spans="1:7" ht="19.5" customHeight="1">
      <c r="A50" s="3817"/>
      <c r="B50" s="3810"/>
      <c r="C50" s="3102" t="s">
        <v>2484</v>
      </c>
      <c r="D50" s="3103"/>
      <c r="E50" s="3104">
        <v>1</v>
      </c>
      <c r="F50" s="3101" t="s">
        <v>2485</v>
      </c>
      <c r="G50" s="3101"/>
    </row>
    <row r="51" spans="1:7" ht="19.5" customHeight="1" thickBot="1">
      <c r="A51" s="3818"/>
      <c r="B51" s="3811"/>
      <c r="C51" s="3105" t="s">
        <v>2486</v>
      </c>
      <c r="D51" s="3106"/>
      <c r="E51" s="3107">
        <v>1</v>
      </c>
      <c r="F51" s="3101" t="s">
        <v>2487</v>
      </c>
      <c r="G51" s="3101"/>
    </row>
    <row r="52" spans="1:7" ht="19.5" customHeight="1">
      <c r="A52" s="3114"/>
      <c r="B52" s="3114"/>
      <c r="C52" s="3114"/>
      <c r="D52" s="3114"/>
      <c r="E52" s="3114"/>
      <c r="F52" s="3114"/>
      <c r="G52" s="3114"/>
    </row>
    <row r="54" spans="1:7" ht="19.5" customHeight="1">
      <c r="A54" s="3115"/>
      <c r="B54" s="3087" t="s">
        <v>2626</v>
      </c>
      <c r="C54" s="3087" t="s">
        <v>2626</v>
      </c>
      <c r="D54" s="3087" t="s">
        <v>2626</v>
      </c>
      <c r="E54" s="3090" t="s">
        <v>2626</v>
      </c>
      <c r="F54" s="3090" t="s">
        <v>2627</v>
      </c>
      <c r="G54" s="3090" t="s">
        <v>2628</v>
      </c>
    </row>
    <row r="55" spans="1:7" ht="19.5" customHeight="1">
      <c r="A55" s="3116"/>
      <c r="B55" s="3090" t="s">
        <v>2595</v>
      </c>
      <c r="C55" s="3090" t="s">
        <v>2595</v>
      </c>
      <c r="D55" s="3090" t="s">
        <v>2595</v>
      </c>
      <c r="E55" s="3087" t="s">
        <v>2596</v>
      </c>
      <c r="F55" s="3087" t="s">
        <v>2598</v>
      </c>
      <c r="G55" s="3087" t="s">
        <v>2629</v>
      </c>
    </row>
    <row r="56" spans="1:7" ht="19.5" customHeight="1">
      <c r="A56" s="3117"/>
      <c r="B56" s="3087">
        <v>1</v>
      </c>
      <c r="C56" s="3087">
        <v>2</v>
      </c>
      <c r="D56" s="3087">
        <v>3</v>
      </c>
      <c r="E56" s="3118" t="s">
        <v>2630</v>
      </c>
      <c r="F56" s="3118" t="s">
        <v>2630</v>
      </c>
      <c r="G56" s="3118" t="s">
        <v>2630</v>
      </c>
    </row>
    <row r="57" spans="1:7" ht="19.5" customHeight="1">
      <c r="A57" s="3119" t="s">
        <v>2583</v>
      </c>
      <c r="B57" s="3087">
        <v>0.7</v>
      </c>
      <c r="C57" s="3087">
        <v>0.4</v>
      </c>
      <c r="D57" s="3087">
        <v>0.3</v>
      </c>
      <c r="E57" s="3118">
        <v>0.3</v>
      </c>
      <c r="F57" s="3087">
        <v>0.3</v>
      </c>
      <c r="G57" s="3087">
        <v>0.2</v>
      </c>
    </row>
    <row r="58" spans="1:7" ht="19.5" customHeight="1">
      <c r="A58" s="3119" t="s">
        <v>2584</v>
      </c>
      <c r="B58" s="3087">
        <v>0.7</v>
      </c>
      <c r="C58" s="3087">
        <v>0.4</v>
      </c>
      <c r="D58" s="3087">
        <v>0.3</v>
      </c>
      <c r="E58" s="3087">
        <v>0.3</v>
      </c>
      <c r="F58" s="3087">
        <v>0.3</v>
      </c>
      <c r="G58" s="3087">
        <v>0.2</v>
      </c>
    </row>
    <row r="59" spans="1:7" ht="19.5" customHeight="1">
      <c r="A59" s="3119" t="s">
        <v>2585</v>
      </c>
      <c r="B59" s="3087">
        <v>0.6</v>
      </c>
      <c r="C59" s="3087">
        <v>0.3</v>
      </c>
      <c r="D59" s="3087">
        <v>0.25</v>
      </c>
      <c r="E59" s="3087">
        <v>0.25</v>
      </c>
      <c r="F59" s="3087">
        <v>0.25</v>
      </c>
      <c r="G59" s="3087">
        <v>0.15</v>
      </c>
    </row>
    <row r="60" spans="1:7" ht="19.5" customHeight="1">
      <c r="A60" s="3119" t="s">
        <v>2586</v>
      </c>
      <c r="B60" s="3087">
        <v>0.6</v>
      </c>
      <c r="C60" s="3087">
        <v>0.3</v>
      </c>
      <c r="D60" s="3087">
        <v>0.25</v>
      </c>
      <c r="E60" s="3087">
        <v>0.25</v>
      </c>
      <c r="F60" s="3087">
        <v>0.25</v>
      </c>
      <c r="G60" s="3087">
        <v>0.15</v>
      </c>
    </row>
    <row r="61" spans="1:7" ht="19.5" customHeight="1">
      <c r="A61" s="3119" t="s">
        <v>2587</v>
      </c>
      <c r="B61" s="3087">
        <v>0.6</v>
      </c>
      <c r="C61" s="3087">
        <v>0.3</v>
      </c>
      <c r="D61" s="3087">
        <v>0.25</v>
      </c>
      <c r="E61" s="3087">
        <v>0.25</v>
      </c>
      <c r="F61" s="3087">
        <v>0.25</v>
      </c>
      <c r="G61" s="3087">
        <v>0.15</v>
      </c>
    </row>
    <row r="62" spans="1:7" ht="19.5" customHeight="1">
      <c r="A62" s="3119" t="s">
        <v>2588</v>
      </c>
      <c r="B62" s="3087">
        <v>0.6</v>
      </c>
      <c r="C62" s="3087">
        <v>0.3</v>
      </c>
      <c r="D62" s="3087">
        <v>0.25</v>
      </c>
      <c r="E62" s="3087">
        <v>0.25</v>
      </c>
      <c r="F62" s="3087">
        <v>0.25</v>
      </c>
      <c r="G62" s="3087">
        <v>0.15</v>
      </c>
    </row>
    <row r="63" spans="1:7" ht="19.5" customHeight="1">
      <c r="A63" s="3119" t="s">
        <v>2589</v>
      </c>
      <c r="B63" s="3087">
        <v>0.6</v>
      </c>
      <c r="C63" s="3087">
        <v>0.3</v>
      </c>
      <c r="D63" s="3087">
        <v>0.25</v>
      </c>
      <c r="E63" s="3087">
        <v>0.25</v>
      </c>
      <c r="F63" s="3087">
        <v>0.25</v>
      </c>
      <c r="G63" s="3087">
        <v>0.15</v>
      </c>
    </row>
    <row r="64" spans="1:7" ht="19.5" customHeight="1">
      <c r="A64" s="3119" t="s">
        <v>2590</v>
      </c>
      <c r="B64" s="3087">
        <v>0.5</v>
      </c>
      <c r="C64" s="3087">
        <v>0.2</v>
      </c>
      <c r="D64" s="3087">
        <v>0.2</v>
      </c>
      <c r="E64" s="3087">
        <v>0.2</v>
      </c>
      <c r="F64" s="3087">
        <v>0.2</v>
      </c>
      <c r="G64" s="3087">
        <v>0.1</v>
      </c>
    </row>
    <row r="65" spans="1:7" ht="19.5" customHeight="1">
      <c r="A65" s="3119" t="s">
        <v>2591</v>
      </c>
      <c r="B65" s="3087">
        <v>0.5</v>
      </c>
      <c r="C65" s="3087">
        <v>0.2</v>
      </c>
      <c r="D65" s="3087">
        <v>0.2</v>
      </c>
      <c r="E65" s="3087">
        <v>0.2</v>
      </c>
      <c r="F65" s="3087">
        <v>0.2</v>
      </c>
      <c r="G65" s="3087">
        <v>0.1</v>
      </c>
    </row>
    <row r="66" spans="1:7" ht="19.5" customHeight="1">
      <c r="A66" s="3119" t="s">
        <v>2592</v>
      </c>
      <c r="B66" s="3087">
        <v>0.5</v>
      </c>
      <c r="C66" s="3087">
        <v>0.2</v>
      </c>
      <c r="D66" s="3087">
        <v>0.2</v>
      </c>
      <c r="E66" s="3087">
        <v>0.2</v>
      </c>
      <c r="F66" s="3087">
        <v>0.2</v>
      </c>
      <c r="G66" s="3087">
        <v>0.1</v>
      </c>
    </row>
    <row r="67" spans="1:7" ht="19.5" customHeight="1">
      <c r="A67" s="3119" t="s">
        <v>2593</v>
      </c>
      <c r="B67" s="3087">
        <v>0.5</v>
      </c>
      <c r="C67" s="3087">
        <v>0.2</v>
      </c>
      <c r="D67" s="3087">
        <v>0.2</v>
      </c>
      <c r="E67" s="3087">
        <v>0.2</v>
      </c>
      <c r="F67" s="3087">
        <v>0.2</v>
      </c>
      <c r="G67" s="3087">
        <v>0.1</v>
      </c>
    </row>
    <row r="68" spans="1:7" ht="19.5" customHeight="1">
      <c r="A68" s="3119" t="s">
        <v>2594</v>
      </c>
      <c r="B68" s="3087">
        <v>0.5</v>
      </c>
      <c r="C68" s="3087">
        <v>0.2</v>
      </c>
      <c r="D68" s="3087">
        <v>0.2</v>
      </c>
      <c r="E68" s="3087">
        <v>0.2</v>
      </c>
      <c r="F68" s="3087">
        <v>0.2</v>
      </c>
      <c r="G68" s="3087">
        <v>0.1</v>
      </c>
    </row>
    <row r="70" spans="1:7" ht="19.5" customHeight="1">
      <c r="A70" s="3120"/>
      <c r="B70" s="3121"/>
      <c r="C70" s="3121"/>
      <c r="D70" s="3121" t="s">
        <v>2631</v>
      </c>
      <c r="E70" s="3121"/>
      <c r="F70" s="3121"/>
    </row>
    <row r="71" spans="1:7" ht="19.5" customHeight="1">
      <c r="A71" s="3113" t="s">
        <v>2632</v>
      </c>
      <c r="B71" s="3113" t="s">
        <v>2633</v>
      </c>
      <c r="C71" s="3113" t="s">
        <v>2634</v>
      </c>
      <c r="D71" s="3113" t="s">
        <v>2635</v>
      </c>
      <c r="E71" s="3113" t="s">
        <v>2636</v>
      </c>
      <c r="F71" s="3113" t="s">
        <v>2637</v>
      </c>
    </row>
    <row r="72" spans="1:7" ht="13.5">
      <c r="A72" s="3113"/>
      <c r="B72" s="3113"/>
      <c r="C72" s="3113" t="s">
        <v>2638</v>
      </c>
      <c r="D72" s="3113"/>
      <c r="E72" s="3113" t="s">
        <v>2609</v>
      </c>
      <c r="F72" s="3113" t="s">
        <v>2609</v>
      </c>
    </row>
    <row r="73" spans="1:7" ht="13.5">
      <c r="A73" s="3113">
        <v>1</v>
      </c>
      <c r="B73" s="3815" t="s">
        <v>2639</v>
      </c>
      <c r="C73" s="3087" t="s">
        <v>2640</v>
      </c>
      <c r="D73" s="3087" t="s">
        <v>2641</v>
      </c>
      <c r="E73" s="3113">
        <v>0.2</v>
      </c>
      <c r="F73" s="3113">
        <v>25</v>
      </c>
    </row>
    <row r="74" spans="1:7" ht="24">
      <c r="A74" s="3113">
        <v>2</v>
      </c>
      <c r="B74" s="3810"/>
      <c r="C74" s="3087" t="s">
        <v>2642</v>
      </c>
      <c r="D74" s="3087" t="s">
        <v>2643</v>
      </c>
      <c r="E74" s="3113">
        <v>0.2</v>
      </c>
      <c r="F74" s="3113">
        <v>25</v>
      </c>
    </row>
    <row r="75" spans="1:7" ht="24">
      <c r="A75" s="3113">
        <v>3</v>
      </c>
      <c r="B75" s="3810"/>
      <c r="C75" s="3087" t="s">
        <v>2644</v>
      </c>
      <c r="D75" s="3087" t="s">
        <v>2645</v>
      </c>
      <c r="E75" s="3113">
        <v>0.2</v>
      </c>
      <c r="F75" s="3113">
        <v>25</v>
      </c>
    </row>
    <row r="76" spans="1:7" ht="13.5">
      <c r="A76" s="3113">
        <v>4</v>
      </c>
      <c r="B76" s="3810"/>
      <c r="C76" s="3087" t="s">
        <v>2646</v>
      </c>
      <c r="D76" s="3087" t="s">
        <v>2647</v>
      </c>
      <c r="E76" s="3113">
        <v>0.15</v>
      </c>
      <c r="F76" s="3113">
        <v>20</v>
      </c>
    </row>
    <row r="77" spans="1:7" ht="24">
      <c r="A77" s="3113">
        <v>5</v>
      </c>
      <c r="B77" s="3810"/>
      <c r="C77" s="3087" t="s">
        <v>2648</v>
      </c>
      <c r="D77" s="3087" t="s">
        <v>2649</v>
      </c>
      <c r="E77" s="3113">
        <v>0.15</v>
      </c>
      <c r="F77" s="3113">
        <v>20</v>
      </c>
    </row>
    <row r="78" spans="1:7" ht="24">
      <c r="A78" s="3113">
        <v>6</v>
      </c>
      <c r="B78" s="3810"/>
      <c r="C78" s="3087" t="s">
        <v>2650</v>
      </c>
      <c r="D78" s="3087" t="s">
        <v>2651</v>
      </c>
      <c r="E78" s="3113">
        <v>0.15</v>
      </c>
      <c r="F78" s="3113">
        <v>20</v>
      </c>
    </row>
    <row r="79" spans="1:7" ht="24">
      <c r="A79" s="3113">
        <v>7</v>
      </c>
      <c r="B79" s="3810"/>
      <c r="C79" s="3087" t="s">
        <v>2652</v>
      </c>
      <c r="D79" s="3087" t="s">
        <v>2653</v>
      </c>
      <c r="E79" s="3113">
        <v>0.15</v>
      </c>
      <c r="F79" s="3113">
        <v>20</v>
      </c>
    </row>
    <row r="80" spans="1:7" ht="24">
      <c r="A80" s="3113">
        <v>8</v>
      </c>
      <c r="B80" s="3810"/>
      <c r="C80" s="3087" t="s">
        <v>2654</v>
      </c>
      <c r="D80" s="3087" t="s">
        <v>2655</v>
      </c>
      <c r="E80" s="3113">
        <v>0.1</v>
      </c>
      <c r="F80" s="3113">
        <v>15</v>
      </c>
    </row>
    <row r="81" spans="1:6" ht="24">
      <c r="A81" s="3113">
        <v>9</v>
      </c>
      <c r="B81" s="3810"/>
      <c r="C81" s="3087" t="s">
        <v>2656</v>
      </c>
      <c r="D81" s="3087" t="s">
        <v>2657</v>
      </c>
      <c r="E81" s="3113">
        <v>0.1</v>
      </c>
      <c r="F81" s="3113">
        <v>15</v>
      </c>
    </row>
    <row r="82" spans="1:6" ht="24">
      <c r="A82" s="3113">
        <v>10</v>
      </c>
      <c r="B82" s="3810"/>
      <c r="C82" s="3087" t="s">
        <v>2658</v>
      </c>
      <c r="D82" s="3087" t="s">
        <v>2659</v>
      </c>
      <c r="E82" s="3113">
        <v>0.1</v>
      </c>
      <c r="F82" s="3113">
        <v>15</v>
      </c>
    </row>
    <row r="83" spans="1:6" ht="24">
      <c r="A83" s="3113">
        <v>11</v>
      </c>
      <c r="B83" s="3810"/>
      <c r="C83" s="3087" t="s">
        <v>2660</v>
      </c>
      <c r="D83" s="3087" t="s">
        <v>2661</v>
      </c>
      <c r="E83" s="3113">
        <v>0.1</v>
      </c>
      <c r="F83" s="3113">
        <v>15</v>
      </c>
    </row>
    <row r="84" spans="1:6" ht="24">
      <c r="A84" s="3113">
        <v>12</v>
      </c>
      <c r="B84" s="3810"/>
      <c r="C84" s="3087" t="s">
        <v>2662</v>
      </c>
      <c r="D84" s="3087" t="s">
        <v>2663</v>
      </c>
      <c r="E84" s="3113">
        <v>0.1</v>
      </c>
      <c r="F84" s="3113">
        <v>15</v>
      </c>
    </row>
    <row r="85" spans="1:6" ht="13.5">
      <c r="A85" s="3113">
        <v>13</v>
      </c>
      <c r="B85" s="3810"/>
      <c r="C85" s="3087" t="s">
        <v>2664</v>
      </c>
      <c r="D85" s="3087" t="s">
        <v>2665</v>
      </c>
      <c r="E85" s="3113">
        <v>0.1</v>
      </c>
      <c r="F85" s="3113">
        <v>15</v>
      </c>
    </row>
    <row r="86" spans="1:6" ht="13.5">
      <c r="A86" s="3113">
        <v>14</v>
      </c>
      <c r="B86" s="3810"/>
      <c r="C86" s="3087" t="s">
        <v>2666</v>
      </c>
      <c r="D86" s="3087" t="s">
        <v>2667</v>
      </c>
      <c r="E86" s="3113">
        <v>0.1</v>
      </c>
      <c r="F86" s="3113">
        <v>15</v>
      </c>
    </row>
    <row r="87" spans="1:6" ht="13.5">
      <c r="A87" s="3113">
        <v>15</v>
      </c>
      <c r="B87" s="3810"/>
      <c r="C87" s="3087" t="s">
        <v>2668</v>
      </c>
      <c r="D87" s="3087" t="s">
        <v>2669</v>
      </c>
      <c r="E87" s="3113">
        <v>0.1</v>
      </c>
      <c r="F87" s="3113">
        <v>15</v>
      </c>
    </row>
    <row r="88" spans="1:6" ht="24">
      <c r="A88" s="3113">
        <v>16</v>
      </c>
      <c r="B88" s="3810"/>
      <c r="C88" s="3087" t="s">
        <v>2670</v>
      </c>
      <c r="D88" s="3087" t="s">
        <v>2671</v>
      </c>
      <c r="E88" s="3113">
        <v>0.1</v>
      </c>
      <c r="F88" s="3113">
        <v>15</v>
      </c>
    </row>
    <row r="89" spans="1:6" ht="24">
      <c r="A89" s="3113">
        <v>17</v>
      </c>
      <c r="B89" s="3819"/>
      <c r="C89" s="3087" t="s">
        <v>2672</v>
      </c>
      <c r="D89" s="3087" t="s">
        <v>2673</v>
      </c>
      <c r="E89" s="3113">
        <v>0.1</v>
      </c>
      <c r="F89" s="3113">
        <v>15</v>
      </c>
    </row>
    <row r="90" spans="1:6" ht="13.5">
      <c r="A90" s="3113">
        <v>18</v>
      </c>
      <c r="B90" s="3815" t="s">
        <v>2674</v>
      </c>
      <c r="C90" s="3087" t="s">
        <v>2675</v>
      </c>
      <c r="D90" s="3087" t="s">
        <v>2676</v>
      </c>
      <c r="E90" s="3113">
        <v>0.2</v>
      </c>
      <c r="F90" s="3113">
        <v>25</v>
      </c>
    </row>
    <row r="91" spans="1:6" ht="24">
      <c r="A91" s="3113">
        <v>19</v>
      </c>
      <c r="B91" s="3810"/>
      <c r="C91" s="3087" t="s">
        <v>2677</v>
      </c>
      <c r="D91" s="3087" t="s">
        <v>2678</v>
      </c>
      <c r="E91" s="3113">
        <v>0.2</v>
      </c>
      <c r="F91" s="3113">
        <v>25</v>
      </c>
    </row>
    <row r="92" spans="1:6" ht="13.5">
      <c r="A92" s="3113">
        <v>20</v>
      </c>
      <c r="B92" s="3810"/>
      <c r="C92" s="3087" t="s">
        <v>2679</v>
      </c>
      <c r="D92" s="3087" t="s">
        <v>2680</v>
      </c>
      <c r="E92" s="3113">
        <v>0.15</v>
      </c>
      <c r="F92" s="3113">
        <v>20</v>
      </c>
    </row>
    <row r="93" spans="1:6" ht="13.5">
      <c r="A93" s="3113">
        <v>21</v>
      </c>
      <c r="B93" s="3810"/>
      <c r="C93" s="3087" t="s">
        <v>2681</v>
      </c>
      <c r="D93" s="3087" t="s">
        <v>2682</v>
      </c>
      <c r="E93" s="3113">
        <v>0.15</v>
      </c>
      <c r="F93" s="3113">
        <v>20</v>
      </c>
    </row>
    <row r="94" spans="1:6" ht="13.5">
      <c r="A94" s="3113">
        <v>22</v>
      </c>
      <c r="B94" s="3810"/>
      <c r="C94" s="3087" t="s">
        <v>2683</v>
      </c>
      <c r="D94" s="3087" t="s">
        <v>2684</v>
      </c>
      <c r="E94" s="3113">
        <v>0.15</v>
      </c>
      <c r="F94" s="3113">
        <v>20</v>
      </c>
    </row>
    <row r="95" spans="1:6" ht="36">
      <c r="A95" s="3113">
        <v>23</v>
      </c>
      <c r="B95" s="3810"/>
      <c r="C95" s="3087" t="s">
        <v>2685</v>
      </c>
      <c r="D95" s="3087" t="s">
        <v>2686</v>
      </c>
      <c r="E95" s="3113">
        <v>0.15</v>
      </c>
      <c r="F95" s="3113">
        <v>20</v>
      </c>
    </row>
    <row r="96" spans="1:6" ht="13.5">
      <c r="A96" s="3113">
        <v>24</v>
      </c>
      <c r="B96" s="3810"/>
      <c r="C96" s="3087" t="s">
        <v>2687</v>
      </c>
      <c r="D96" s="3087" t="s">
        <v>2688</v>
      </c>
      <c r="E96" s="3113">
        <v>0.1</v>
      </c>
      <c r="F96" s="3113">
        <v>15</v>
      </c>
    </row>
    <row r="97" spans="1:6" ht="13.5">
      <c r="A97" s="3113">
        <v>25</v>
      </c>
      <c r="B97" s="3810"/>
      <c r="C97" s="3087" t="s">
        <v>2689</v>
      </c>
      <c r="D97" s="3087" t="s">
        <v>2690</v>
      </c>
      <c r="E97" s="3113">
        <v>0.1</v>
      </c>
      <c r="F97" s="3113">
        <v>15</v>
      </c>
    </row>
    <row r="98" spans="1:6" ht="24">
      <c r="A98" s="3113">
        <v>26</v>
      </c>
      <c r="B98" s="3810"/>
      <c r="C98" s="3087" t="s">
        <v>2691</v>
      </c>
      <c r="D98" s="3087" t="s">
        <v>2692</v>
      </c>
      <c r="E98" s="3113">
        <v>0.1</v>
      </c>
      <c r="F98" s="3113">
        <v>15</v>
      </c>
    </row>
    <row r="99" spans="1:6" ht="24">
      <c r="A99" s="3113">
        <v>27</v>
      </c>
      <c r="B99" s="3810"/>
      <c r="C99" s="3087" t="s">
        <v>2693</v>
      </c>
      <c r="D99" s="3087" t="s">
        <v>2694</v>
      </c>
      <c r="E99" s="3113">
        <v>0.1</v>
      </c>
      <c r="F99" s="3113">
        <v>15</v>
      </c>
    </row>
    <row r="100" spans="1:6" ht="13.5">
      <c r="A100" s="3113">
        <v>28</v>
      </c>
      <c r="B100" s="3810"/>
      <c r="C100" s="3087" t="s">
        <v>2695</v>
      </c>
      <c r="D100" s="3087" t="s">
        <v>2696</v>
      </c>
      <c r="E100" s="3113">
        <v>0.1</v>
      </c>
      <c r="F100" s="3113">
        <v>15</v>
      </c>
    </row>
    <row r="101" spans="1:6" ht="13.5">
      <c r="A101" s="3113">
        <v>29</v>
      </c>
      <c r="B101" s="3810"/>
      <c r="C101" s="3087" t="s">
        <v>2697</v>
      </c>
      <c r="D101" s="3087" t="s">
        <v>2698</v>
      </c>
      <c r="E101" s="3113">
        <v>0.1</v>
      </c>
      <c r="F101" s="3113">
        <v>15</v>
      </c>
    </row>
    <row r="102" spans="1:6" ht="13.5">
      <c r="A102" s="3113">
        <v>30</v>
      </c>
      <c r="B102" s="3810"/>
      <c r="C102" s="3087" t="s">
        <v>2699</v>
      </c>
      <c r="D102" s="3087" t="s">
        <v>2700</v>
      </c>
      <c r="E102" s="3113">
        <v>0.1</v>
      </c>
      <c r="F102" s="3113">
        <v>15</v>
      </c>
    </row>
    <row r="103" spans="1:6" ht="24">
      <c r="A103" s="3113">
        <v>31</v>
      </c>
      <c r="B103" s="3810"/>
      <c r="C103" s="3087" t="s">
        <v>2701</v>
      </c>
      <c r="D103" s="3087" t="s">
        <v>2702</v>
      </c>
      <c r="E103" s="3113">
        <v>0.1</v>
      </c>
      <c r="F103" s="3113">
        <v>15</v>
      </c>
    </row>
    <row r="104" spans="1:6" ht="24">
      <c r="A104" s="3113">
        <v>32</v>
      </c>
      <c r="B104" s="3810"/>
      <c r="C104" s="3087" t="s">
        <v>2703</v>
      </c>
      <c r="D104" s="3087" t="s">
        <v>2704</v>
      </c>
      <c r="E104" s="3113">
        <v>0.1</v>
      </c>
      <c r="F104" s="3113">
        <v>15</v>
      </c>
    </row>
    <row r="105" spans="1:6" ht="24">
      <c r="A105" s="3113">
        <v>33</v>
      </c>
      <c r="B105" s="3810"/>
      <c r="C105" s="3087" t="s">
        <v>2705</v>
      </c>
      <c r="D105" s="3087" t="s">
        <v>2706</v>
      </c>
      <c r="E105" s="3113">
        <v>0.1</v>
      </c>
      <c r="F105" s="3113">
        <v>15</v>
      </c>
    </row>
    <row r="106" spans="1:6" ht="24">
      <c r="A106" s="3113">
        <v>34</v>
      </c>
      <c r="B106" s="3819"/>
      <c r="C106" s="3087" t="s">
        <v>2707</v>
      </c>
      <c r="D106" s="3087" t="s">
        <v>2708</v>
      </c>
      <c r="E106" s="3113">
        <v>0.1</v>
      </c>
      <c r="F106" s="3113">
        <v>15</v>
      </c>
    </row>
    <row r="107" spans="1:6" ht="24">
      <c r="A107" s="3113">
        <v>35</v>
      </c>
      <c r="B107" s="3815" t="s">
        <v>2709</v>
      </c>
      <c r="C107" s="3113" t="s">
        <v>2710</v>
      </c>
      <c r="D107" s="3087" t="s">
        <v>2711</v>
      </c>
      <c r="E107" s="3113">
        <v>0.15</v>
      </c>
      <c r="F107" s="3113">
        <v>20</v>
      </c>
    </row>
    <row r="108" spans="1:6" ht="13.5">
      <c r="A108" s="3113">
        <v>36</v>
      </c>
      <c r="B108" s="3810"/>
      <c r="C108" s="3113" t="s">
        <v>2712</v>
      </c>
      <c r="D108" s="3087" t="s">
        <v>2713</v>
      </c>
      <c r="E108" s="3113">
        <v>0.15</v>
      </c>
      <c r="F108" s="3113">
        <v>20</v>
      </c>
    </row>
    <row r="109" spans="1:6" ht="13.5">
      <c r="A109" s="3113">
        <v>37</v>
      </c>
      <c r="B109" s="3810"/>
      <c r="C109" s="3113" t="s">
        <v>2714</v>
      </c>
      <c r="D109" s="3087" t="s">
        <v>2715</v>
      </c>
      <c r="E109" s="3113">
        <v>0.15</v>
      </c>
      <c r="F109" s="3113">
        <v>20</v>
      </c>
    </row>
    <row r="110" spans="1:6" ht="13.5">
      <c r="A110" s="3113">
        <v>38</v>
      </c>
      <c r="B110" s="3810"/>
      <c r="C110" s="3113" t="s">
        <v>2716</v>
      </c>
      <c r="D110" s="3087" t="s">
        <v>2717</v>
      </c>
      <c r="E110" s="3113">
        <v>0.1</v>
      </c>
      <c r="F110" s="3113">
        <v>15</v>
      </c>
    </row>
    <row r="111" spans="1:6" ht="24">
      <c r="A111" s="3113">
        <v>39</v>
      </c>
      <c r="B111" s="3810"/>
      <c r="C111" s="3113" t="s">
        <v>2718</v>
      </c>
      <c r="D111" s="3087" t="s">
        <v>2719</v>
      </c>
      <c r="E111" s="3113">
        <v>0.1</v>
      </c>
      <c r="F111" s="3113">
        <v>15</v>
      </c>
    </row>
    <row r="112" spans="1:6" ht="24">
      <c r="A112" s="3113">
        <v>40</v>
      </c>
      <c r="B112" s="3819"/>
      <c r="C112" s="3113" t="s">
        <v>2720</v>
      </c>
      <c r="D112" s="3087" t="s">
        <v>2721</v>
      </c>
      <c r="E112" s="3113">
        <v>0.1</v>
      </c>
      <c r="F112" s="3113">
        <v>15</v>
      </c>
    </row>
    <row r="113" spans="1:6" ht="13.5">
      <c r="A113" s="3113">
        <v>41</v>
      </c>
      <c r="B113" s="3820" t="s">
        <v>2722</v>
      </c>
      <c r="C113" s="3113" t="s">
        <v>2723</v>
      </c>
      <c r="D113" s="3087" t="s">
        <v>2724</v>
      </c>
      <c r="E113" s="3113">
        <v>0.1</v>
      </c>
      <c r="F113" s="3113">
        <v>15</v>
      </c>
    </row>
    <row r="114" spans="1:6" ht="13.5">
      <c r="A114" s="3113">
        <v>42</v>
      </c>
      <c r="B114" s="3820"/>
      <c r="C114" s="3113" t="s">
        <v>2725</v>
      </c>
      <c r="D114" s="3087" t="s">
        <v>2726</v>
      </c>
      <c r="E114" s="3113">
        <v>0.1</v>
      </c>
      <c r="F114" s="3113">
        <v>15</v>
      </c>
    </row>
    <row r="115" spans="1:6" ht="24">
      <c r="A115" s="3113">
        <v>43</v>
      </c>
      <c r="B115" s="3820"/>
      <c r="C115" s="3113" t="s">
        <v>2727</v>
      </c>
      <c r="D115" s="3087" t="s">
        <v>2728</v>
      </c>
      <c r="E115" s="3113">
        <v>0.1</v>
      </c>
      <c r="F115" s="3113">
        <v>15</v>
      </c>
    </row>
    <row r="116" spans="1:6" ht="13.5">
      <c r="A116" s="3113">
        <v>44</v>
      </c>
      <c r="B116" s="3815" t="s">
        <v>2729</v>
      </c>
      <c r="C116" s="3113" t="s">
        <v>2730</v>
      </c>
      <c r="D116" s="3087" t="s">
        <v>2731</v>
      </c>
      <c r="E116" s="3113">
        <v>0.1</v>
      </c>
      <c r="F116" s="3113">
        <v>15</v>
      </c>
    </row>
    <row r="117" spans="1:6" ht="24">
      <c r="A117" s="3113">
        <v>45</v>
      </c>
      <c r="B117" s="3819"/>
      <c r="C117" s="3087" t="s">
        <v>2732</v>
      </c>
      <c r="D117" s="3087" t="s">
        <v>2733</v>
      </c>
      <c r="E117" s="3113">
        <v>0.1</v>
      </c>
      <c r="F117" s="3113">
        <v>15</v>
      </c>
    </row>
    <row r="118" spans="1:6" ht="24">
      <c r="A118" s="3113">
        <v>46</v>
      </c>
      <c r="B118" s="3815" t="s">
        <v>2734</v>
      </c>
      <c r="C118" s="3113" t="s">
        <v>2735</v>
      </c>
      <c r="D118" s="3087" t="s">
        <v>2736</v>
      </c>
      <c r="E118" s="3113">
        <v>0.1</v>
      </c>
      <c r="F118" s="3113">
        <v>15</v>
      </c>
    </row>
    <row r="119" spans="1:6" ht="24">
      <c r="A119" s="3113">
        <v>47</v>
      </c>
      <c r="B119" s="3819"/>
      <c r="C119" s="3113" t="s">
        <v>2737</v>
      </c>
      <c r="D119" s="3087" t="s">
        <v>2738</v>
      </c>
      <c r="E119" s="3113">
        <v>0.1</v>
      </c>
      <c r="F119" s="3113">
        <v>15</v>
      </c>
    </row>
    <row r="120" spans="1:6" ht="13.5">
      <c r="A120" s="3113">
        <v>48</v>
      </c>
      <c r="B120" s="3815" t="s">
        <v>2739</v>
      </c>
      <c r="C120" s="3113" t="s">
        <v>2740</v>
      </c>
      <c r="D120" s="3087" t="s">
        <v>2741</v>
      </c>
      <c r="E120" s="3113">
        <v>0.1</v>
      </c>
      <c r="F120" s="3113">
        <v>15</v>
      </c>
    </row>
    <row r="121" spans="1:6" ht="13.5">
      <c r="A121" s="3113">
        <v>49</v>
      </c>
      <c r="B121" s="3819"/>
      <c r="C121" s="3113" t="s">
        <v>2742</v>
      </c>
      <c r="D121" s="3087" t="s">
        <v>2743</v>
      </c>
      <c r="E121" s="3113">
        <v>0.1</v>
      </c>
      <c r="F121" s="3113">
        <v>15</v>
      </c>
    </row>
    <row r="122" spans="1:6" ht="24">
      <c r="A122" s="3113">
        <v>50</v>
      </c>
      <c r="B122" s="3820" t="s">
        <v>2744</v>
      </c>
      <c r="C122" s="3113" t="s">
        <v>2745</v>
      </c>
      <c r="D122" s="3087" t="s">
        <v>2746</v>
      </c>
      <c r="E122" s="3113">
        <v>0.1</v>
      </c>
      <c r="F122" s="3113">
        <v>15</v>
      </c>
    </row>
    <row r="123" spans="1:6" ht="24">
      <c r="A123" s="3113">
        <v>51</v>
      </c>
      <c r="B123" s="3820"/>
      <c r="C123" s="3113" t="s">
        <v>2747</v>
      </c>
      <c r="D123" s="3087" t="s">
        <v>2748</v>
      </c>
      <c r="E123" s="3113">
        <v>0.1</v>
      </c>
      <c r="F123" s="3113">
        <v>15</v>
      </c>
    </row>
    <row r="124" spans="1:6" ht="24">
      <c r="A124" s="3113">
        <v>52</v>
      </c>
      <c r="B124" s="3820" t="s">
        <v>2749</v>
      </c>
      <c r="C124" s="3113" t="s">
        <v>2750</v>
      </c>
      <c r="D124" s="3087" t="s">
        <v>2751</v>
      </c>
      <c r="E124" s="3113">
        <v>0.1</v>
      </c>
      <c r="F124" s="3113">
        <v>15</v>
      </c>
    </row>
    <row r="125" spans="1:6" ht="24">
      <c r="A125" s="3113">
        <v>53</v>
      </c>
      <c r="B125" s="3820"/>
      <c r="C125" s="3113" t="s">
        <v>2752</v>
      </c>
      <c r="D125" s="3087" t="s">
        <v>2753</v>
      </c>
      <c r="E125" s="3113">
        <v>0.1</v>
      </c>
      <c r="F125" s="3113">
        <v>15</v>
      </c>
    </row>
    <row r="126" spans="1:6" ht="13.5">
      <c r="A126" s="3113">
        <v>54</v>
      </c>
      <c r="B126" s="3113" t="s">
        <v>2754</v>
      </c>
      <c r="C126" s="3113" t="s">
        <v>2755</v>
      </c>
      <c r="D126" s="3087" t="s">
        <v>2756</v>
      </c>
      <c r="E126" s="3113">
        <v>0.1</v>
      </c>
      <c r="F126" s="3113">
        <v>15</v>
      </c>
    </row>
    <row r="127" spans="1:6" ht="13.5">
      <c r="A127" s="3113">
        <v>55</v>
      </c>
      <c r="B127" s="3820" t="s">
        <v>2757</v>
      </c>
      <c r="C127" s="3113" t="s">
        <v>2758</v>
      </c>
      <c r="D127" s="3087" t="s">
        <v>2759</v>
      </c>
      <c r="E127" s="3113">
        <v>0.1</v>
      </c>
      <c r="F127" s="3113">
        <v>15</v>
      </c>
    </row>
    <row r="128" spans="1:6" ht="13.5">
      <c r="A128" s="3113">
        <v>56</v>
      </c>
      <c r="B128" s="3820"/>
      <c r="C128" s="3113" t="s">
        <v>2760</v>
      </c>
      <c r="D128" s="3087" t="s">
        <v>2761</v>
      </c>
      <c r="E128" s="3113">
        <v>0.1</v>
      </c>
      <c r="F128" s="3113">
        <v>15</v>
      </c>
    </row>
    <row r="129" spans="1:6" ht="24">
      <c r="A129" s="3113">
        <v>57</v>
      </c>
      <c r="B129" s="3820"/>
      <c r="C129" s="3113" t="s">
        <v>2762</v>
      </c>
      <c r="D129" s="3087" t="s">
        <v>2763</v>
      </c>
      <c r="E129" s="3113">
        <v>0.1</v>
      </c>
      <c r="F129" s="3113">
        <v>15</v>
      </c>
    </row>
    <row r="130" spans="1:6" ht="24">
      <c r="A130" s="3113">
        <v>58</v>
      </c>
      <c r="B130" s="3820" t="s">
        <v>2764</v>
      </c>
      <c r="C130" s="3113" t="s">
        <v>2765</v>
      </c>
      <c r="D130" s="3087" t="s">
        <v>2766</v>
      </c>
      <c r="E130" s="3113">
        <v>0.1</v>
      </c>
      <c r="F130" s="3113">
        <v>15</v>
      </c>
    </row>
    <row r="131" spans="1:6" ht="13.5">
      <c r="A131" s="3113">
        <v>59</v>
      </c>
      <c r="B131" s="3820"/>
      <c r="C131" s="3113" t="s">
        <v>2767</v>
      </c>
      <c r="D131" s="3087" t="s">
        <v>2768</v>
      </c>
      <c r="E131" s="3113">
        <v>0.1</v>
      </c>
      <c r="F131" s="3113">
        <v>15</v>
      </c>
    </row>
    <row r="132" spans="1:6" ht="13.5">
      <c r="A132" s="3113">
        <v>60</v>
      </c>
      <c r="B132" s="3815" t="s">
        <v>2769</v>
      </c>
      <c r="C132" s="3113" t="s">
        <v>2770</v>
      </c>
      <c r="D132" s="3087" t="s">
        <v>2771</v>
      </c>
      <c r="E132" s="3113">
        <v>0.1</v>
      </c>
      <c r="F132" s="3113">
        <v>15</v>
      </c>
    </row>
    <row r="133" spans="1:6" ht="13.5">
      <c r="A133" s="3113">
        <v>61</v>
      </c>
      <c r="B133" s="3819"/>
      <c r="C133" s="3113" t="s">
        <v>2772</v>
      </c>
      <c r="D133" s="3087" t="s">
        <v>2773</v>
      </c>
      <c r="E133" s="3113">
        <v>0.1</v>
      </c>
      <c r="F133" s="3113">
        <v>15</v>
      </c>
    </row>
    <row r="134" spans="1:6" ht="24">
      <c r="A134" s="3113">
        <v>62</v>
      </c>
      <c r="B134" s="3113" t="s">
        <v>2774</v>
      </c>
      <c r="C134" s="3113" t="s">
        <v>2775</v>
      </c>
      <c r="D134" s="3087" t="s">
        <v>2776</v>
      </c>
      <c r="E134" s="3113">
        <v>0.1</v>
      </c>
      <c r="F134" s="3113">
        <v>15</v>
      </c>
    </row>
    <row r="135" spans="1:6" ht="13.5">
      <c r="A135" s="3113">
        <v>63</v>
      </c>
      <c r="B135" s="3820" t="s">
        <v>2777</v>
      </c>
      <c r="C135" s="3113" t="s">
        <v>2778</v>
      </c>
      <c r="D135" s="3087" t="s">
        <v>2779</v>
      </c>
      <c r="E135" s="3113">
        <v>0.1</v>
      </c>
      <c r="F135" s="3113">
        <v>15</v>
      </c>
    </row>
    <row r="136" spans="1:6" ht="13.5">
      <c r="A136" s="3113">
        <v>64</v>
      </c>
      <c r="B136" s="3820"/>
      <c r="C136" s="3113" t="s">
        <v>2780</v>
      </c>
      <c r="D136" s="3087" t="s">
        <v>2781</v>
      </c>
      <c r="E136" s="3113">
        <v>0.1</v>
      </c>
      <c r="F136" s="3113">
        <v>15</v>
      </c>
    </row>
    <row r="137" spans="1:6" ht="13.5">
      <c r="A137" s="3113">
        <v>65</v>
      </c>
      <c r="B137" s="3113" t="s">
        <v>2782</v>
      </c>
      <c r="C137" s="3113" t="s">
        <v>2783</v>
      </c>
      <c r="D137" s="3087" t="s">
        <v>2784</v>
      </c>
      <c r="E137" s="3113">
        <v>0.1</v>
      </c>
      <c r="F137" s="3113">
        <v>15</v>
      </c>
    </row>
    <row r="138" spans="1:6" ht="13.5">
      <c r="A138" s="3113"/>
      <c r="B138" s="3113"/>
      <c r="C138" s="3113"/>
      <c r="D138" s="3113"/>
      <c r="E138" s="3113" t="s">
        <v>2785</v>
      </c>
      <c r="F138" s="3113" t="s">
        <v>2785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50"/>
  </cols>
  <sheetData>
    <row r="1" spans="1:20" ht="15" thickBot="1">
      <c r="A1" s="3122" t="s">
        <v>2786</v>
      </c>
      <c r="B1" s="3122"/>
      <c r="C1" s="3122"/>
      <c r="D1" s="3122"/>
      <c r="E1" s="3122"/>
      <c r="F1" s="3122"/>
      <c r="G1" s="3122"/>
      <c r="H1" s="3122"/>
      <c r="I1" s="3122"/>
      <c r="J1" s="3122"/>
      <c r="K1" s="3122"/>
      <c r="L1" s="3122"/>
      <c r="M1" s="3122"/>
      <c r="N1" s="749"/>
    </row>
    <row r="2" spans="1:20">
      <c r="A2" s="3123" t="s">
        <v>2787</v>
      </c>
      <c r="B2" s="3124" t="s">
        <v>2583</v>
      </c>
      <c r="C2" s="3124" t="s">
        <v>2584</v>
      </c>
      <c r="D2" s="3124" t="s">
        <v>2585</v>
      </c>
      <c r="E2" s="3124" t="s">
        <v>2586</v>
      </c>
      <c r="F2" s="3124" t="s">
        <v>2587</v>
      </c>
      <c r="G2" s="3124" t="s">
        <v>2588</v>
      </c>
      <c r="H2" s="3125" t="s">
        <v>2589</v>
      </c>
      <c r="I2" s="3125" t="s">
        <v>2590</v>
      </c>
      <c r="J2" s="3126" t="s">
        <v>2591</v>
      </c>
      <c r="K2" s="3126" t="s">
        <v>2592</v>
      </c>
      <c r="L2" s="3126" t="s">
        <v>2593</v>
      </c>
      <c r="M2" s="3127" t="s">
        <v>2594</v>
      </c>
      <c r="Q2" s="3137" t="s">
        <v>2792</v>
      </c>
      <c r="R2" s="3137" t="s">
        <v>2793</v>
      </c>
      <c r="S2" s="3137" t="s">
        <v>2794</v>
      </c>
      <c r="T2" s="3137" t="s">
        <v>2795</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2788</v>
      </c>
      <c r="B93" s="3122"/>
      <c r="C93" s="3122"/>
      <c r="D93" s="3122"/>
      <c r="E93" s="3122"/>
      <c r="F93" s="3122"/>
      <c r="G93" s="3122"/>
      <c r="H93" s="3122"/>
      <c r="I93" s="3122"/>
      <c r="J93" s="3122"/>
      <c r="K93" s="3122"/>
      <c r="L93" s="3122"/>
      <c r="M93" s="3122"/>
    </row>
    <row r="94" spans="1:20">
      <c r="A94" s="3123" t="s">
        <v>2787</v>
      </c>
      <c r="B94" s="3124" t="s">
        <v>2583</v>
      </c>
      <c r="C94" s="3124" t="s">
        <v>2584</v>
      </c>
      <c r="D94" s="3124" t="s">
        <v>2585</v>
      </c>
      <c r="E94" s="3124" t="s">
        <v>2586</v>
      </c>
      <c r="F94" s="3124" t="s">
        <v>2587</v>
      </c>
      <c r="G94" s="3124" t="s">
        <v>2588</v>
      </c>
      <c r="H94" s="3125" t="s">
        <v>2589</v>
      </c>
      <c r="I94" s="3125" t="s">
        <v>2590</v>
      </c>
      <c r="J94" s="3126" t="s">
        <v>2591</v>
      </c>
      <c r="K94" s="3126" t="s">
        <v>2592</v>
      </c>
      <c r="L94" s="3126" t="s">
        <v>2593</v>
      </c>
      <c r="M94" s="3127" t="s">
        <v>2594</v>
      </c>
      <c r="N94" s="750">
        <f>SUMPRODUCT((A95:A184=ROUNDDOWN(基准地价修正!G3,1))*(B94:M94=基准地价修正!G2)*(B95:M184))</f>
        <v>1.2158</v>
      </c>
      <c r="Q94" s="3137" t="s">
        <v>2792</v>
      </c>
      <c r="R94" s="3137" t="s">
        <v>2793</v>
      </c>
      <c r="S94" s="3137" t="s">
        <v>2794</v>
      </c>
      <c r="T94" s="3137" t="s">
        <v>2795</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2789</v>
      </c>
      <c r="B185" s="3122"/>
      <c r="C185" s="3122"/>
      <c r="D185" s="3122"/>
      <c r="E185" s="3122"/>
      <c r="F185" s="3122"/>
      <c r="G185" s="3122"/>
      <c r="H185" s="3122"/>
      <c r="I185" s="3122"/>
      <c r="J185" s="3122"/>
      <c r="K185" s="3122"/>
      <c r="L185" s="3122"/>
      <c r="M185" s="3122"/>
    </row>
    <row r="186" spans="1:20">
      <c r="A186" s="3123" t="s">
        <v>2787</v>
      </c>
      <c r="B186" s="3124" t="s">
        <v>2583</v>
      </c>
      <c r="C186" s="3124" t="s">
        <v>2584</v>
      </c>
      <c r="D186" s="3124" t="s">
        <v>2585</v>
      </c>
      <c r="E186" s="3124" t="s">
        <v>2586</v>
      </c>
      <c r="F186" s="3124" t="s">
        <v>2587</v>
      </c>
      <c r="G186" s="3124" t="s">
        <v>2588</v>
      </c>
      <c r="H186" s="3125" t="s">
        <v>2589</v>
      </c>
      <c r="I186" s="3125" t="s">
        <v>2590</v>
      </c>
      <c r="J186" s="3126" t="s">
        <v>2591</v>
      </c>
      <c r="K186" s="3126" t="s">
        <v>2592</v>
      </c>
      <c r="L186" s="3126" t="s">
        <v>2593</v>
      </c>
      <c r="M186" s="3127" t="s">
        <v>2594</v>
      </c>
      <c r="Q186" s="3137" t="s">
        <v>2792</v>
      </c>
      <c r="R186" s="3137" t="s">
        <v>2793</v>
      </c>
      <c r="S186" s="3137" t="s">
        <v>2794</v>
      </c>
      <c r="T186" s="3137" t="s">
        <v>2795</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2790</v>
      </c>
      <c r="B277" s="3122"/>
      <c r="C277" s="3122"/>
      <c r="D277" s="3122"/>
      <c r="E277" s="3122"/>
      <c r="F277" s="3122"/>
      <c r="G277" s="3122"/>
      <c r="H277" s="3122"/>
      <c r="I277" s="3122"/>
      <c r="J277" s="3122"/>
      <c r="K277" s="3122"/>
      <c r="L277" s="3122"/>
      <c r="M277" s="3122"/>
    </row>
    <row r="278" spans="1:21">
      <c r="A278" s="3123" t="s">
        <v>2787</v>
      </c>
      <c r="B278" s="3124" t="s">
        <v>2583</v>
      </c>
      <c r="C278" s="3124" t="s">
        <v>2584</v>
      </c>
      <c r="D278" s="3124" t="s">
        <v>2585</v>
      </c>
      <c r="E278" s="3124" t="s">
        <v>2586</v>
      </c>
      <c r="F278" s="3124" t="s">
        <v>2587</v>
      </c>
      <c r="G278" s="3124" t="s">
        <v>2588</v>
      </c>
      <c r="H278" s="3125" t="s">
        <v>2589</v>
      </c>
      <c r="I278" s="3125" t="s">
        <v>2590</v>
      </c>
      <c r="J278" s="3126" t="s">
        <v>2591</v>
      </c>
      <c r="K278" s="3126" t="s">
        <v>2592</v>
      </c>
      <c r="L278" s="3126" t="s">
        <v>2593</v>
      </c>
      <c r="M278" s="3127" t="s">
        <v>2594</v>
      </c>
      <c r="Q278" s="3137" t="s">
        <v>2792</v>
      </c>
      <c r="R278" s="3137" t="s">
        <v>2793</v>
      </c>
      <c r="S278" s="3137" t="s">
        <v>2796</v>
      </c>
      <c r="T278" s="3137" t="s">
        <v>2797</v>
      </c>
      <c r="U278" s="3137" t="s">
        <v>2795</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2791</v>
      </c>
      <c r="B369" s="3135"/>
      <c r="C369" s="3135"/>
      <c r="D369" s="3135"/>
      <c r="E369" s="3135"/>
      <c r="F369" s="3135"/>
      <c r="G369" s="3135"/>
      <c r="H369" s="3135"/>
      <c r="I369" s="3135"/>
      <c r="J369" s="3135"/>
      <c r="K369" s="3135"/>
      <c r="L369" s="3135"/>
      <c r="M369" s="3135"/>
    </row>
    <row r="370" spans="1:20">
      <c r="A370" s="3123" t="s">
        <v>2787</v>
      </c>
      <c r="B370" s="3124" t="s">
        <v>2583</v>
      </c>
      <c r="C370" s="3124" t="s">
        <v>2584</v>
      </c>
      <c r="D370" s="3124" t="s">
        <v>2585</v>
      </c>
      <c r="E370" s="3124" t="s">
        <v>2586</v>
      </c>
      <c r="F370" s="3124" t="s">
        <v>2587</v>
      </c>
      <c r="G370" s="3124" t="s">
        <v>2588</v>
      </c>
      <c r="H370" s="3125" t="s">
        <v>2589</v>
      </c>
      <c r="I370" s="3125" t="s">
        <v>2590</v>
      </c>
      <c r="J370" s="3126" t="s">
        <v>2591</v>
      </c>
      <c r="K370" s="3126" t="s">
        <v>2592</v>
      </c>
      <c r="L370" s="3126" t="s">
        <v>2593</v>
      </c>
      <c r="M370" s="3127" t="s">
        <v>2594</v>
      </c>
      <c r="N370" s="750">
        <f>SUMPRODUCT((A371:A460=ROUNDDOWN(基准地价修正!G3,1))*(B370:M370=基准地价修正!G2)*(B371:M460))</f>
        <v>1.1565000000000001</v>
      </c>
      <c r="Q370" s="3137" t="s">
        <v>2792</v>
      </c>
      <c r="R370" s="3137" t="s">
        <v>2793</v>
      </c>
      <c r="S370" s="3137" t="s">
        <v>2794</v>
      </c>
      <c r="T370" s="3137" t="s">
        <v>2795</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903</v>
      </c>
      <c r="B1" s="1491"/>
      <c r="C1" s="1491"/>
      <c r="D1" s="1491"/>
      <c r="E1" s="1491"/>
    </row>
    <row r="2" spans="1:5" ht="78" customHeight="1">
      <c r="A2" s="35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7"/>
      <c r="C2" s="3507"/>
      <c r="D2" s="3507"/>
      <c r="E2" s="3507"/>
    </row>
    <row r="3" spans="1:5" ht="18">
      <c r="A3" s="3508" t="str">
        <f>IF(项目基本情况!B9="房地产市场价值","估价结果一览表（市场价值不需“结果表-1”）","估价结果一览表")</f>
        <v>估价结果一览表</v>
      </c>
      <c r="B3" s="3508"/>
      <c r="C3" s="3508"/>
      <c r="D3" s="3508"/>
      <c r="E3" s="3508"/>
    </row>
    <row r="4" spans="1:5" ht="19.5" thickBot="1">
      <c r="A4" s="1493"/>
      <c r="B4" s="3506" t="s">
        <v>912</v>
      </c>
      <c r="C4" s="3506"/>
      <c r="D4" s="3506"/>
      <c r="E4" s="1493"/>
    </row>
    <row r="5" spans="1:5" ht="16.5" thickTop="1">
      <c r="A5" s="1491"/>
      <c r="B5" s="3504" t="s">
        <v>904</v>
      </c>
      <c r="C5" s="1494" t="s">
        <v>905</v>
      </c>
      <c r="D5" s="850">
        <f ca="1">结果表!H101</f>
        <v>117030</v>
      </c>
      <c r="E5" s="1491"/>
    </row>
    <row r="6" spans="1:5" ht="15.75">
      <c r="A6" s="1491"/>
      <c r="B6" s="3504"/>
      <c r="C6" s="1494" t="s">
        <v>906</v>
      </c>
      <c r="D6" s="850" t="str">
        <f ca="1">NUMBERSTRING(INT(D5*10000),2)&amp;"元整"</f>
        <v>壹拾壹亿柒仟零叁拾万元整</v>
      </c>
      <c r="E6" s="1491"/>
    </row>
    <row r="7" spans="1:5" ht="15.75">
      <c r="A7" s="1491"/>
      <c r="B7" s="3509"/>
      <c r="C7" s="1495" t="s">
        <v>907</v>
      </c>
      <c r="D7" s="851">
        <f ca="1">结果表!H102</f>
        <v>18557</v>
      </c>
      <c r="E7" s="1491"/>
    </row>
    <row r="8" spans="1:5" ht="15.75">
      <c r="A8" s="1491"/>
      <c r="B8" s="3510" t="str">
        <f>结果表!E103</f>
        <v>2.估价师知悉的法定优先受偿款</v>
      </c>
      <c r="C8" s="1496" t="s">
        <v>908</v>
      </c>
      <c r="D8" s="851">
        <f>结果表!H103</f>
        <v>0</v>
      </c>
      <c r="E8" s="1491"/>
    </row>
    <row r="9" spans="1:5" ht="15.75">
      <c r="A9" s="1491"/>
      <c r="B9" s="3512"/>
      <c r="C9" s="1494" t="s">
        <v>906</v>
      </c>
      <c r="D9" s="850" t="str">
        <f>NUMBERSTRING(INT(D8*10000),2)&amp;"元整"</f>
        <v>零元整</v>
      </c>
      <c r="E9" s="1491"/>
    </row>
    <row r="10" spans="1:5" ht="15">
      <c r="A10" s="1491"/>
      <c r="B10" s="1497" t="s">
        <v>911</v>
      </c>
      <c r="C10" s="1498" t="s">
        <v>909</v>
      </c>
      <c r="D10" s="852">
        <f>结果表!H104</f>
        <v>0</v>
      </c>
      <c r="E10" s="1491"/>
    </row>
    <row r="11" spans="1:5" ht="15">
      <c r="A11" s="1491"/>
      <c r="B11" s="1497" t="s">
        <v>913</v>
      </c>
      <c r="C11" s="1498" t="s">
        <v>914</v>
      </c>
      <c r="D11" s="852">
        <f>结果表!H105</f>
        <v>0</v>
      </c>
      <c r="E11" s="1491"/>
    </row>
    <row r="12" spans="1:5" ht="15">
      <c r="A12" s="1491"/>
      <c r="B12" s="1497" t="s">
        <v>915</v>
      </c>
      <c r="C12" s="1498" t="s">
        <v>914</v>
      </c>
      <c r="D12" s="852">
        <f>结果表!H106</f>
        <v>0</v>
      </c>
      <c r="E12" s="1491"/>
    </row>
    <row r="13" spans="1:5" ht="15.75">
      <c r="A13" s="1491"/>
      <c r="B13" s="3503" t="str">
        <f>结果表!E107</f>
        <v>3.房地产抵押价值</v>
      </c>
      <c r="C13" s="1499" t="s">
        <v>905</v>
      </c>
      <c r="D13" s="853">
        <f ca="1">结果表!H107</f>
        <v>117030</v>
      </c>
      <c r="E13" s="1491"/>
    </row>
    <row r="14" spans="1:5" ht="15.75">
      <c r="A14" s="1491"/>
      <c r="B14" s="3504"/>
      <c r="C14" s="1494" t="s">
        <v>906</v>
      </c>
      <c r="D14" s="850" t="str">
        <f ca="1">NUMBERSTRING(INT(D13*10000),2)&amp;"元整"</f>
        <v>壹拾壹亿柒仟零叁拾万元整</v>
      </c>
      <c r="E14" s="1491"/>
    </row>
    <row r="15" spans="1:5" ht="15">
      <c r="A15" s="1491"/>
      <c r="B15" s="3509"/>
      <c r="C15" s="1495" t="s">
        <v>916</v>
      </c>
      <c r="D15" s="859">
        <f ca="1">结果表!H108</f>
        <v>18557</v>
      </c>
      <c r="E15" s="1491"/>
    </row>
    <row r="16" spans="1:5" ht="15">
      <c r="A16" s="1491"/>
      <c r="B16" s="3510" t="str">
        <f>结果表!E109</f>
        <v>——</v>
      </c>
      <c r="C16" s="1499" t="s">
        <v>917</v>
      </c>
      <c r="D16" s="1500" t="str">
        <f>结果表!H109</f>
        <v>——</v>
      </c>
      <c r="E16" s="1491"/>
    </row>
    <row r="17" spans="1:5" ht="15.75">
      <c r="A17" s="1491"/>
      <c r="B17" s="3511"/>
      <c r="C17" s="1494" t="s">
        <v>918</v>
      </c>
      <c r="D17" s="850" t="e">
        <f>NUMBERSTRING(INT(D16*10000),2)&amp;"元整"</f>
        <v>#VALUE!</v>
      </c>
      <c r="E17" s="1491"/>
    </row>
    <row r="18" spans="1:5" ht="15">
      <c r="A18" s="1491"/>
      <c r="B18" s="3512"/>
      <c r="C18" s="1495" t="s">
        <v>907</v>
      </c>
      <c r="D18" s="859" t="str">
        <f>结果表!H110</f>
        <v>——</v>
      </c>
      <c r="E18" s="1491"/>
    </row>
    <row r="19" spans="1:5" ht="15.75">
      <c r="A19" s="1491"/>
      <c r="B19" s="3503" t="str">
        <f>结果表!E111</f>
        <v>4.抵押净值</v>
      </c>
      <c r="C19" s="1499" t="s">
        <v>905</v>
      </c>
      <c r="D19" s="851">
        <f ca="1">结果表!H111</f>
        <v>113502</v>
      </c>
      <c r="E19" s="1491"/>
    </row>
    <row r="20" spans="1:5" ht="15.75">
      <c r="A20" s="1491"/>
      <c r="B20" s="3504"/>
      <c r="C20" s="1494" t="s">
        <v>918</v>
      </c>
      <c r="D20" s="850" t="str">
        <f ca="1">NUMBERSTRING(INT(D19*10000),2)&amp;"元整"</f>
        <v>壹拾壹亿叁仟伍佰零贰万元整</v>
      </c>
      <c r="E20" s="1491"/>
    </row>
    <row r="21" spans="1:5" ht="15.75" thickBot="1">
      <c r="A21" s="1491"/>
      <c r="B21" s="3505"/>
      <c r="C21" s="1501" t="s">
        <v>916</v>
      </c>
      <c r="D21" s="860">
        <f ca="1">结果表!H112</f>
        <v>17998</v>
      </c>
      <c r="E21" s="1491"/>
    </row>
    <row r="22" spans="1:5" ht="15" thickTop="1">
      <c r="A22" s="1491"/>
      <c r="B22" s="1502" t="s">
        <v>919</v>
      </c>
      <c r="C22" s="1491"/>
      <c r="D22" s="1491"/>
      <c r="E22" s="1491"/>
    </row>
    <row r="23" spans="1:5">
      <c r="A23" s="1491"/>
      <c r="B23" s="1491"/>
      <c r="C23" s="1491"/>
      <c r="D23" s="1491"/>
      <c r="E23" s="1491"/>
    </row>
    <row r="24" spans="1:5" ht="18.75">
      <c r="A24" s="1503"/>
      <c r="B24" s="1504" t="s">
        <v>910</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95053</v>
      </c>
      <c r="C2" s="2" t="s">
        <v>106</v>
      </c>
      <c r="D2" s="199"/>
      <c r="E2" s="199"/>
      <c r="F2" s="199"/>
      <c r="G2" s="199"/>
    </row>
    <row r="3" spans="1:7" s="200" customFormat="1" ht="18" customHeight="1" thickBot="1">
      <c r="A3" s="203" t="s">
        <v>58</v>
      </c>
      <c r="B3" s="204">
        <f ca="1">ROUND(B2*10000/'数据-汇总表'!E3,0)</f>
        <v>15072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1261</v>
      </c>
      <c r="D10" s="845">
        <f>'数据-汇总表'!E6</f>
        <v>63063.880000000005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1261</v>
      </c>
      <c r="D19" s="849">
        <f>'数据-汇总表'!E3</f>
        <v>63063.880000000005</v>
      </c>
      <c r="E19" s="211">
        <f>'数据-取费表'!B31</f>
        <v>200</v>
      </c>
      <c r="F19" s="231"/>
      <c r="G19" s="1" t="s">
        <v>436</v>
      </c>
    </row>
    <row r="20" spans="1:7" s="214" customFormat="1" ht="13.5" customHeight="1">
      <c r="A20" s="777" t="s">
        <v>419</v>
      </c>
      <c r="B20" s="210" t="s">
        <v>77</v>
      </c>
      <c r="C20" s="232">
        <f>ROUND((C5+C19)*F20,0)</f>
        <v>656</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2377</v>
      </c>
      <c r="D22" s="235">
        <f ca="1">C26</f>
        <v>1.6000000000000001E-3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2208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135</v>
      </c>
      <c r="D24" s="238"/>
      <c r="E24" s="238"/>
      <c r="F24" s="239"/>
      <c r="G24" s="240" t="s">
        <v>82</v>
      </c>
    </row>
    <row r="25" spans="1:7" s="214" customFormat="1" ht="24">
      <c r="A25" s="780" t="s">
        <v>348</v>
      </c>
      <c r="B25" s="215" t="s">
        <v>420</v>
      </c>
      <c r="C25" s="1105">
        <f ca="1">ROUND(IF('数据-取费表'!B22&lt;=1,C20*F22*'数据-取费表'!B23/2,C20*(POWER((1+F22),'数据-取费表'!B23/2)-1)),0)</f>
        <v>34</v>
      </c>
      <c r="D25" s="238"/>
      <c r="E25" s="241"/>
      <c r="F25" s="239"/>
      <c r="G25" s="242" t="s">
        <v>83</v>
      </c>
    </row>
    <row r="26" spans="1:7" s="214" customFormat="1">
      <c r="A26" s="780" t="s">
        <v>350</v>
      </c>
      <c r="B26" s="215" t="s">
        <v>422</v>
      </c>
      <c r="C26" s="238">
        <f ca="1">ROUND(IF('数据-取费表'!B22&lt;=1,F21*F22*'数据-取费表'!B23/2,F21*(POWER((1+F22),'数据-取费表'!B23/2)-1)),4)</f>
        <v>1.6000000000000001E-3</v>
      </c>
      <c r="D26" s="238"/>
      <c r="E26" s="241"/>
      <c r="F26" s="239"/>
      <c r="G26" s="243"/>
    </row>
    <row r="27" spans="1:7" s="214" customFormat="1" ht="24.75">
      <c r="A27" s="777" t="s">
        <v>342</v>
      </c>
      <c r="B27" s="244" t="s">
        <v>85</v>
      </c>
      <c r="C27" s="245">
        <f>C28</f>
        <v>4505</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4505</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32351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55244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50451</v>
      </c>
      <c r="D34" s="217"/>
      <c r="E34" s="220"/>
      <c r="F34" s="257">
        <f>IF('数据-取费表'!B24=0,1,'数据-取费表'!N16)</f>
        <v>1</v>
      </c>
      <c r="G34" s="219" t="s">
        <v>89</v>
      </c>
    </row>
    <row r="35" spans="1:7" ht="13.5" customHeight="1">
      <c r="A35" s="780" t="s">
        <v>351</v>
      </c>
      <c r="B35" s="215" t="s">
        <v>33</v>
      </c>
      <c r="C35" s="220">
        <f>ROUND(C34*F35,0)</f>
        <v>2523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1261</v>
      </c>
      <c r="D37" s="217">
        <f>'数据-汇总表'!E3</f>
        <v>63063.880000000005</v>
      </c>
      <c r="E37" s="249">
        <f>'数据-取费表'!B35</f>
        <v>200</v>
      </c>
      <c r="F37" s="259"/>
      <c r="G37" s="261" t="s">
        <v>92</v>
      </c>
    </row>
    <row r="38" spans="1:7" ht="13.5" customHeight="1">
      <c r="A38" s="780" t="s">
        <v>354</v>
      </c>
      <c r="B38" s="215" t="s">
        <v>36</v>
      </c>
      <c r="C38" s="220">
        <f>ROUND(C34*F38,0)</f>
        <v>1009</v>
      </c>
      <c r="D38" s="220"/>
      <c r="E38" s="220"/>
      <c r="F38" s="259">
        <f>'数据-取费表'!B36</f>
        <v>0.02</v>
      </c>
      <c r="G38" s="219" t="s">
        <v>90</v>
      </c>
    </row>
    <row r="39" spans="1:7" s="214" customFormat="1" ht="13.5" customHeight="1">
      <c r="A39" s="777" t="s">
        <v>338</v>
      </c>
      <c r="B39" s="210" t="s">
        <v>77</v>
      </c>
      <c r="C39" s="232">
        <f>ROUND(C33*F20,0)</f>
        <v>1657</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2969</v>
      </c>
      <c r="D41" s="235">
        <f ca="1">C44</f>
        <v>1.6000000000000001E-3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2883</v>
      </c>
      <c r="D42" s="238"/>
      <c r="E42" s="238"/>
      <c r="F42" s="239"/>
      <c r="G42" s="3685" t="s">
        <v>94</v>
      </c>
    </row>
    <row r="43" spans="1:7" ht="13.5" customHeight="1">
      <c r="A43" s="780" t="s">
        <v>347</v>
      </c>
      <c r="B43" s="215" t="s">
        <v>426</v>
      </c>
      <c r="C43" s="238">
        <f ca="1">ROUND(IF('数据-取费表'!B22&lt;=1,C39*F22*'数据-取费表'!B21/2,C39*(POWER((1+F22),'数据-取费表'!B21/2)-1)),0)</f>
        <v>86</v>
      </c>
      <c r="D43" s="238"/>
      <c r="E43" s="238"/>
      <c r="F43" s="239"/>
      <c r="G43" s="3686"/>
    </row>
    <row r="44" spans="1:7" ht="13.5" customHeight="1">
      <c r="A44" s="780" t="s">
        <v>348</v>
      </c>
      <c r="B44" s="215" t="s">
        <v>428</v>
      </c>
      <c r="C44" s="238">
        <f ca="1">ROUND(IF('数据-取费表'!B22&lt;=1,C40*F22*'数据-取费表'!B21/2,C40*(POWER((1+F22),'数据-取费表'!B21/2)-1)),4)</f>
        <v>1.6000000000000001E-3</v>
      </c>
      <c r="D44" s="238"/>
      <c r="E44" s="238"/>
      <c r="F44" s="239"/>
      <c r="G44" s="3687"/>
    </row>
    <row r="45" spans="1:7" s="214" customFormat="1" ht="13.5" customHeight="1">
      <c r="A45" s="777" t="s">
        <v>341</v>
      </c>
      <c r="B45" s="244" t="s">
        <v>85</v>
      </c>
      <c r="C45" s="245">
        <f>C46</f>
        <v>11380</v>
      </c>
      <c r="D45" s="235">
        <f>C47</f>
        <v>6.0000000000000001E-3</v>
      </c>
      <c r="E45" s="236" t="s">
        <v>102</v>
      </c>
      <c r="F45" s="246"/>
      <c r="G45" s="247" t="s">
        <v>434</v>
      </c>
    </row>
    <row r="46" spans="1:7" s="214" customFormat="1" ht="13.5" customHeight="1">
      <c r="A46" s="780" t="s">
        <v>349</v>
      </c>
      <c r="B46" s="248" t="s">
        <v>427</v>
      </c>
      <c r="C46" s="249">
        <f>ROUND((C33+C39)*F27,0)</f>
        <v>11380</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78377</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62702</v>
      </c>
      <c r="D51" s="232"/>
      <c r="E51" s="232"/>
      <c r="F51" s="264"/>
      <c r="G51" s="234" t="s">
        <v>37</v>
      </c>
    </row>
    <row r="52" spans="1:7" s="208" customFormat="1" ht="16.5" thickBot="1">
      <c r="A52" s="265" t="s">
        <v>38</v>
      </c>
      <c r="B52" s="266"/>
      <c r="C52" s="267">
        <f ca="1">C31+C51</f>
        <v>95053</v>
      </c>
      <c r="D52" s="266"/>
      <c r="E52" s="266"/>
      <c r="F52" s="266"/>
      <c r="G52" s="268"/>
    </row>
    <row r="55" spans="1:7" ht="15">
      <c r="B55" s="270" t="s">
        <v>39</v>
      </c>
      <c r="C55" s="271"/>
    </row>
    <row r="56" spans="1:7">
      <c r="B56" s="273" t="s">
        <v>40</v>
      </c>
      <c r="C56" s="274">
        <f ca="1">ROUND(C51/C52,3)</f>
        <v>0.66</v>
      </c>
    </row>
    <row r="57" spans="1:7">
      <c r="B57" s="273" t="s">
        <v>41</v>
      </c>
      <c r="C57" s="275">
        <f ca="1">1-C56</f>
        <v>0.33999999999999997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D34"/>
  <sheetViews>
    <sheetView workbookViewId="0">
      <pane xSplit="2" ySplit="1" topLeftCell="O2" activePane="bottomRight" state="frozen"/>
      <selection pane="topRight"/>
      <selection pane="bottomLeft"/>
      <selection pane="bottomRight" activeCell="CD16" sqref="CD16"/>
    </sheetView>
  </sheetViews>
  <sheetFormatPr defaultColWidth="8.75" defaultRowHeight="13.5" outlineLevelCol="1"/>
  <cols>
    <col min="1" max="1" width="6.625" style="3454" customWidth="1"/>
    <col min="2" max="2" width="35.875" style="3454" customWidth="1"/>
    <col min="3" max="4" width="7.375" style="3454" hidden="1" customWidth="1" outlineLevel="1"/>
    <col min="5" max="5" width="10.375" style="3454" hidden="1" customWidth="1" outlineLevel="1"/>
    <col min="6" max="9" width="7.375" style="3454" hidden="1" customWidth="1" outlineLevel="1"/>
    <col min="10" max="10" width="9.875" style="3454" hidden="1" customWidth="1" outlineLevel="1"/>
    <col min="11" max="11" width="7.25" style="3454" hidden="1" customWidth="1" outlineLevel="1"/>
    <col min="12" max="13" width="9.625" style="3454" hidden="1" customWidth="1" outlineLevel="1"/>
    <col min="14" max="14" width="11.25" style="3454" hidden="1" customWidth="1" outlineLevel="1"/>
    <col min="15" max="15" width="11.25" style="3454" customWidth="1" collapsed="1"/>
    <col min="16" max="16" width="7.25" style="3454" hidden="1" customWidth="1" outlineLevel="1"/>
    <col min="17" max="17" width="9.375" style="3454" hidden="1" customWidth="1" outlineLevel="1"/>
    <col min="18" max="18" width="11.625" style="3454" hidden="1" customWidth="1" outlineLevel="1"/>
    <col min="19" max="19" width="9.375" style="3454" hidden="1" customWidth="1" outlineLevel="1"/>
    <col min="20" max="20" width="11.625" style="3454" hidden="1" customWidth="1" outlineLevel="1"/>
    <col min="21" max="21" width="9.375" style="3454" hidden="1" customWidth="1" outlineLevel="1"/>
    <col min="22" max="22" width="11.625" style="3454" hidden="1" customWidth="1" outlineLevel="1"/>
    <col min="23" max="24" width="9.375" style="3454" hidden="1" customWidth="1" outlineLevel="1"/>
    <col min="25" max="27" width="11.625" style="3454" hidden="1" customWidth="1" outlineLevel="1"/>
    <col min="28" max="28" width="11.625" style="3454" customWidth="1" collapsed="1"/>
    <col min="29" max="31" width="9.375" style="3454" hidden="1" customWidth="1" outlineLevel="1"/>
    <col min="32" max="32" width="11.625" style="3454" hidden="1" customWidth="1" outlineLevel="1"/>
    <col min="33" max="38" width="9.375" style="3454" hidden="1" customWidth="1" outlineLevel="1"/>
    <col min="39" max="40" width="11.625" style="3454" hidden="1" customWidth="1" outlineLevel="1"/>
    <col min="41" max="41" width="11.625" style="3454" customWidth="1" collapsed="1"/>
    <col min="42" max="53" width="9.375" style="3454" hidden="1" customWidth="1" outlineLevel="1"/>
    <col min="54" max="54" width="11.5" style="3454" customWidth="1" collapsed="1"/>
    <col min="55" max="65" width="9.875" style="3454" hidden="1" customWidth="1" outlineLevel="1"/>
    <col min="66" max="66" width="15.5" style="3454" hidden="1" customWidth="1" outlineLevel="1"/>
    <col min="67" max="67" width="15.5" style="3454" customWidth="1" collapsed="1"/>
    <col min="68" max="72" width="9.25" style="3454" hidden="1" customWidth="1" outlineLevel="1"/>
    <col min="73" max="73" width="7.75" style="3454" hidden="1" customWidth="1" outlineLevel="1"/>
    <col min="74" max="79" width="8.75" style="3454" hidden="1" customWidth="1" outlineLevel="1"/>
    <col min="80" max="80" width="14.625" style="3454" customWidth="1" collapsed="1"/>
    <col min="81" max="16384" width="8.75" style="3454"/>
  </cols>
  <sheetData>
    <row r="1" spans="1:82" ht="24">
      <c r="A1" s="3445" t="s">
        <v>3393</v>
      </c>
      <c r="B1" s="3446" t="s">
        <v>3394</v>
      </c>
      <c r="C1" s="3447" t="s">
        <v>3395</v>
      </c>
      <c r="D1" s="3447" t="s">
        <v>3396</v>
      </c>
      <c r="E1" s="3447" t="s">
        <v>3397</v>
      </c>
      <c r="F1" s="3447" t="s">
        <v>3398</v>
      </c>
      <c r="G1" s="3447" t="s">
        <v>3399</v>
      </c>
      <c r="H1" s="3447" t="s">
        <v>3400</v>
      </c>
      <c r="I1" s="3447" t="s">
        <v>3401</v>
      </c>
      <c r="J1" s="3447" t="s">
        <v>3402</v>
      </c>
      <c r="K1" s="3447" t="s">
        <v>3403</v>
      </c>
      <c r="L1" s="3447" t="s">
        <v>3404</v>
      </c>
      <c r="M1" s="3447" t="s">
        <v>3405</v>
      </c>
      <c r="N1" s="3447" t="s">
        <v>3406</v>
      </c>
      <c r="O1" s="3447" t="s">
        <v>3407</v>
      </c>
      <c r="P1" s="3447" t="s">
        <v>3408</v>
      </c>
      <c r="Q1" s="3447" t="s">
        <v>3409</v>
      </c>
      <c r="R1" s="3447" t="s">
        <v>3410</v>
      </c>
      <c r="S1" s="3447" t="s">
        <v>3411</v>
      </c>
      <c r="T1" s="3447" t="s">
        <v>3412</v>
      </c>
      <c r="U1" s="3447" t="s">
        <v>3413</v>
      </c>
      <c r="V1" s="3447" t="s">
        <v>3414</v>
      </c>
      <c r="W1" s="3447" t="s">
        <v>3415</v>
      </c>
      <c r="X1" s="3447" t="s">
        <v>3416</v>
      </c>
      <c r="Y1" s="3447" t="s">
        <v>3417</v>
      </c>
      <c r="Z1" s="3447" t="s">
        <v>3418</v>
      </c>
      <c r="AA1" s="3447" t="s">
        <v>3419</v>
      </c>
      <c r="AB1" s="3447" t="s">
        <v>3420</v>
      </c>
      <c r="AC1" s="3447" t="s">
        <v>3421</v>
      </c>
      <c r="AD1" s="3447" t="s">
        <v>3422</v>
      </c>
      <c r="AE1" s="3447" t="s">
        <v>3423</v>
      </c>
      <c r="AF1" s="3447" t="s">
        <v>3424</v>
      </c>
      <c r="AG1" s="3447" t="s">
        <v>3425</v>
      </c>
      <c r="AH1" s="3447" t="s">
        <v>3426</v>
      </c>
      <c r="AI1" s="3447" t="s">
        <v>3427</v>
      </c>
      <c r="AJ1" s="3447" t="s">
        <v>3428</v>
      </c>
      <c r="AK1" s="3447" t="s">
        <v>3429</v>
      </c>
      <c r="AL1" s="3447" t="s">
        <v>3430</v>
      </c>
      <c r="AM1" s="3447" t="s">
        <v>3431</v>
      </c>
      <c r="AN1" s="3448" t="s">
        <v>3432</v>
      </c>
      <c r="AO1" s="3448" t="s">
        <v>3433</v>
      </c>
      <c r="AP1" s="3449">
        <v>202101</v>
      </c>
      <c r="AQ1" s="3448" t="s">
        <v>3434</v>
      </c>
      <c r="AR1" s="3448" t="s">
        <v>3435</v>
      </c>
      <c r="AS1" s="3448" t="s">
        <v>3436</v>
      </c>
      <c r="AT1" s="3448" t="s">
        <v>3437</v>
      </c>
      <c r="AU1" s="3448" t="s">
        <v>3438</v>
      </c>
      <c r="AV1" s="3448" t="s">
        <v>3439</v>
      </c>
      <c r="AW1" s="3448" t="s">
        <v>3440</v>
      </c>
      <c r="AX1" s="3448" t="s">
        <v>3441</v>
      </c>
      <c r="AY1" s="3448" t="s">
        <v>3442</v>
      </c>
      <c r="AZ1" s="3448" t="s">
        <v>3443</v>
      </c>
      <c r="BA1" s="3448" t="s">
        <v>3444</v>
      </c>
      <c r="BB1" s="3448" t="s">
        <v>3445</v>
      </c>
      <c r="BC1" s="3450" t="s">
        <v>3446</v>
      </c>
      <c r="BD1" s="3450" t="s">
        <v>3447</v>
      </c>
      <c r="BE1" s="3450" t="s">
        <v>3448</v>
      </c>
      <c r="BF1" s="3450" t="s">
        <v>3449</v>
      </c>
      <c r="BG1" s="3450" t="s">
        <v>3450</v>
      </c>
      <c r="BH1" s="3450" t="s">
        <v>3451</v>
      </c>
      <c r="BI1" s="3450" t="s">
        <v>3452</v>
      </c>
      <c r="BJ1" s="3450" t="s">
        <v>3453</v>
      </c>
      <c r="BK1" s="3450" t="s">
        <v>3454</v>
      </c>
      <c r="BL1" s="3450" t="s">
        <v>3455</v>
      </c>
      <c r="BM1" s="3450" t="s">
        <v>3456</v>
      </c>
      <c r="BN1" s="3451" t="s">
        <v>3457</v>
      </c>
      <c r="BO1" s="3451" t="s">
        <v>3458</v>
      </c>
      <c r="BP1" s="3452" t="s">
        <v>3459</v>
      </c>
      <c r="BQ1" s="3452" t="s">
        <v>3460</v>
      </c>
      <c r="BR1" s="3452" t="s">
        <v>3461</v>
      </c>
      <c r="BS1" s="3452" t="s">
        <v>3462</v>
      </c>
      <c r="BT1" s="3452" t="s">
        <v>3463</v>
      </c>
      <c r="BU1" s="3452" t="s">
        <v>3464</v>
      </c>
      <c r="BV1" s="3452" t="s">
        <v>3465</v>
      </c>
      <c r="BW1" s="3452" t="s">
        <v>3466</v>
      </c>
      <c r="BX1" s="3452" t="s">
        <v>3467</v>
      </c>
      <c r="BY1" s="3452" t="s">
        <v>3468</v>
      </c>
      <c r="BZ1" s="3452" t="s">
        <v>3469</v>
      </c>
      <c r="CA1" s="3453" t="s">
        <v>3470</v>
      </c>
      <c r="CB1" s="3453" t="s">
        <v>3471</v>
      </c>
    </row>
    <row r="2" spans="1:82">
      <c r="A2" s="3455"/>
      <c r="B2" s="3456" t="s">
        <v>3472</v>
      </c>
      <c r="C2" s="3457">
        <f>'[5]凯迪拉克（含分摊）'!C2/10000</f>
        <v>0</v>
      </c>
      <c r="D2" s="3457">
        <f>'[5]凯迪拉克（含分摊）'!D2/10000</f>
        <v>0</v>
      </c>
      <c r="E2" s="3457">
        <f>'[5]凯迪拉克（含分摊）'!E2/10000</f>
        <v>0</v>
      </c>
      <c r="F2" s="3457">
        <f>'[5]凯迪拉克（含分摊）'!F2/10000</f>
        <v>0</v>
      </c>
      <c r="G2" s="3457">
        <f>'[5]凯迪拉克（含分摊）'!G2/10000</f>
        <v>0</v>
      </c>
      <c r="H2" s="3457">
        <f>'[5]凯迪拉克（含分摊）'!H2/10000</f>
        <v>0</v>
      </c>
      <c r="I2" s="3457">
        <f>'[5]凯迪拉克（含分摊）'!I2/10000</f>
        <v>0</v>
      </c>
      <c r="J2" s="3457">
        <f>'[5]凯迪拉克（含分摊）'!J2/10000</f>
        <v>0</v>
      </c>
      <c r="K2" s="3457">
        <f>'[5]凯迪拉克（含分摊）'!K2/10000</f>
        <v>0</v>
      </c>
      <c r="L2" s="3457">
        <f>'[5]凯迪拉克（含分摊）'!L2/10000</f>
        <v>0</v>
      </c>
      <c r="M2" s="3457">
        <f>'[5]凯迪拉克（含分摊）'!M2/10000</f>
        <v>0</v>
      </c>
      <c r="N2" s="3457">
        <f>'[5]凯迪拉克（含分摊）'!N2/10000</f>
        <v>0</v>
      </c>
      <c r="O2" s="3457">
        <f>SUM(C2:N2)</f>
        <v>0</v>
      </c>
      <c r="P2" s="3457">
        <f>'[5]凯迪拉克（含分摊）'!P2/10000</f>
        <v>0</v>
      </c>
      <c r="Q2" s="3457">
        <f>'[5]凯迪拉克（含分摊）'!Q2/10000</f>
        <v>0</v>
      </c>
      <c r="R2" s="3457">
        <f>'[5]凯迪拉克（含分摊）'!R2/10000</f>
        <v>0</v>
      </c>
      <c r="S2" s="3457">
        <f>'[5]凯迪拉克（含分摊）'!S2/10000</f>
        <v>0</v>
      </c>
      <c r="T2" s="3457">
        <f>'[5]凯迪拉克（含分摊）'!T2/10000</f>
        <v>0</v>
      </c>
      <c r="U2" s="3457">
        <f>'[5]凯迪拉克（含分摊）'!U2/10000</f>
        <v>0</v>
      </c>
      <c r="V2" s="3458">
        <f>'[5]凯迪拉克（含分摊）'!V2/10000</f>
        <v>0</v>
      </c>
      <c r="W2" s="3458">
        <f>'[5]凯迪拉克（含分摊）'!W2/10000</f>
        <v>0</v>
      </c>
      <c r="X2" s="3458">
        <f>'[5]凯迪拉克（含分摊）'!X2/10000</f>
        <v>0</v>
      </c>
      <c r="Y2" s="3458">
        <f>'[5]凯迪拉克（含分摊）'!Y2/10000</f>
        <v>0</v>
      </c>
      <c r="Z2" s="3458">
        <f>'[5]凯迪拉克（含分摊）'!Z2/10000</f>
        <v>0</v>
      </c>
      <c r="AA2" s="3458">
        <f>'[5]凯迪拉克（含分摊）'!AA2/10000</f>
        <v>0</v>
      </c>
      <c r="AB2" s="3458">
        <f>SUM(P2:AA2)</f>
        <v>0</v>
      </c>
      <c r="AC2" s="3458">
        <f>'[5]凯迪拉克（含分摊）'!AC2/10000</f>
        <v>0</v>
      </c>
      <c r="AD2" s="3458">
        <f>'[5]凯迪拉克（含分摊）'!AD2/10000</f>
        <v>0</v>
      </c>
      <c r="AE2" s="3458">
        <f>'[5]凯迪拉克（含分摊）'!AE2/10000</f>
        <v>0</v>
      </c>
      <c r="AF2" s="3458">
        <f>'[5]凯迪拉克（含分摊）'!AF2/10000</f>
        <v>0</v>
      </c>
      <c r="AG2" s="3458">
        <f>'[5]凯迪拉克（含分摊）'!AG2/10000</f>
        <v>0</v>
      </c>
      <c r="AH2" s="3458">
        <f>'[5]凯迪拉克（含分摊）'!AH2/10000</f>
        <v>0</v>
      </c>
      <c r="AI2" s="3458">
        <f>'[5]凯迪拉克（含分摊）'!AI2/10000</f>
        <v>0</v>
      </c>
      <c r="AJ2" s="3458">
        <f>'[5]凯迪拉克（含分摊）'!AJ2/10000</f>
        <v>0</v>
      </c>
      <c r="AK2" s="3458">
        <f>'[5]凯迪拉克（含分摊）'!AK2/10000</f>
        <v>0</v>
      </c>
      <c r="AL2" s="3458">
        <f>'[5]凯迪拉克（含分摊）'!AL2/10000</f>
        <v>0</v>
      </c>
      <c r="AM2" s="3458">
        <f>'[5]凯迪拉克（含分摊）'!AM2/10000</f>
        <v>0</v>
      </c>
      <c r="AN2" s="3458">
        <f>'[5]凯迪拉克（含分摊）'!AN2/10000</f>
        <v>0</v>
      </c>
      <c r="AO2" s="3458">
        <f>SUM(AC2:AN2)</f>
        <v>0</v>
      </c>
      <c r="AP2" s="3458">
        <f>'[5]凯迪拉克（含分摊）'!AP2/10000</f>
        <v>0</v>
      </c>
      <c r="AQ2" s="3458">
        <f>'[5]凯迪拉克（含分摊）'!AQ2/10000</f>
        <v>0</v>
      </c>
      <c r="AR2" s="3458">
        <f>'[5]凯迪拉克（含分摊）'!AR2/10000</f>
        <v>0</v>
      </c>
      <c r="AS2" s="3458">
        <f>'[5]凯迪拉克（含分摊）'!AS2/10000</f>
        <v>0</v>
      </c>
      <c r="AT2" s="3458">
        <f>'[5]凯迪拉克（含分摊）'!AT2/10000</f>
        <v>0</v>
      </c>
      <c r="AU2" s="3458">
        <f>'[5]凯迪拉克（含分摊）'!AU2/10000</f>
        <v>0</v>
      </c>
      <c r="AV2" s="3458">
        <f>'[5]凯迪拉克（含分摊）'!AV2/10000</f>
        <v>0</v>
      </c>
      <c r="AW2" s="3458">
        <f>'[5]凯迪拉克（含分摊）'!AW2/10000</f>
        <v>0</v>
      </c>
      <c r="AX2" s="3458">
        <f>'[5]凯迪拉克（含分摊）'!AX2/10000</f>
        <v>0</v>
      </c>
      <c r="AY2" s="3458">
        <f>'[5]凯迪拉克（含分摊）'!AY2/10000</f>
        <v>0</v>
      </c>
      <c r="AZ2" s="3458">
        <f>'[5]凯迪拉克（含分摊）'!AZ2/10000</f>
        <v>0</v>
      </c>
      <c r="BA2" s="3458">
        <f>'[5]凯迪拉克（含分摊）'!BA2/10000</f>
        <v>0</v>
      </c>
      <c r="BB2" s="3458">
        <f>SUM(AP2:BA2)</f>
        <v>0</v>
      </c>
      <c r="BC2" s="3458">
        <f>'[5]凯迪拉克（含分摊）'!BC2/10000</f>
        <v>0</v>
      </c>
      <c r="BD2" s="3458">
        <f>'[5]凯迪拉克（含分摊）'!BD2/10000</f>
        <v>0</v>
      </c>
      <c r="BE2" s="3458">
        <f>'[5]凯迪拉克（含分摊）'!BE2/10000</f>
        <v>0</v>
      </c>
      <c r="BF2" s="3458">
        <f>'[5]凯迪拉克（含分摊）'!BF2/10000</f>
        <v>0</v>
      </c>
      <c r="BG2" s="3458">
        <f>'[5]凯迪拉克（含分摊）'!BG2/10000</f>
        <v>0</v>
      </c>
      <c r="BH2" s="3458">
        <f>'[5]凯迪拉克（含分摊）'!BH2/10000</f>
        <v>0</v>
      </c>
      <c r="BI2" s="3458">
        <f>'[5]凯迪拉克（含分摊）'!BI2/10000</f>
        <v>0</v>
      </c>
      <c r="BJ2" s="3458">
        <f>'[5]凯迪拉克（含分摊）'!BJ2/10000</f>
        <v>0</v>
      </c>
      <c r="BK2" s="3458">
        <f>'[5]凯迪拉克（含分摊）'!BK2/10000</f>
        <v>0</v>
      </c>
      <c r="BL2" s="3458">
        <f>'[5]凯迪拉克（含分摊）'!BL2/10000</f>
        <v>0</v>
      </c>
      <c r="BM2" s="3458">
        <f>'[5]凯迪拉克（含分摊）'!BM2/10000</f>
        <v>0</v>
      </c>
      <c r="BN2" s="3458">
        <f>'[5]凯迪拉克（含分摊）'!BN2/10000</f>
        <v>0</v>
      </c>
      <c r="BO2" s="3458">
        <f>SUM(BC2:BN2)</f>
        <v>0</v>
      </c>
      <c r="BP2" s="3459"/>
      <c r="BQ2" s="3459"/>
      <c r="BR2" s="3459"/>
      <c r="BS2" s="3459"/>
      <c r="BT2" s="3459"/>
      <c r="BU2" s="3459"/>
      <c r="BV2" s="3459"/>
      <c r="BW2" s="3459"/>
      <c r="BX2" s="3459"/>
      <c r="BY2" s="3459"/>
      <c r="BZ2" s="3459"/>
      <c r="CA2" s="3460"/>
      <c r="CB2" s="3460">
        <f>SUM(BP2:CA2)</f>
        <v>0</v>
      </c>
    </row>
    <row r="3" spans="1:82">
      <c r="A3" s="3455"/>
      <c r="B3" s="3461" t="s">
        <v>3473</v>
      </c>
      <c r="C3" s="3457">
        <f>'[5]凯迪拉克（含分摊）'!C3/10000</f>
        <v>0</v>
      </c>
      <c r="D3" s="3457">
        <f>'[5]凯迪拉克（含分摊）'!D3/10000</f>
        <v>0</v>
      </c>
      <c r="E3" s="3457">
        <f>'[5]凯迪拉克（含分摊）'!E3/10000</f>
        <v>0</v>
      </c>
      <c r="F3" s="3457">
        <f>'[5]凯迪拉克（含分摊）'!F3/10000</f>
        <v>0</v>
      </c>
      <c r="G3" s="3457">
        <f>'[5]凯迪拉克（含分摊）'!G3/10000</f>
        <v>0</v>
      </c>
      <c r="H3" s="3457">
        <f>'[5]凯迪拉克（含分摊）'!H3/10000</f>
        <v>0</v>
      </c>
      <c r="I3" s="3457">
        <f>'[5]凯迪拉克（含分摊）'!I3/10000</f>
        <v>0</v>
      </c>
      <c r="J3" s="3457">
        <f>'[5]凯迪拉克（含分摊）'!J3/10000</f>
        <v>0</v>
      </c>
      <c r="K3" s="3457">
        <f>'[5]凯迪拉克（含分摊）'!K3/10000</f>
        <v>0</v>
      </c>
      <c r="L3" s="3457">
        <f>'[5]凯迪拉克（含分摊）'!L3/10000</f>
        <v>0</v>
      </c>
      <c r="M3" s="3457">
        <f>'[5]凯迪拉克（含分摊）'!M3/10000</f>
        <v>0</v>
      </c>
      <c r="N3" s="3457">
        <f>'[5]凯迪拉克（含分摊）'!N3/10000</f>
        <v>0</v>
      </c>
      <c r="O3" s="3457">
        <f t="shared" ref="O3:O27" si="0">SUM(C3:N3)</f>
        <v>0</v>
      </c>
      <c r="P3" s="3457">
        <f>'[5]凯迪拉克（含分摊）'!P3/10000</f>
        <v>0</v>
      </c>
      <c r="Q3" s="3457">
        <f>'[5]凯迪拉克（含分摊）'!Q3/10000</f>
        <v>0</v>
      </c>
      <c r="R3" s="3457">
        <f>'[5]凯迪拉克（含分摊）'!R3/10000</f>
        <v>0</v>
      </c>
      <c r="S3" s="3457">
        <f>'[5]凯迪拉克（含分摊）'!S3/10000</f>
        <v>0</v>
      </c>
      <c r="T3" s="3457">
        <f>'[5]凯迪拉克（含分摊）'!T3/10000</f>
        <v>0</v>
      </c>
      <c r="U3" s="3457">
        <f>'[5]凯迪拉克（含分摊）'!U3/10000</f>
        <v>0</v>
      </c>
      <c r="V3" s="3457">
        <f>'[5]凯迪拉克（含分摊）'!V3/10000</f>
        <v>0</v>
      </c>
      <c r="W3" s="3457">
        <f>'[5]凯迪拉克（含分摊）'!W3/10000</f>
        <v>0</v>
      </c>
      <c r="X3" s="3457">
        <f>'[5]凯迪拉克（含分摊）'!X3/10000</f>
        <v>0</v>
      </c>
      <c r="Y3" s="3457">
        <f>'[5]凯迪拉克（含分摊）'!Y3/10000</f>
        <v>0</v>
      </c>
      <c r="Z3" s="3457">
        <f>'[5]凯迪拉克（含分摊）'!Z3/10000</f>
        <v>0</v>
      </c>
      <c r="AA3" s="3457">
        <f>'[5]凯迪拉克（含分摊）'!AA3/10000</f>
        <v>0</v>
      </c>
      <c r="AB3" s="3457">
        <f t="shared" ref="AB3:AB27" si="1">SUM(P3:AA3)</f>
        <v>0</v>
      </c>
      <c r="AC3" s="3457">
        <f>'[5]凯迪拉克（含分摊）'!AC3/10000</f>
        <v>0</v>
      </c>
      <c r="AD3" s="3457">
        <f>'[5]凯迪拉克（含分摊）'!AD3/10000</f>
        <v>0</v>
      </c>
      <c r="AE3" s="3457">
        <f>'[5]凯迪拉克（含分摊）'!AE3/10000</f>
        <v>0</v>
      </c>
      <c r="AF3" s="3457">
        <f>'[5]凯迪拉克（含分摊）'!AF3/10000</f>
        <v>0</v>
      </c>
      <c r="AG3" s="3457">
        <f>'[5]凯迪拉克（含分摊）'!AG3/10000</f>
        <v>0</v>
      </c>
      <c r="AH3" s="3457">
        <f>'[5]凯迪拉克（含分摊）'!AH3/10000</f>
        <v>0</v>
      </c>
      <c r="AI3" s="3457">
        <f>'[5]凯迪拉克（含分摊）'!AI3/10000</f>
        <v>0</v>
      </c>
      <c r="AJ3" s="3457">
        <f>'[5]凯迪拉克（含分摊）'!AJ3/10000</f>
        <v>0</v>
      </c>
      <c r="AK3" s="3457">
        <f>'[5]凯迪拉克（含分摊）'!AK3/10000</f>
        <v>0</v>
      </c>
      <c r="AL3" s="3457">
        <f>'[5]凯迪拉克（含分摊）'!AL3/10000</f>
        <v>0</v>
      </c>
      <c r="AM3" s="3457">
        <f>'[5]凯迪拉克（含分摊）'!AM3/10000</f>
        <v>0</v>
      </c>
      <c r="AN3" s="3457">
        <f>'[5]凯迪拉克（含分摊）'!AN3/10000</f>
        <v>0</v>
      </c>
      <c r="AO3" s="3457">
        <f t="shared" ref="AO3:AO27" si="2">SUM(AC3:AN3)</f>
        <v>0</v>
      </c>
      <c r="AP3" s="3457">
        <f>'[5]凯迪拉克（含分摊）'!AP3/10000</f>
        <v>0</v>
      </c>
      <c r="AQ3" s="3457">
        <f>'[5]凯迪拉克（含分摊）'!AQ3/10000</f>
        <v>0</v>
      </c>
      <c r="AR3" s="3457">
        <f>'[5]凯迪拉克（含分摊）'!AR3/10000</f>
        <v>0</v>
      </c>
      <c r="AS3" s="3457">
        <f>'[5]凯迪拉克（含分摊）'!AS3/10000</f>
        <v>0</v>
      </c>
      <c r="AT3" s="3457">
        <f>'[5]凯迪拉克（含分摊）'!AT3/10000</f>
        <v>0</v>
      </c>
      <c r="AU3" s="3457">
        <f>'[5]凯迪拉克（含分摊）'!AU3/10000</f>
        <v>0</v>
      </c>
      <c r="AV3" s="3457">
        <f>'[5]凯迪拉克（含分摊）'!AV3/10000</f>
        <v>0</v>
      </c>
      <c r="AW3" s="3457">
        <f>'[5]凯迪拉克（含分摊）'!AW3/10000</f>
        <v>0</v>
      </c>
      <c r="AX3" s="3457">
        <f>'[5]凯迪拉克（含分摊）'!AX3/10000</f>
        <v>0</v>
      </c>
      <c r="AY3" s="3457">
        <f>'[5]凯迪拉克（含分摊）'!AY3/10000</f>
        <v>0</v>
      </c>
      <c r="AZ3" s="3457">
        <f>'[5]凯迪拉克（含分摊）'!AZ3/10000</f>
        <v>0</v>
      </c>
      <c r="BA3" s="3457">
        <f>'[5]凯迪拉克（含分摊）'!BA3/10000</f>
        <v>0</v>
      </c>
      <c r="BB3" s="3457">
        <f t="shared" ref="BB3:BB27" si="3">SUM(AP3:BA3)</f>
        <v>0</v>
      </c>
      <c r="BC3" s="3457">
        <f>'[5]凯迪拉克（含分摊）'!BC3/10000</f>
        <v>0</v>
      </c>
      <c r="BD3" s="3457">
        <f>'[5]凯迪拉克（含分摊）'!BD3/10000</f>
        <v>0</v>
      </c>
      <c r="BE3" s="3457">
        <f>'[5]凯迪拉克（含分摊）'!BE3/10000</f>
        <v>0</v>
      </c>
      <c r="BF3" s="3457">
        <f>'[5]凯迪拉克（含分摊）'!BF3/10000</f>
        <v>0</v>
      </c>
      <c r="BG3" s="3457">
        <f>'[5]凯迪拉克（含分摊）'!BG3/10000</f>
        <v>0</v>
      </c>
      <c r="BH3" s="3457">
        <f>'[5]凯迪拉克（含分摊）'!BH3/10000</f>
        <v>0</v>
      </c>
      <c r="BI3" s="3457">
        <f>'[5]凯迪拉克（含分摊）'!BI3/10000</f>
        <v>0</v>
      </c>
      <c r="BJ3" s="3457">
        <f>'[5]凯迪拉克（含分摊）'!BJ3/10000</f>
        <v>0</v>
      </c>
      <c r="BK3" s="3457">
        <f>'[5]凯迪拉克（含分摊）'!BK3/10000</f>
        <v>0</v>
      </c>
      <c r="BL3" s="3457">
        <f>'[5]凯迪拉克（含分摊）'!BL3/10000</f>
        <v>0</v>
      </c>
      <c r="BM3" s="3457">
        <f>'[5]凯迪拉克（含分摊）'!BM3/10000</f>
        <v>0</v>
      </c>
      <c r="BN3" s="3457">
        <f>'[5]凯迪拉克（含分摊）'!BN3/10000</f>
        <v>0</v>
      </c>
      <c r="BO3" s="3457">
        <f t="shared" ref="BO3:BO27" si="4">SUM(BC3:BN3)</f>
        <v>0</v>
      </c>
      <c r="BP3" s="3462"/>
      <c r="BQ3" s="3462"/>
      <c r="BR3" s="3462"/>
      <c r="BS3" s="3462"/>
      <c r="BT3" s="3462"/>
      <c r="BU3" s="3462"/>
      <c r="BV3" s="3462"/>
      <c r="BW3" s="3462"/>
      <c r="BX3" s="3462"/>
      <c r="BY3" s="3462"/>
      <c r="BZ3" s="3462"/>
      <c r="CA3" s="3463"/>
      <c r="CB3" s="3463">
        <f t="shared" ref="CB3:CB27" si="5">SUM(BP3:CA3)</f>
        <v>0</v>
      </c>
    </row>
    <row r="4" spans="1:82">
      <c r="A4" s="3455"/>
      <c r="B4" s="3461" t="s">
        <v>3474</v>
      </c>
      <c r="C4" s="3457">
        <f>'[5]凯迪拉克（含分摊）'!C4/10000</f>
        <v>0</v>
      </c>
      <c r="D4" s="3457">
        <f>'[5]凯迪拉克（含分摊）'!D4/10000</f>
        <v>0</v>
      </c>
      <c r="E4" s="3457">
        <f>'[5]凯迪拉克（含分摊）'!E4/10000</f>
        <v>0</v>
      </c>
      <c r="F4" s="3457">
        <f>'[5]凯迪拉克（含分摊）'!F4/10000</f>
        <v>0</v>
      </c>
      <c r="G4" s="3457">
        <f>'[5]凯迪拉克（含分摊）'!G4/10000</f>
        <v>0</v>
      </c>
      <c r="H4" s="3457">
        <f>'[5]凯迪拉克（含分摊）'!H4/10000</f>
        <v>0</v>
      </c>
      <c r="I4" s="3457">
        <f>'[5]凯迪拉克（含分摊）'!I4/10000</f>
        <v>0</v>
      </c>
      <c r="J4" s="3457">
        <f>'[5]凯迪拉克（含分摊）'!J4/10000</f>
        <v>0</v>
      </c>
      <c r="K4" s="3457">
        <f>'[5]凯迪拉克（含分摊）'!K4/10000</f>
        <v>0</v>
      </c>
      <c r="L4" s="3457">
        <f>'[5]凯迪拉克（含分摊）'!L4/10000</f>
        <v>0</v>
      </c>
      <c r="M4" s="3457">
        <f>'[5]凯迪拉克（含分摊）'!M4/10000</f>
        <v>0</v>
      </c>
      <c r="N4" s="3457">
        <f>'[5]凯迪拉克（含分摊）'!N4/10000</f>
        <v>0</v>
      </c>
      <c r="O4" s="3457">
        <f t="shared" si="0"/>
        <v>0</v>
      </c>
      <c r="P4" s="3457">
        <f>'[5]凯迪拉克（含分摊）'!P4/10000</f>
        <v>0</v>
      </c>
      <c r="Q4" s="3457">
        <f>'[5]凯迪拉克（含分摊）'!Q4/10000</f>
        <v>0</v>
      </c>
      <c r="R4" s="3457">
        <f>'[5]凯迪拉克（含分摊）'!R4/10000</f>
        <v>0</v>
      </c>
      <c r="S4" s="3457">
        <f>'[5]凯迪拉克（含分摊）'!S4/10000</f>
        <v>0</v>
      </c>
      <c r="T4" s="3457">
        <f>'[5]凯迪拉克（含分摊）'!T4/10000</f>
        <v>0</v>
      </c>
      <c r="U4" s="3457">
        <f>'[5]凯迪拉克（含分摊）'!U4/10000</f>
        <v>0</v>
      </c>
      <c r="V4" s="3457">
        <f>'[5]凯迪拉克（含分摊）'!V4/10000</f>
        <v>0</v>
      </c>
      <c r="W4" s="3457">
        <f>'[5]凯迪拉克（含分摊）'!W4/10000</f>
        <v>0</v>
      </c>
      <c r="X4" s="3457">
        <f>'[5]凯迪拉克（含分摊）'!X4/10000</f>
        <v>0</v>
      </c>
      <c r="Y4" s="3457">
        <f>'[5]凯迪拉克（含分摊）'!Y4/10000</f>
        <v>0</v>
      </c>
      <c r="Z4" s="3457">
        <f>'[5]凯迪拉克（含分摊）'!Z4/10000</f>
        <v>0</v>
      </c>
      <c r="AA4" s="3457">
        <f>'[5]凯迪拉克（含分摊）'!AA4/10000</f>
        <v>0</v>
      </c>
      <c r="AB4" s="3457">
        <f t="shared" si="1"/>
        <v>0</v>
      </c>
      <c r="AC4" s="3457">
        <f>'[5]凯迪拉克（含分摊）'!AC4/10000</f>
        <v>0</v>
      </c>
      <c r="AD4" s="3457">
        <f>'[5]凯迪拉克（含分摊）'!AD4/10000</f>
        <v>0</v>
      </c>
      <c r="AE4" s="3457">
        <f>'[5]凯迪拉克（含分摊）'!AE4/10000</f>
        <v>0</v>
      </c>
      <c r="AF4" s="3457">
        <f>'[5]凯迪拉克（含分摊）'!AF4/10000</f>
        <v>0</v>
      </c>
      <c r="AG4" s="3457">
        <f>'[5]凯迪拉克（含分摊）'!AG4/10000</f>
        <v>0</v>
      </c>
      <c r="AH4" s="3457">
        <f>'[5]凯迪拉克（含分摊）'!AH4/10000</f>
        <v>0</v>
      </c>
      <c r="AI4" s="3457">
        <f>'[5]凯迪拉克（含分摊）'!AI4/10000</f>
        <v>0</v>
      </c>
      <c r="AJ4" s="3457">
        <f>'[5]凯迪拉克（含分摊）'!AJ4/10000</f>
        <v>0</v>
      </c>
      <c r="AK4" s="3457">
        <f>'[5]凯迪拉克（含分摊）'!AK4/10000</f>
        <v>0</v>
      </c>
      <c r="AL4" s="3457">
        <f>'[5]凯迪拉克（含分摊）'!AL4/10000</f>
        <v>0</v>
      </c>
      <c r="AM4" s="3457">
        <f>'[5]凯迪拉克（含分摊）'!AM4/10000</f>
        <v>0</v>
      </c>
      <c r="AN4" s="3457">
        <f>'[5]凯迪拉克（含分摊）'!AN4/10000</f>
        <v>0</v>
      </c>
      <c r="AO4" s="3457">
        <f t="shared" si="2"/>
        <v>0</v>
      </c>
      <c r="AP4" s="3457">
        <f>'[5]凯迪拉克（含分摊）'!AP4/10000</f>
        <v>0</v>
      </c>
      <c r="AQ4" s="3457">
        <f>'[5]凯迪拉克（含分摊）'!AQ4/10000</f>
        <v>0</v>
      </c>
      <c r="AR4" s="3457">
        <f>'[5]凯迪拉克（含分摊）'!AR4/10000</f>
        <v>0</v>
      </c>
      <c r="AS4" s="3457">
        <f>'[5]凯迪拉克（含分摊）'!AS4/10000</f>
        <v>0</v>
      </c>
      <c r="AT4" s="3457">
        <f>'[5]凯迪拉克（含分摊）'!AT4/10000</f>
        <v>0</v>
      </c>
      <c r="AU4" s="3457">
        <f>'[5]凯迪拉克（含分摊）'!AU4/10000</f>
        <v>0</v>
      </c>
      <c r="AV4" s="3457">
        <f>'[5]凯迪拉克（含分摊）'!AV4/10000</f>
        <v>0</v>
      </c>
      <c r="AW4" s="3457">
        <f>'[5]凯迪拉克（含分摊）'!AW4/10000</f>
        <v>0</v>
      </c>
      <c r="AX4" s="3457">
        <f>'[5]凯迪拉克（含分摊）'!AX4/10000</f>
        <v>0</v>
      </c>
      <c r="AY4" s="3457">
        <f>'[5]凯迪拉克（含分摊）'!AY4/10000</f>
        <v>0</v>
      </c>
      <c r="AZ4" s="3457">
        <f>'[5]凯迪拉克（含分摊）'!AZ4/10000</f>
        <v>0</v>
      </c>
      <c r="BA4" s="3457">
        <f>'[5]凯迪拉克（含分摊）'!BA4/10000</f>
        <v>0</v>
      </c>
      <c r="BB4" s="3457">
        <f t="shared" si="3"/>
        <v>0</v>
      </c>
      <c r="BC4" s="3457">
        <f>'[5]凯迪拉克（含分摊）'!BC4/10000</f>
        <v>0</v>
      </c>
      <c r="BD4" s="3457">
        <f>'[5]凯迪拉克（含分摊）'!BD4/10000</f>
        <v>0</v>
      </c>
      <c r="BE4" s="3457">
        <f>'[5]凯迪拉克（含分摊）'!BE4/10000</f>
        <v>0</v>
      </c>
      <c r="BF4" s="3457">
        <f>'[5]凯迪拉克（含分摊）'!BF4/10000</f>
        <v>0</v>
      </c>
      <c r="BG4" s="3457">
        <f>'[5]凯迪拉克（含分摊）'!BG4/10000</f>
        <v>0</v>
      </c>
      <c r="BH4" s="3457">
        <f>'[5]凯迪拉克（含分摊）'!BH4/10000</f>
        <v>0</v>
      </c>
      <c r="BI4" s="3457">
        <f>'[5]凯迪拉克（含分摊）'!BI4/10000</f>
        <v>0</v>
      </c>
      <c r="BJ4" s="3457">
        <f>'[5]凯迪拉克（含分摊）'!BJ4/10000</f>
        <v>0</v>
      </c>
      <c r="BK4" s="3457">
        <f>'[5]凯迪拉克（含分摊）'!BK4/10000</f>
        <v>0</v>
      </c>
      <c r="BL4" s="3457">
        <f>'[5]凯迪拉克（含分摊）'!BL4/10000</f>
        <v>0</v>
      </c>
      <c r="BM4" s="3457">
        <f>'[5]凯迪拉克（含分摊）'!BM4/10000</f>
        <v>0</v>
      </c>
      <c r="BN4" s="3457">
        <f>'[5]凯迪拉克（含分摊）'!BN4/10000</f>
        <v>0</v>
      </c>
      <c r="BO4" s="3457">
        <f t="shared" si="4"/>
        <v>0</v>
      </c>
      <c r="BP4" s="3462"/>
      <c r="BQ4" s="3462"/>
      <c r="BR4" s="3462"/>
      <c r="BS4" s="3462"/>
      <c r="BT4" s="3462"/>
      <c r="BU4" s="3462"/>
      <c r="BV4" s="3462"/>
      <c r="BW4" s="3462"/>
      <c r="BX4" s="3462"/>
      <c r="BY4" s="3462"/>
      <c r="BZ4" s="3462"/>
      <c r="CA4" s="3463"/>
      <c r="CB4" s="3463">
        <f t="shared" si="5"/>
        <v>0</v>
      </c>
    </row>
    <row r="5" spans="1:82" s="3467" customFormat="1">
      <c r="A5" s="3464"/>
      <c r="B5" s="3465" t="s">
        <v>3475</v>
      </c>
      <c r="C5" s="3466">
        <f>'[5]凯迪拉克（含分摊）'!C5/10000</f>
        <v>0</v>
      </c>
      <c r="D5" s="3466">
        <f>'[5]凯迪拉克（含分摊）'!D5/10000</f>
        <v>0</v>
      </c>
      <c r="E5" s="3466">
        <f>'[5]凯迪拉克（含分摊）'!E5/10000</f>
        <v>1324.94723</v>
      </c>
      <c r="F5" s="3466">
        <f>'[5]凯迪拉克（含分摊）'!F5/10000</f>
        <v>614.55968899999993</v>
      </c>
      <c r="G5" s="3466">
        <f>'[5]凯迪拉克（含分摊）'!G5/10000</f>
        <v>536.29179749999992</v>
      </c>
      <c r="H5" s="3466">
        <f>'[5]凯迪拉克（含分摊）'!H5/10000</f>
        <v>213.008692</v>
      </c>
      <c r="I5" s="3466">
        <f>'[5]凯迪拉克（含分摊）'!I5/10000</f>
        <v>390.06728475</v>
      </c>
      <c r="J5" s="3466">
        <f>'[5]凯迪拉克（含分摊）'!J5/10000</f>
        <v>3156.3943480000003</v>
      </c>
      <c r="K5" s="3466">
        <f>'[5]凯迪拉克（含分摊）'!K5/10000</f>
        <v>568.86873400000002</v>
      </c>
      <c r="L5" s="3466">
        <f>'[5]凯迪拉克（含分摊）'!L5/10000</f>
        <v>1606.4501170000001</v>
      </c>
      <c r="M5" s="3466">
        <f>'[5]凯迪拉克（含分摊）'!M5/10000</f>
        <v>1137.1796380000001</v>
      </c>
      <c r="N5" s="3466">
        <f>'[5]凯迪拉克（含分摊）'!N5/10000</f>
        <v>1500.5086759999999</v>
      </c>
      <c r="O5" s="3466">
        <f t="shared" si="0"/>
        <v>11048.276206249999</v>
      </c>
      <c r="P5" s="3466">
        <f>'[5]凯迪拉克（含分摊）'!P5/10000</f>
        <v>354.82006244999997</v>
      </c>
      <c r="Q5" s="3466">
        <f>'[5]凯迪拉克（含分摊）'!Q5/10000</f>
        <v>196.73459894999999</v>
      </c>
      <c r="R5" s="3466">
        <f>'[5]凯迪拉克（含分摊）'!R5/10000</f>
        <v>1201.3467562200001</v>
      </c>
      <c r="S5" s="3466">
        <f>'[5]凯迪拉克（含分摊）'!S5/10000</f>
        <v>242.59307519999999</v>
      </c>
      <c r="T5" s="3466">
        <f>'[5]凯迪拉克（含分摊）'!T5/10000</f>
        <v>1769.24446147</v>
      </c>
      <c r="U5" s="3466">
        <f>'[5]凯迪拉克（含分摊）'!U5/10000</f>
        <v>366.87140019999998</v>
      </c>
      <c r="V5" s="3466">
        <f>'[5]凯迪拉克（含分摊）'!V5/10000</f>
        <v>1743.5624879700001</v>
      </c>
      <c r="W5" s="3466">
        <f>'[5]凯迪拉克（含分摊）'!W5/10000</f>
        <v>757.56902374999993</v>
      </c>
      <c r="X5" s="3466">
        <f>'[5]凯迪拉克（含分摊）'!X5/10000</f>
        <v>348.43849549999999</v>
      </c>
      <c r="Y5" s="3466">
        <f>'[5]凯迪拉克（含分摊）'!Y5/10000</f>
        <v>2654.8226501499998</v>
      </c>
      <c r="Z5" s="3466">
        <f>'[5]凯迪拉克（含分摊）'!Z5/10000</f>
        <v>4125.2891954000006</v>
      </c>
      <c r="AA5" s="3466">
        <f>'[5]凯迪拉克（含分摊）'!AA5/10000</f>
        <v>-592.36098600000003</v>
      </c>
      <c r="AB5" s="3466">
        <f t="shared" si="1"/>
        <v>13168.93122126</v>
      </c>
      <c r="AC5" s="3466">
        <f>'[5]凯迪拉克（含分摊）'!AC5/10000</f>
        <v>372.38143005000001</v>
      </c>
      <c r="AD5" s="3466">
        <f>'[5]凯迪拉克（含分摊）'!AD5/10000</f>
        <v>0</v>
      </c>
      <c r="AE5" s="3466">
        <f>'[5]凯迪拉克（含分摊）'!AE5/10000</f>
        <v>158.15094299999998</v>
      </c>
      <c r="AF5" s="3466">
        <f>'[5]凯迪拉克（含分摊）'!AF5/10000</f>
        <v>1322.0199947000001</v>
      </c>
      <c r="AG5" s="3466">
        <f>'[5]凯迪拉克（含分摊）'!AG5/10000</f>
        <v>0</v>
      </c>
      <c r="AH5" s="3466">
        <f>'[5]凯迪拉克（含分摊）'!AH5/10000</f>
        <v>0.16</v>
      </c>
      <c r="AI5" s="3466">
        <f>'[5]凯迪拉克（含分摊）'!AI5/10000</f>
        <v>59.058</v>
      </c>
      <c r="AJ5" s="3466">
        <f>'[5]凯迪拉克（含分摊）'!AJ5/10000</f>
        <v>773.42748181999991</v>
      </c>
      <c r="AK5" s="3466">
        <f>'[5]凯迪拉克（含分摊）'!AK5/10000</f>
        <v>0</v>
      </c>
      <c r="AL5" s="3466">
        <f>'[5]凯迪拉克（含分摊）'!AL5/10000</f>
        <v>92.898585499999996</v>
      </c>
      <c r="AM5" s="3466">
        <f>'[5]凯迪拉克（含分摊）'!AM5/10000</f>
        <v>1454.88773664</v>
      </c>
      <c r="AN5" s="3466">
        <f>'[5]凯迪拉克（含分摊）'!AN5/10000</f>
        <v>1431.7827593499999</v>
      </c>
      <c r="AO5" s="3466">
        <f t="shared" si="2"/>
        <v>5664.7669310599995</v>
      </c>
      <c r="AP5" s="3466">
        <f>'[5]凯迪拉克（含分摊）'!AP5/10000</f>
        <v>222.81884975</v>
      </c>
      <c r="AQ5" s="3466">
        <f>'[5]凯迪拉克（含分摊）'!AQ5/10000</f>
        <v>26.8</v>
      </c>
      <c r="AR5" s="3466">
        <f>'[5]凯迪拉克（含分摊）'!AR5/10000</f>
        <v>37.479999999999997</v>
      </c>
      <c r="AS5" s="3466">
        <f>'[5]凯迪拉克（含分摊）'!AS5/10000</f>
        <v>0.13500000000000001</v>
      </c>
      <c r="AT5" s="3466">
        <f>'[5]凯迪拉克（含分摊）'!AT5/10000</f>
        <v>0</v>
      </c>
      <c r="AU5" s="3466">
        <f>'[5]凯迪拉克（含分摊）'!AU5/10000</f>
        <v>30.34</v>
      </c>
      <c r="AV5" s="3466">
        <f>'[5]凯迪拉克（含分摊）'!AV5/10000</f>
        <v>216.03994100000003</v>
      </c>
      <c r="AW5" s="3466">
        <f>'[5]凯迪拉克（含分摊）'!AW5/10000</f>
        <v>0</v>
      </c>
      <c r="AX5" s="3466">
        <f>'[5]凯迪拉克（含分摊）'!AX5/10000</f>
        <v>56.807299999999998</v>
      </c>
      <c r="AY5" s="3466">
        <f>'[5]凯迪拉克（含分摊）'!AY5/10000</f>
        <v>36.428571000000005</v>
      </c>
      <c r="AZ5" s="3466">
        <f>'[5]凯迪拉克（含分摊）'!AZ5/10000</f>
        <v>3725.163</v>
      </c>
      <c r="BA5" s="3466">
        <f>'[5]凯迪拉克（含分摊）'!BA5/10000</f>
        <v>0</v>
      </c>
      <c r="BB5" s="3466">
        <f t="shared" si="3"/>
        <v>4352.01266175</v>
      </c>
      <c r="BC5" s="3466">
        <f>'[5]凯迪拉克（含分摊）'!BC5/10000</f>
        <v>1179.100645</v>
      </c>
      <c r="BD5" s="3466">
        <f>'[5]凯迪拉克（含分摊）'!BD5/10000</f>
        <v>542.66</v>
      </c>
      <c r="BE5" s="3466">
        <f>'[5]凯迪拉克（含分摊）'!BE5/10000</f>
        <v>7.6476190000000006</v>
      </c>
      <c r="BF5" s="3466">
        <f>'[5]凯迪拉克（含分摊）'!BF5/10000</f>
        <v>0</v>
      </c>
      <c r="BG5" s="3466">
        <f>'[5]凯迪拉克（含分摊）'!BG5/10000</f>
        <v>457.92</v>
      </c>
      <c r="BH5" s="3466">
        <f>'[5]凯迪拉克（含分摊）'!BH5/10000</f>
        <v>0</v>
      </c>
      <c r="BI5" s="3466">
        <f>'[5]凯迪拉克（含分摊）'!BI5/10000</f>
        <v>1</v>
      </c>
      <c r="BJ5" s="3466">
        <f>'[5]凯迪拉克（含分摊）'!BJ5/10000</f>
        <v>458.91999787999998</v>
      </c>
      <c r="BK5" s="3466">
        <f>'[5]凯迪拉克（含分摊）'!BK5/10000</f>
        <v>16</v>
      </c>
      <c r="BL5" s="3466">
        <f>'[5]凯迪拉克（含分摊）'!BL5/10000</f>
        <v>67</v>
      </c>
      <c r="BM5" s="3466">
        <f>'[5]凯迪拉克（含分摊）'!BM5/10000</f>
        <v>496</v>
      </c>
      <c r="BN5" s="3466">
        <f>'[5]凯迪拉克（含分摊）'!BN5/10000</f>
        <v>229.96</v>
      </c>
      <c r="BO5" s="3466">
        <f t="shared" si="4"/>
        <v>3456.2082618799996</v>
      </c>
      <c r="BP5" s="3466">
        <f>'[5]凯迪拉克（含分摊）'!BP5/10000</f>
        <v>1</v>
      </c>
      <c r="BQ5" s="3466">
        <f>'[5]凯迪拉克（含分摊）'!BQ5/10000</f>
        <v>1</v>
      </c>
      <c r="BR5" s="3466">
        <f>'[5]凯迪拉克（含分摊）'!BR5/10000</f>
        <v>440.0213</v>
      </c>
      <c r="BS5" s="3466">
        <f>'[5]凯迪拉克（含分摊）'!BS5/10000</f>
        <v>501.74640499999998</v>
      </c>
      <c r="BT5" s="3466">
        <f>'[5]凯迪拉克（含分摊）'!BT5/10000</f>
        <v>991.71014200000002</v>
      </c>
      <c r="BU5" s="3466">
        <f>'[5]凯迪拉克（含分摊）'!BU5/10000</f>
        <v>654.78825199999994</v>
      </c>
      <c r="BV5" s="3466">
        <f>'[5]凯迪拉克（含分摊）'!BV5/10000</f>
        <v>801.366805</v>
      </c>
      <c r="BW5" s="3466">
        <f>'[5]凯迪拉克（含分摊）'!BW5/10000</f>
        <v>703.78546200000005</v>
      </c>
      <c r="BX5" s="3466">
        <f>'[5]凯迪拉克（含分摊）'!BX5/10000</f>
        <v>796.04054199999996</v>
      </c>
      <c r="BY5" s="3466">
        <f>'[5]凯迪拉克（含分摊）'!BY5/10000</f>
        <v>699.16873099999998</v>
      </c>
      <c r="BZ5" s="3466">
        <f>'[5]凯迪拉克（含分摊）'!BZ5/10000</f>
        <v>450.00356799999997</v>
      </c>
      <c r="CA5" s="3466">
        <f>'[5]凯迪拉克（含分摊）'!CA5/10000</f>
        <v>3923.5302549999997</v>
      </c>
      <c r="CB5" s="3466">
        <f t="shared" si="5"/>
        <v>9964.161462</v>
      </c>
    </row>
    <row r="6" spans="1:82">
      <c r="A6" s="3468"/>
      <c r="B6" s="3456" t="s">
        <v>3476</v>
      </c>
      <c r="C6" s="3457">
        <f>'[5]凯迪拉克（含分摊）'!C6/10000</f>
        <v>0</v>
      </c>
      <c r="D6" s="3457">
        <f>'[5]凯迪拉克（含分摊）'!D6/10000</f>
        <v>0</v>
      </c>
      <c r="E6" s="3457">
        <f>'[5]凯迪拉克（含分摊）'!E6/10000</f>
        <v>218.36005399999999</v>
      </c>
      <c r="F6" s="3457">
        <f>'[5]凯迪拉克（含分摊）'!F6/10000</f>
        <v>409.315404</v>
      </c>
      <c r="G6" s="3457">
        <f>'[5]凯迪拉克（含分摊）'!G6/10000</f>
        <v>354.85703650000005</v>
      </c>
      <c r="H6" s="3457">
        <f>'[5]凯迪拉克（含分摊）'!H6/10000</f>
        <v>157.989026</v>
      </c>
      <c r="I6" s="3457">
        <f>'[5]凯迪拉克（含分摊）'!I6/10000</f>
        <v>335.04761674999997</v>
      </c>
      <c r="J6" s="3457">
        <f>'[5]凯迪拉克（含分摊）'!J6/10000</f>
        <v>596.69813199999999</v>
      </c>
      <c r="K6" s="3457">
        <f>'[5]凯迪拉克（含分摊）'!K6/10000</f>
        <v>202.683548</v>
      </c>
      <c r="L6" s="3457">
        <f>'[5]凯迪拉克（含分摊）'!L6/10000</f>
        <v>179.41836599999999</v>
      </c>
      <c r="M6" s="3457">
        <f>'[5]凯迪拉克（含分摊）'!M6/10000</f>
        <v>349.91949299999999</v>
      </c>
      <c r="N6" s="3457">
        <f>'[5]凯迪拉克（含分摊）'!N6/10000</f>
        <v>187.22533000000001</v>
      </c>
      <c r="O6" s="3457">
        <f t="shared" si="0"/>
        <v>2991.51400625</v>
      </c>
      <c r="P6" s="3457">
        <f>'[5]凯迪拉克（含分摊）'!P6/10000</f>
        <v>308.60340000000002</v>
      </c>
      <c r="Q6" s="3457">
        <f>'[5]凯迪拉克（含分摊）'!Q6/10000</f>
        <v>125.51793000000001</v>
      </c>
      <c r="R6" s="3457">
        <f>'[5]凯迪拉克（含分摊）'!R6/10000</f>
        <v>132.09674999999999</v>
      </c>
      <c r="S6" s="3457">
        <f>'[5]凯迪拉克（含分摊）'!S6/10000</f>
        <v>57.315300000000001</v>
      </c>
      <c r="T6" s="3457">
        <f>'[5]凯迪拉克（含分摊）'!T6/10000</f>
        <v>338.74445700000001</v>
      </c>
      <c r="U6" s="3457">
        <f>'[5]凯迪拉克（含分摊）'!U6/10000</f>
        <v>341.87139999999999</v>
      </c>
      <c r="V6" s="3457">
        <f>'[5]凯迪拉克（含分摊）'!V6/10000</f>
        <v>319.79714999999999</v>
      </c>
      <c r="W6" s="3457">
        <f>'[5]凯迪拉克（含分摊）'!W6/10000</f>
        <v>348.19473799999997</v>
      </c>
      <c r="X6" s="3457">
        <f>'[5]凯迪拉克（含分摊）'!X6/10000</f>
        <v>43.438496000000001</v>
      </c>
      <c r="Y6" s="3457">
        <f>'[5]凯迪拉克（含分摊）'!Y6/10000</f>
        <v>1832.4416260000003</v>
      </c>
      <c r="Z6" s="3457">
        <f>'[5]凯迪拉克（含分摊）'!Z6/10000</f>
        <v>1709.4177780000002</v>
      </c>
      <c r="AA6" s="3457">
        <f>'[5]凯迪拉克（含分摊）'!AA6/10000</f>
        <v>576.15412400000002</v>
      </c>
      <c r="AB6" s="3457">
        <f t="shared" si="1"/>
        <v>6133.5931490000003</v>
      </c>
      <c r="AC6" s="3457">
        <f>'[5]凯迪拉克（含分摊）'!AC6/10000</f>
        <v>236.12309700000003</v>
      </c>
      <c r="AD6" s="3457">
        <f>'[5]凯迪拉克（含分摊）'!AD6/10000</f>
        <v>0</v>
      </c>
      <c r="AE6" s="3457">
        <f>'[5]凯迪拉克（含分摊）'!AE6/10000</f>
        <v>69</v>
      </c>
      <c r="AF6" s="3457">
        <f>'[5]凯迪拉克（含分摊）'!AF6/10000</f>
        <v>10.27</v>
      </c>
      <c r="AG6" s="3457">
        <f>'[5]凯迪拉克（含分摊）'!AG6/10000</f>
        <v>0</v>
      </c>
      <c r="AH6" s="3457">
        <f>'[5]凯迪拉克（含分摊）'!AH6/10000</f>
        <v>0.16</v>
      </c>
      <c r="AI6" s="3457">
        <f>'[5]凯迪拉克（含分摊）'!AI6/10000</f>
        <v>59.058</v>
      </c>
      <c r="AJ6" s="3457">
        <f>'[5]凯迪拉克（含分摊）'!AJ6/10000</f>
        <v>130.993517</v>
      </c>
      <c r="AK6" s="3457">
        <f>'[5]凯迪拉克（含分摊）'!AK6/10000</f>
        <v>0</v>
      </c>
      <c r="AL6" s="3457">
        <f>'[5]凯迪拉克（含分摊）'!AL6/10000</f>
        <v>108.5</v>
      </c>
      <c r="AM6" s="3457">
        <f>'[5]凯迪拉克（含分摊）'!AM6/10000</f>
        <v>265.892921</v>
      </c>
      <c r="AN6" s="3457">
        <f>'[5]凯迪拉克（含分摊）'!AN6/10000</f>
        <v>94.400689</v>
      </c>
      <c r="AO6" s="3457">
        <f t="shared" si="2"/>
        <v>974.39822400000003</v>
      </c>
      <c r="AP6" s="3457">
        <f>'[5]凯迪拉克（含分摊）'!AP6/10000</f>
        <v>208.208</v>
      </c>
      <c r="AQ6" s="3457">
        <f>'[5]凯迪拉克（含分摊）'!AQ6/10000</f>
        <v>26.8</v>
      </c>
      <c r="AR6" s="3457">
        <f>'[5]凯迪拉克（含分摊）'!AR6/10000</f>
        <v>37.479999999999997</v>
      </c>
      <c r="AS6" s="3457">
        <f>'[5]凯迪拉克（含分摊）'!AS6/10000</f>
        <v>0</v>
      </c>
      <c r="AT6" s="3457">
        <f>'[5]凯迪拉克（含分摊）'!AT6/10000</f>
        <v>0</v>
      </c>
      <c r="AU6" s="3457">
        <f>'[5]凯迪拉克（含分摊）'!AU6/10000</f>
        <v>30</v>
      </c>
      <c r="AV6" s="3457">
        <f>'[5]凯迪拉克（含分摊）'!AV6/10000</f>
        <v>172.189199</v>
      </c>
      <c r="AW6" s="3457">
        <f>'[5]凯迪拉克（含分摊）'!AW6/10000</f>
        <v>0</v>
      </c>
      <c r="AX6" s="3457">
        <f>'[5]凯迪拉克（含分摊）'!AX6/10000</f>
        <v>56.807299999999998</v>
      </c>
      <c r="AY6" s="3457">
        <f>'[5]凯迪拉克（含分摊）'!AY6/10000</f>
        <v>16.428570999999998</v>
      </c>
      <c r="AZ6" s="3457">
        <f>'[5]凯迪拉克（含分摊）'!AZ6/10000</f>
        <v>1942.2429999999999</v>
      </c>
      <c r="BA6" s="3457">
        <f>'[5]凯迪拉克（含分摊）'!BA6/10000</f>
        <v>0</v>
      </c>
      <c r="BB6" s="3457">
        <f t="shared" si="3"/>
        <v>2490.15607</v>
      </c>
      <c r="BC6" s="3457">
        <f>'[5]凯迪拉克（含分摊）'!BC6/10000</f>
        <v>330</v>
      </c>
      <c r="BD6" s="3457">
        <f>'[5]凯迪拉克（含分摊）'!BD6/10000</f>
        <v>0</v>
      </c>
      <c r="BE6" s="3457">
        <f>'[5]凯迪拉克（含分摊）'!BE6/10000</f>
        <v>7.6476190000000006</v>
      </c>
      <c r="BF6" s="3457">
        <f>'[5]凯迪拉克（含分摊）'!BF6/10000</f>
        <v>0</v>
      </c>
      <c r="BG6" s="3457">
        <f>'[5]凯迪拉克（含分摊）'!BG6/10000</f>
        <v>0</v>
      </c>
      <c r="BH6" s="3457">
        <f>'[5]凯迪拉克（含分摊）'!BH6/10000</f>
        <v>0</v>
      </c>
      <c r="BI6" s="3457">
        <f>'[5]凯迪拉克（含分摊）'!BI6/10000</f>
        <v>1</v>
      </c>
      <c r="BJ6" s="3457">
        <f>'[5]凯迪拉克（含分摊）'!BJ6/10000</f>
        <v>1</v>
      </c>
      <c r="BK6" s="3457">
        <f>'[5]凯迪拉克（含分摊）'!BK6/10000</f>
        <v>16</v>
      </c>
      <c r="BL6" s="3457">
        <f>'[5]凯迪拉克（含分摊）'!BL6/10000</f>
        <v>1</v>
      </c>
      <c r="BM6" s="3457">
        <f>'[5]凯迪拉克（含分摊）'!BM6/10000</f>
        <v>1</v>
      </c>
      <c r="BN6" s="3457">
        <f>'[5]凯迪拉克（含分摊）'!BN6/10000</f>
        <v>1</v>
      </c>
      <c r="BO6" s="3457">
        <f t="shared" si="4"/>
        <v>358.64761900000002</v>
      </c>
      <c r="BP6" s="3457">
        <f>'[5]凯迪拉克（含分摊）'!BP6/10000</f>
        <v>1</v>
      </c>
      <c r="BQ6" s="3457">
        <f>'[5]凯迪拉克（含分摊）'!BQ6/10000</f>
        <v>1</v>
      </c>
      <c r="BR6" s="3457">
        <f>'[5]凯迪拉克（含分摊）'!BR6/10000</f>
        <v>1</v>
      </c>
      <c r="BS6" s="3457">
        <f>'[5]凯迪拉克（含分摊）'!BS6/10000</f>
        <v>83.677070999999998</v>
      </c>
      <c r="BT6" s="3457">
        <f>'[5]凯迪拉克（含分摊）'!BT6/10000</f>
        <v>539.49069000000009</v>
      </c>
      <c r="BU6" s="3457">
        <f>'[5]凯迪拉克（含分摊）'!BU6/10000</f>
        <v>443.93292199999996</v>
      </c>
      <c r="BV6" s="3457">
        <f>'[5]凯迪拉克（含分摊）'!BV6/10000</f>
        <v>635.33885499999997</v>
      </c>
      <c r="BW6" s="3457">
        <f>'[5]凯迪拉克（含分摊）'!BW6/10000</f>
        <v>474.707742</v>
      </c>
      <c r="BX6" s="3457">
        <f>'[5]凯迪拉克（含分摊）'!BX6/10000</f>
        <v>428.30059199999999</v>
      </c>
      <c r="BY6" s="3457">
        <f>'[5]凯迪拉克（含分摊）'!BY6/10000</f>
        <v>360.202855</v>
      </c>
      <c r="BZ6" s="3457">
        <f>'[5]凯迪拉克（含分摊）'!BZ6/10000</f>
        <v>155.84714099999999</v>
      </c>
      <c r="CA6" s="3457">
        <f>'[5]凯迪拉克（含分摊）'!CA6/10000</f>
        <v>263</v>
      </c>
      <c r="CB6" s="3457">
        <f t="shared" si="5"/>
        <v>3387.4978680000004</v>
      </c>
    </row>
    <row r="7" spans="1:82">
      <c r="A7" s="3468"/>
      <c r="B7" s="3456" t="s">
        <v>3477</v>
      </c>
      <c r="C7" s="3457">
        <f>'[5]凯迪拉克（含分摊）'!C7/10000</f>
        <v>0</v>
      </c>
      <c r="D7" s="3457">
        <f>'[5]凯迪拉克（含分摊）'!D7/10000</f>
        <v>0</v>
      </c>
      <c r="E7" s="3457">
        <f>'[5]凯迪拉克（含分摊）'!E7/10000</f>
        <v>907.09960699999999</v>
      </c>
      <c r="F7" s="3457">
        <f>'[5]凯迪拉克（含分摊）'!F7/10000</f>
        <v>0</v>
      </c>
      <c r="G7" s="3457">
        <f>'[5]凯迪拉克（含分摊）'!G7/10000</f>
        <v>-2.2373569663614E-14</v>
      </c>
      <c r="H7" s="3457">
        <f>'[5]凯迪拉克（含分摊）'!H7/10000</f>
        <v>0</v>
      </c>
      <c r="I7" s="3457">
        <f>'[5]凯迪拉克（含分摊）'!I7/10000</f>
        <v>0</v>
      </c>
      <c r="J7" s="3457">
        <f>'[5]凯迪拉克（含分摊）'!J7/10000</f>
        <v>0</v>
      </c>
      <c r="K7" s="3457">
        <f>'[5]凯迪拉克（含分摊）'!K7/10000</f>
        <v>0</v>
      </c>
      <c r="L7" s="3457">
        <f>'[5]凯迪拉克（含分摊）'!L7/10000</f>
        <v>0</v>
      </c>
      <c r="M7" s="3457">
        <f>'[5]凯迪拉克（含分摊）'!M7/10000</f>
        <v>697.26792699999999</v>
      </c>
      <c r="N7" s="3457">
        <f>'[5]凯迪拉克（含分摊）'!N7/10000</f>
        <v>432.36270099999996</v>
      </c>
      <c r="O7" s="3457">
        <f t="shared" si="0"/>
        <v>2036.730235</v>
      </c>
      <c r="P7" s="3457">
        <f>'[5]凯迪拉克（含分摊）'!P7/10000</f>
        <v>0</v>
      </c>
      <c r="Q7" s="3457">
        <f>'[5]凯迪拉克（含分摊）'!Q7/10000</f>
        <v>0</v>
      </c>
      <c r="R7" s="3457">
        <f>'[5]凯迪拉克（含分摊）'!R7/10000</f>
        <v>0</v>
      </c>
      <c r="S7" s="3457">
        <f>'[5]凯迪拉克（含分摊）'!S7/10000</f>
        <v>0</v>
      </c>
      <c r="T7" s="3457">
        <f>'[5]凯迪拉克（含分摊）'!T7/10000</f>
        <v>-1.9999999999999999E-6</v>
      </c>
      <c r="U7" s="3457">
        <f>'[5]凯迪拉克（含分摊）'!U7/10000</f>
        <v>0</v>
      </c>
      <c r="V7" s="3457">
        <f>'[5]凯迪拉克（含分摊）'!V7/10000</f>
        <v>24.765332999999998</v>
      </c>
      <c r="W7" s="3457">
        <f>'[5]凯迪拉克（含分摊）'!W7/10000</f>
        <v>5.7142860000000004</v>
      </c>
      <c r="X7" s="3457">
        <f>'[5]凯迪拉克（含分摊）'!X7/10000</f>
        <v>0</v>
      </c>
      <c r="Y7" s="3457">
        <f>'[5]凯迪拉克（含分摊）'!Y7/10000</f>
        <v>0</v>
      </c>
      <c r="Z7" s="3457">
        <f>'[5]凯迪拉克（含分摊）'!Z7/10000</f>
        <v>0</v>
      </c>
      <c r="AA7" s="3457">
        <f>'[5]凯迪拉克（含分摊）'!AA7/10000</f>
        <v>90.476190000000003</v>
      </c>
      <c r="AB7" s="3457">
        <f t="shared" si="1"/>
        <v>120.95580700000001</v>
      </c>
      <c r="AC7" s="3457">
        <f>'[5]凯迪拉克（含分摊）'!AC7/10000</f>
        <v>0</v>
      </c>
      <c r="AD7" s="3457">
        <f>'[5]凯迪拉克（含分摊）'!AD7/10000</f>
        <v>0</v>
      </c>
      <c r="AE7" s="3457">
        <f>'[5]凯迪拉克（含分摊）'!AE7/10000</f>
        <v>0</v>
      </c>
      <c r="AF7" s="3457">
        <f>'[5]凯迪拉克（含分摊）'!AF7/10000</f>
        <v>0</v>
      </c>
      <c r="AG7" s="3457">
        <f>'[5]凯迪拉克（含分摊）'!AG7/10000</f>
        <v>0</v>
      </c>
      <c r="AH7" s="3457">
        <f>'[5]凯迪拉克（含分摊）'!AH7/10000</f>
        <v>0</v>
      </c>
      <c r="AI7" s="3457">
        <f>'[5]凯迪拉克（含分摊）'!AI7/10000</f>
        <v>0</v>
      </c>
      <c r="AJ7" s="3457">
        <f>'[5]凯迪拉克（含分摊）'!AJ7/10000</f>
        <v>0</v>
      </c>
      <c r="AK7" s="3457">
        <f>'[5]凯迪拉克（含分摊）'!AK7/10000</f>
        <v>0</v>
      </c>
      <c r="AL7" s="3457">
        <f>'[5]凯迪拉克（含分摊）'!AL7/10000</f>
        <v>0</v>
      </c>
      <c r="AM7" s="3457">
        <f>'[5]凯迪拉克（含分摊）'!AM7/10000</f>
        <v>0</v>
      </c>
      <c r="AN7" s="3457">
        <f>'[5]凯迪拉克（含分摊）'!AN7/10000</f>
        <v>0</v>
      </c>
      <c r="AO7" s="3457">
        <f t="shared" si="2"/>
        <v>0</v>
      </c>
      <c r="AP7" s="3457">
        <f>'[5]凯迪拉克（含分摊）'!AP7/10000</f>
        <v>0</v>
      </c>
      <c r="AQ7" s="3457">
        <f>'[5]凯迪拉克（含分摊）'!AQ7/10000</f>
        <v>0</v>
      </c>
      <c r="AR7" s="3457">
        <f>'[5]凯迪拉克（含分摊）'!AR7/10000</f>
        <v>0</v>
      </c>
      <c r="AS7" s="3457">
        <f>'[5]凯迪拉克（含分摊）'!AS7/10000</f>
        <v>0</v>
      </c>
      <c r="AT7" s="3457">
        <f>'[5]凯迪拉克（含分摊）'!AT7/10000</f>
        <v>0</v>
      </c>
      <c r="AU7" s="3457">
        <f>'[5]凯迪拉克（含分摊）'!AU7/10000</f>
        <v>0</v>
      </c>
      <c r="AV7" s="3457">
        <f>'[5]凯迪拉克（含分摊）'!AV7/10000</f>
        <v>0</v>
      </c>
      <c r="AW7" s="3457">
        <f>'[5]凯迪拉克（含分摊）'!AW7/10000</f>
        <v>0</v>
      </c>
      <c r="AX7" s="3457">
        <f>'[5]凯迪拉克（含分摊）'!AX7/10000</f>
        <v>0</v>
      </c>
      <c r="AY7" s="3457">
        <f>'[5]凯迪拉克（含分摊）'!AY7/10000</f>
        <v>0</v>
      </c>
      <c r="AZ7" s="3457">
        <f>'[5]凯迪拉克（含分摊）'!AZ7/10000</f>
        <v>0</v>
      </c>
      <c r="BA7" s="3457">
        <f>'[5]凯迪拉克（含分摊）'!BA7/10000</f>
        <v>0</v>
      </c>
      <c r="BB7" s="3457">
        <f t="shared" si="3"/>
        <v>0</v>
      </c>
      <c r="BC7" s="3457">
        <f>'[5]凯迪拉克（含分摊）'!BC7/10000</f>
        <v>306.43064500000003</v>
      </c>
      <c r="BD7" s="3457">
        <f>'[5]凯迪拉克（含分摊）'!BD7/10000</f>
        <v>0</v>
      </c>
      <c r="BE7" s="3457">
        <f>'[5]凯迪拉克（含分摊）'!BE7/10000</f>
        <v>0</v>
      </c>
      <c r="BF7" s="3457">
        <f>'[5]凯迪拉克（含分摊）'!BF7/10000</f>
        <v>0</v>
      </c>
      <c r="BG7" s="3457">
        <f>'[5]凯迪拉克（含分摊）'!BG7/10000</f>
        <v>0</v>
      </c>
      <c r="BH7" s="3457">
        <f>'[5]凯迪拉克（含分摊）'!BH7/10000</f>
        <v>0</v>
      </c>
      <c r="BI7" s="3457">
        <f>'[5]凯迪拉克（含分摊）'!BI7/10000</f>
        <v>0</v>
      </c>
      <c r="BJ7" s="3457">
        <f>'[5]凯迪拉克（含分摊）'!BJ7/10000</f>
        <v>0</v>
      </c>
      <c r="BK7" s="3457">
        <f>'[5]凯迪拉克（含分摊）'!BK7/10000</f>
        <v>0</v>
      </c>
      <c r="BL7" s="3457">
        <f>'[5]凯迪拉克（含分摊）'!BL7/10000</f>
        <v>66</v>
      </c>
      <c r="BM7" s="3457">
        <f>'[5]凯迪拉克（含分摊）'!BM7/10000</f>
        <v>495</v>
      </c>
      <c r="BN7" s="3457">
        <f>'[5]凯迪拉克（含分摊）'!BN7/10000</f>
        <v>0</v>
      </c>
      <c r="BO7" s="3457">
        <f t="shared" si="4"/>
        <v>867.43064500000003</v>
      </c>
      <c r="BP7" s="3457">
        <f>'[5]凯迪拉克（含分摊）'!BP7/10000</f>
        <v>0</v>
      </c>
      <c r="BQ7" s="3457">
        <f>'[5]凯迪拉克（含分摊）'!BQ7/10000</f>
        <v>0</v>
      </c>
      <c r="BR7" s="3457">
        <f>'[5]凯迪拉克（含分摊）'!BR7/10000</f>
        <v>100</v>
      </c>
      <c r="BS7" s="3457">
        <f>'[5]凯迪拉克（含分摊）'!BS7/10000</f>
        <v>270.18987400000003</v>
      </c>
      <c r="BT7" s="3457">
        <f>'[5]凯迪拉克（含分摊）'!BT7/10000</f>
        <v>186.84147200000001</v>
      </c>
      <c r="BU7" s="3457">
        <f>'[5]凯迪拉克（含分摊）'!BU7/10000</f>
        <v>0</v>
      </c>
      <c r="BV7" s="3457">
        <f>'[5]凯迪拉克（含分摊）'!BV7/10000</f>
        <v>0</v>
      </c>
      <c r="BW7" s="3457">
        <f>'[5]凯迪拉克（含分摊）'!BW7/10000</f>
        <v>0</v>
      </c>
      <c r="BX7" s="3457">
        <f>'[5]凯迪拉克（含分摊）'!BX7/10000</f>
        <v>0</v>
      </c>
      <c r="BY7" s="3457">
        <f>'[5]凯迪拉克（含分摊）'!BY7/10000</f>
        <v>210</v>
      </c>
      <c r="BZ7" s="3457">
        <f>'[5]凯迪拉克（含分摊）'!BZ7/10000</f>
        <v>144.61554099999998</v>
      </c>
      <c r="CA7" s="3457">
        <f>'[5]凯迪拉克（含分摊）'!CA7/10000</f>
        <v>60</v>
      </c>
      <c r="CB7" s="3457">
        <f t="shared" si="5"/>
        <v>971.64688699999999</v>
      </c>
    </row>
    <row r="8" spans="1:82">
      <c r="A8" s="3468"/>
      <c r="B8" s="3469" t="s">
        <v>3478</v>
      </c>
      <c r="C8" s="3457">
        <f>'[5]凯迪拉克（含分摊）'!C8/10000</f>
        <v>0</v>
      </c>
      <c r="D8" s="3457">
        <f>'[5]凯迪拉克（含分摊）'!D8/10000</f>
        <v>0</v>
      </c>
      <c r="E8" s="3457">
        <f>'[5]凯迪拉克（含分摊）'!E8/10000</f>
        <v>161.15872899999999</v>
      </c>
      <c r="F8" s="3457">
        <f>'[5]凯迪拉克（含分摊）'!F8/10000</f>
        <v>66.052909999999997</v>
      </c>
      <c r="G8" s="3457">
        <f>'[5]凯迪拉克（含分摊）'!G8/10000</f>
        <v>42.243386000000001</v>
      </c>
      <c r="H8" s="3457">
        <f>'[5]凯迪拉克（含分摊）'!H8/10000</f>
        <v>42.243386000000001</v>
      </c>
      <c r="I8" s="3457">
        <f>'[5]凯迪拉克（含分摊）'!I8/10000</f>
        <v>42.243386000000001</v>
      </c>
      <c r="J8" s="3457">
        <f>'[5]凯迪拉克（含分摊）'!J8/10000</f>
        <v>2517.2433860000001</v>
      </c>
      <c r="K8" s="3457">
        <f>'[5]凯迪拉克（含分摊）'!K8/10000</f>
        <v>366.18518599999999</v>
      </c>
      <c r="L8" s="3457">
        <f>'[5]凯迪拉克（含分摊）'!L8/10000</f>
        <v>1427.031751</v>
      </c>
      <c r="M8" s="3457">
        <f>'[5]凯迪拉克（含分摊）'!M8/10000</f>
        <v>75.841274999999996</v>
      </c>
      <c r="N8" s="3457">
        <f>'[5]凯迪拉克（含分摊）'!N8/10000</f>
        <v>880.92064499999992</v>
      </c>
      <c r="O8" s="3457">
        <f t="shared" si="0"/>
        <v>5621.1640400000006</v>
      </c>
      <c r="P8" s="3457">
        <f>'[5]凯迪拉克（含分摊）'!P8/10000</f>
        <v>46.216662450000001</v>
      </c>
      <c r="Q8" s="3457">
        <f>'[5]凯迪拉克（含分摊）'!Q8/10000</f>
        <v>71.216668949999999</v>
      </c>
      <c r="R8" s="3457">
        <f>'[5]凯迪拉克（含分摊）'!R8/10000</f>
        <v>1069.2500062200002</v>
      </c>
      <c r="S8" s="3457">
        <f>'[5]凯迪拉克（含分摊）'!S8/10000</f>
        <v>185.27777520000001</v>
      </c>
      <c r="T8" s="3457">
        <f>'[5]凯迪拉克（含分摊）'!T8/10000</f>
        <v>1430.50000647</v>
      </c>
      <c r="U8" s="3457">
        <f>'[5]凯迪拉克（含分摊）'!U8/10000</f>
        <v>25.000000200000002</v>
      </c>
      <c r="V8" s="3457">
        <f>'[5]凯迪拉克（含分摊）'!V8/10000</f>
        <v>1399.00000497</v>
      </c>
      <c r="W8" s="3457">
        <f>'[5]凯迪拉克（含分摊）'!W8/10000</f>
        <v>403.65999975</v>
      </c>
      <c r="X8" s="3457">
        <f>'[5]凯迪拉克（含分摊）'!X8/10000</f>
        <v>304.9999995</v>
      </c>
      <c r="Y8" s="3457">
        <f>'[5]凯迪拉克（含分摊）'!Y8/10000</f>
        <v>822.38102414999992</v>
      </c>
      <c r="Z8" s="3457">
        <f>'[5]凯迪拉克（含分摊）'!Z8/10000</f>
        <v>2415.8714173999997</v>
      </c>
      <c r="AA8" s="3457">
        <f>'[5]凯迪拉克（含分摊）'!AA8/10000</f>
        <v>-1258.9912999999999</v>
      </c>
      <c r="AB8" s="3457">
        <f t="shared" si="1"/>
        <v>6914.3822652599993</v>
      </c>
      <c r="AC8" s="3457">
        <f>'[5]凯迪拉克（含分摊）'!AC8/10000</f>
        <v>136.25833305</v>
      </c>
      <c r="AD8" s="3457">
        <f>'[5]凯迪拉克（含分摊）'!AD8/10000</f>
        <v>0</v>
      </c>
      <c r="AE8" s="3457">
        <f>'[5]凯迪拉克（含分摊）'!AE8/10000</f>
        <v>89.150942999999998</v>
      </c>
      <c r="AF8" s="3457">
        <f>'[5]凯迪拉克（含分摊）'!AF8/10000</f>
        <v>1311.7499947000001</v>
      </c>
      <c r="AG8" s="3457">
        <f>'[5]凯迪拉克（含分摊）'!AG8/10000</f>
        <v>0</v>
      </c>
      <c r="AH8" s="3457">
        <f>'[5]凯迪拉克（含分摊）'!AH8/10000</f>
        <v>0</v>
      </c>
      <c r="AI8" s="3457">
        <f>'[5]凯迪拉克（含分摊）'!AI8/10000</f>
        <v>0</v>
      </c>
      <c r="AJ8" s="3457">
        <f>'[5]凯迪拉克（含分摊）'!AJ8/10000</f>
        <v>642.43396481999991</v>
      </c>
      <c r="AK8" s="3457">
        <f>'[5]凯迪拉克（含分摊）'!AK8/10000</f>
        <v>0</v>
      </c>
      <c r="AL8" s="3457">
        <f>'[5]凯迪拉克（含分摊）'!AL8/10000</f>
        <v>-15.601414499999999</v>
      </c>
      <c r="AM8" s="3457">
        <f>'[5]凯迪拉克（含分摊）'!AM8/10000</f>
        <v>1188.9948156400001</v>
      </c>
      <c r="AN8" s="3457">
        <f>'[5]凯迪拉克（含分摊）'!AN8/10000</f>
        <v>1337.38207035</v>
      </c>
      <c r="AO8" s="3457">
        <f t="shared" si="2"/>
        <v>4690.3687070600008</v>
      </c>
      <c r="AP8" s="3457">
        <f>'[5]凯迪拉克（含分摊）'!AP8/10000</f>
        <v>14.61084975</v>
      </c>
      <c r="AQ8" s="3457">
        <f>'[5]凯迪拉克（含分摊）'!AQ8/10000</f>
        <v>0</v>
      </c>
      <c r="AR8" s="3457">
        <f>'[5]凯迪拉克（含分摊）'!AR8/10000</f>
        <v>0</v>
      </c>
      <c r="AS8" s="3457">
        <f>'[5]凯迪拉克（含分摊）'!AS8/10000</f>
        <v>0</v>
      </c>
      <c r="AT8" s="3457">
        <f>'[5]凯迪拉克（含分摊）'!AT8/10000</f>
        <v>0</v>
      </c>
      <c r="AU8" s="3457">
        <f>'[5]凯迪拉克（含分摊）'!AU8/10000</f>
        <v>0</v>
      </c>
      <c r="AV8" s="3457">
        <f>'[5]凯迪拉克（含分摊）'!AV8/10000</f>
        <v>43.850741999999997</v>
      </c>
      <c r="AW8" s="3457">
        <f>'[5]凯迪拉克（含分摊）'!AW8/10000</f>
        <v>0</v>
      </c>
      <c r="AX8" s="3457">
        <f>'[5]凯迪拉克（含分摊）'!AX8/10000</f>
        <v>0</v>
      </c>
      <c r="AY8" s="3457">
        <f>'[5]凯迪拉克（含分摊）'!AY8/10000</f>
        <v>0</v>
      </c>
      <c r="AZ8" s="3457">
        <f>'[5]凯迪拉克（含分摊）'!AZ8/10000</f>
        <v>1782.92</v>
      </c>
      <c r="BA8" s="3457">
        <f>'[5]凯迪拉克（含分摊）'!BA8/10000</f>
        <v>0</v>
      </c>
      <c r="BB8" s="3457">
        <f t="shared" si="3"/>
        <v>1841.3815917500001</v>
      </c>
      <c r="BC8" s="3457">
        <f>'[5]凯迪拉克（含分摊）'!BC8/10000</f>
        <v>542.66999999999996</v>
      </c>
      <c r="BD8" s="3457">
        <f>'[5]凯迪拉克（含分摊）'!BD8/10000</f>
        <v>542.66</v>
      </c>
      <c r="BE8" s="3457">
        <f>'[5]凯迪拉克（含分摊）'!BE8/10000</f>
        <v>0</v>
      </c>
      <c r="BF8" s="3457">
        <f>'[5]凯迪拉克（含分摊）'!BF8/10000</f>
        <v>0</v>
      </c>
      <c r="BG8" s="3457">
        <f>'[5]凯迪拉克（含分摊）'!BG8/10000</f>
        <v>457.92</v>
      </c>
      <c r="BH8" s="3457">
        <f>'[5]凯迪拉克（含分摊）'!BH8/10000</f>
        <v>0</v>
      </c>
      <c r="BI8" s="3457">
        <f>'[5]凯迪拉克（含分摊）'!BI8/10000</f>
        <v>0</v>
      </c>
      <c r="BJ8" s="3457">
        <f>'[5]凯迪拉克（含分摊）'!BJ8/10000</f>
        <v>457.91999787999998</v>
      </c>
      <c r="BK8" s="3457">
        <f>'[5]凯迪拉克（含分摊）'!BK8/10000</f>
        <v>0</v>
      </c>
      <c r="BL8" s="3457">
        <f>'[5]凯迪拉克（含分摊）'!BL8/10000</f>
        <v>0</v>
      </c>
      <c r="BM8" s="3457">
        <f>'[5]凯迪拉克（含分摊）'!BM8/10000</f>
        <v>0</v>
      </c>
      <c r="BN8" s="3457">
        <f>'[5]凯迪拉克（含分摊）'!BN8/10000</f>
        <v>228.96</v>
      </c>
      <c r="BO8" s="3457">
        <f t="shared" si="4"/>
        <v>2230.1299978799998</v>
      </c>
      <c r="BP8" s="3457">
        <f>'[5]凯迪拉克（含分摊）'!BP8/10000</f>
        <v>0</v>
      </c>
      <c r="BQ8" s="3457">
        <f>'[5]凯迪拉克（含分摊）'!BQ8/10000</f>
        <v>0</v>
      </c>
      <c r="BR8" s="3457">
        <f>'[5]凯迪拉克（含分摊）'!BR8/10000</f>
        <v>339.0213</v>
      </c>
      <c r="BS8" s="3457">
        <f>'[5]凯迪拉克（含分摊）'!BS8/10000</f>
        <v>147.87946000000002</v>
      </c>
      <c r="BT8" s="3457">
        <f>'[5]凯迪拉克（含分摊）'!BT8/10000</f>
        <v>265.37797999999998</v>
      </c>
      <c r="BU8" s="3457">
        <f>'[5]凯迪拉克（含分摊）'!BU8/10000</f>
        <v>210.85532999999998</v>
      </c>
      <c r="BV8" s="3457">
        <f>'[5]凯迪拉克（含分摊）'!BV8/10000</f>
        <v>166.02795</v>
      </c>
      <c r="BW8" s="3457">
        <f>'[5]凯迪拉克（含分摊）'!BW8/10000</f>
        <v>229.07772000000003</v>
      </c>
      <c r="BX8" s="3457">
        <f>'[5]凯迪拉克（含分摊）'!BX8/10000</f>
        <v>367.73995000000002</v>
      </c>
      <c r="BY8" s="3457">
        <f>'[5]凯迪拉克（含分摊）'!BY8/10000</f>
        <v>128.96587600000001</v>
      </c>
      <c r="BZ8" s="3457">
        <f>'[5]凯迪拉克（含分摊）'!BZ8/10000</f>
        <v>149.540886</v>
      </c>
      <c r="CA8" s="3457">
        <f>'[5]凯迪拉克（含分摊）'!CA8/10000</f>
        <v>3600.5302549999997</v>
      </c>
      <c r="CB8" s="3457">
        <f t="shared" si="5"/>
        <v>5605.0167069999998</v>
      </c>
    </row>
    <row r="9" spans="1:82">
      <c r="A9" s="3468"/>
      <c r="B9" s="3470" t="s">
        <v>3479</v>
      </c>
      <c r="C9" s="3457">
        <f>'[5]凯迪拉克（含分摊）'!C9/10000</f>
        <v>0</v>
      </c>
      <c r="D9" s="3457">
        <f>'[5]凯迪拉克（含分摊）'!D9/10000</f>
        <v>0</v>
      </c>
      <c r="E9" s="3457">
        <f>'[5]凯迪拉克（含分摊）'!E9/10000</f>
        <v>0</v>
      </c>
      <c r="F9" s="3457">
        <f>'[5]凯迪拉克（含分摊）'!F9/10000</f>
        <v>0</v>
      </c>
      <c r="G9" s="3457">
        <f>'[5]凯迪拉克（含分摊）'!G9/10000</f>
        <v>0</v>
      </c>
      <c r="H9" s="3457">
        <f>'[5]凯迪拉克（含分摊）'!H9/10000</f>
        <v>0</v>
      </c>
      <c r="I9" s="3457">
        <f>'[5]凯迪拉克（含分摊）'!I9/10000</f>
        <v>0</v>
      </c>
      <c r="J9" s="3457">
        <f>'[5]凯迪拉克（含分摊）'!J9/10000</f>
        <v>2475</v>
      </c>
      <c r="K9" s="3457">
        <f>'[5]凯迪拉克（含分摊）'!K9/10000</f>
        <v>275.000001</v>
      </c>
      <c r="L9" s="3457">
        <f>'[5]凯迪拉克（含分摊）'!L9/10000</f>
        <v>1375.0000050000001</v>
      </c>
      <c r="M9" s="3457">
        <f>'[5]凯迪拉克（含分摊）'!M9/10000</f>
        <v>0</v>
      </c>
      <c r="N9" s="3457">
        <f>'[5]凯迪拉克（含分摊）'!N9/10000</f>
        <v>825.00000299999999</v>
      </c>
      <c r="O9" s="3457">
        <f t="shared" si="0"/>
        <v>4950.0000090000003</v>
      </c>
      <c r="P9" s="3457">
        <f>'[5]凯迪拉克（含分摊）'!P9/10000</f>
        <v>0</v>
      </c>
      <c r="Q9" s="3457">
        <f>'[5]凯迪拉克（含分摊）'!Q9/10000</f>
        <v>0</v>
      </c>
      <c r="R9" s="3457">
        <f>'[5]凯迪拉克（含分摊）'!R9/10000</f>
        <v>583.00000211999998</v>
      </c>
      <c r="S9" s="3457">
        <f>'[5]凯迪拉克（含分摊）'!S9/10000</f>
        <v>0</v>
      </c>
      <c r="T9" s="3457">
        <f>'[5]凯迪拉克（含分摊）'!T9/10000</f>
        <v>1357.50000492</v>
      </c>
      <c r="U9" s="3457">
        <f>'[5]凯迪拉克（含分摊）'!U9/10000</f>
        <v>0</v>
      </c>
      <c r="V9" s="3457">
        <f>'[5]凯迪拉克（含分摊）'!V9/10000</f>
        <v>1266.00000462</v>
      </c>
      <c r="W9" s="3457">
        <f>'[5]凯迪拉克（含分摊）'!W9/10000</f>
        <v>0</v>
      </c>
      <c r="X9" s="3457">
        <f>'[5]凯迪拉克（含分摊）'!X9/10000</f>
        <v>0</v>
      </c>
      <c r="Y9" s="3457">
        <f>'[5]凯迪拉克（含分摊）'!Y9/10000</f>
        <v>0</v>
      </c>
      <c r="Z9" s="3457">
        <f>'[5]凯迪拉克（含分摊）'!Z9/10000</f>
        <v>1311.7500052999999</v>
      </c>
      <c r="AA9" s="3457">
        <f>'[5]凯迪拉克（含分摊）'!AA9/10000</f>
        <v>-1311.7500052999999</v>
      </c>
      <c r="AB9" s="3457">
        <f t="shared" si="1"/>
        <v>3206.5000116600008</v>
      </c>
      <c r="AC9" s="3457">
        <f>'[5]凯迪拉克（含分摊）'!AC9/10000</f>
        <v>0</v>
      </c>
      <c r="AD9" s="3457">
        <f>'[5]凯迪拉克（含分摊）'!AD9/10000</f>
        <v>0</v>
      </c>
      <c r="AE9" s="3457">
        <f>'[5]凯迪拉克（含分摊）'!AE9/10000</f>
        <v>0</v>
      </c>
      <c r="AF9" s="3457">
        <f>'[5]凯迪拉克（含分摊）'!AF9/10000</f>
        <v>0</v>
      </c>
      <c r="AG9" s="3457">
        <f>'[5]凯迪拉克（含分摊）'!AG9/10000</f>
        <v>0</v>
      </c>
      <c r="AH9" s="3457">
        <f>'[5]凯迪拉克（含分摊）'!AH9/10000</f>
        <v>0</v>
      </c>
      <c r="AI9" s="3457">
        <f>'[5]凯迪拉克（含分摊）'!AI9/10000</f>
        <v>0</v>
      </c>
      <c r="AJ9" s="3457">
        <f>'[5]凯迪拉克（含分摊）'!AJ9/10000</f>
        <v>0</v>
      </c>
      <c r="AK9" s="3457">
        <f>'[5]凯迪拉克（含分摊）'!AK9/10000</f>
        <v>0</v>
      </c>
      <c r="AL9" s="3457">
        <f>'[5]凯迪拉克（含分摊）'!AL9/10000</f>
        <v>0</v>
      </c>
      <c r="AM9" s="3457">
        <f>'[5]凯迪拉克（含分摊）'!AM9/10000</f>
        <v>0</v>
      </c>
      <c r="AN9" s="3457">
        <f>'[5]凯迪拉克（含分摊）'!AN9/10000</f>
        <v>0</v>
      </c>
      <c r="AO9" s="3457">
        <f t="shared" si="2"/>
        <v>0</v>
      </c>
      <c r="AP9" s="3457">
        <f>'[5]凯迪拉克（含分摊）'!AP9/10000</f>
        <v>0</v>
      </c>
      <c r="AQ9" s="3457">
        <f>'[5]凯迪拉克（含分摊）'!AQ9/10000</f>
        <v>0</v>
      </c>
      <c r="AR9" s="3457">
        <f>'[5]凯迪拉克（含分摊）'!AR9/10000</f>
        <v>0</v>
      </c>
      <c r="AS9" s="3457">
        <f>'[5]凯迪拉克（含分摊）'!AS9/10000</f>
        <v>0</v>
      </c>
      <c r="AT9" s="3457">
        <f>'[5]凯迪拉克（含分摊）'!AT9/10000</f>
        <v>0</v>
      </c>
      <c r="AU9" s="3457">
        <f>'[5]凯迪拉克（含分摊）'!AU9/10000</f>
        <v>0</v>
      </c>
      <c r="AV9" s="3457">
        <f>'[5]凯迪拉克（含分摊）'!AV9/10000</f>
        <v>0</v>
      </c>
      <c r="AW9" s="3457">
        <f>'[5]凯迪拉克（含分摊）'!AW9/10000</f>
        <v>0</v>
      </c>
      <c r="AX9" s="3457">
        <f>'[5]凯迪拉克（含分摊）'!AX9/10000</f>
        <v>0</v>
      </c>
      <c r="AY9" s="3457">
        <f>'[5]凯迪拉克（含分摊）'!AY9/10000</f>
        <v>0</v>
      </c>
      <c r="AZ9" s="3457">
        <f>'[5]凯迪拉克（含分摊）'!AZ9/10000</f>
        <v>1782.92</v>
      </c>
      <c r="BA9" s="3457">
        <f>'[5]凯迪拉克（含分摊）'!BA9/10000</f>
        <v>0</v>
      </c>
      <c r="BB9" s="3457">
        <f t="shared" si="3"/>
        <v>1782.92</v>
      </c>
      <c r="BC9" s="3457">
        <f>'[5]凯迪拉克（含分摊）'!BC9/10000</f>
        <v>0</v>
      </c>
      <c r="BD9" s="3457">
        <f>'[5]凯迪拉克（含分摊）'!BD9/10000</f>
        <v>0</v>
      </c>
      <c r="BE9" s="3457">
        <f>'[5]凯迪拉克（含分摊）'!BE9/10000</f>
        <v>0</v>
      </c>
      <c r="BF9" s="3457">
        <f>'[5]凯迪拉克（含分摊）'!BF9/10000</f>
        <v>0</v>
      </c>
      <c r="BG9" s="3457">
        <f>'[5]凯迪拉克（含分摊）'!BG9/10000</f>
        <v>457.92</v>
      </c>
      <c r="BH9" s="3457">
        <f>'[5]凯迪拉克（含分摊）'!BH9/10000</f>
        <v>0</v>
      </c>
      <c r="BI9" s="3457">
        <f>'[5]凯迪拉克（含分摊）'!BI9/10000</f>
        <v>0</v>
      </c>
      <c r="BJ9" s="3457">
        <f>'[5]凯迪拉克（含分摊）'!BJ9/10000</f>
        <v>457.91999787999998</v>
      </c>
      <c r="BK9" s="3457">
        <f>'[5]凯迪拉克（含分摊）'!BK9/10000</f>
        <v>0</v>
      </c>
      <c r="BL9" s="3457">
        <f>'[5]凯迪拉克（含分摊）'!BL9/10000</f>
        <v>0</v>
      </c>
      <c r="BM9" s="3457">
        <f>'[5]凯迪拉克（含分摊）'!BM9/10000</f>
        <v>0</v>
      </c>
      <c r="BN9" s="3457">
        <f>'[5]凯迪拉克（含分摊）'!BN9/10000</f>
        <v>228.96</v>
      </c>
      <c r="BO9" s="3457">
        <f t="shared" si="4"/>
        <v>1144.7999978800001</v>
      </c>
      <c r="BP9" s="3457">
        <f>'[5]凯迪拉克（含分摊）'!BP9/10000</f>
        <v>0</v>
      </c>
      <c r="BQ9" s="3457">
        <f>'[5]凯迪拉克（含分摊）'!BQ9/10000</f>
        <v>0</v>
      </c>
      <c r="BR9" s="3457">
        <f>'[5]凯迪拉克（含分摊）'!BR9/10000</f>
        <v>228.96</v>
      </c>
      <c r="BS9" s="3457">
        <f>'[5]凯迪拉克（含分摊）'!BS9/10000</f>
        <v>0</v>
      </c>
      <c r="BT9" s="3457">
        <f>'[5]凯迪拉克（含分摊）'!BT9/10000</f>
        <v>0</v>
      </c>
      <c r="BU9" s="3457">
        <f>'[5]凯迪拉克（含分摊）'!BU9/10000</f>
        <v>0</v>
      </c>
      <c r="BV9" s="3457">
        <f>'[5]凯迪拉克（含分摊）'!BV9/10000</f>
        <v>0</v>
      </c>
      <c r="BW9" s="3457">
        <f>'[5]凯迪拉克（含分摊）'!BW9/10000</f>
        <v>0</v>
      </c>
      <c r="BX9" s="3457">
        <f>'[5]凯迪拉克（含分摊）'!BX9/10000</f>
        <v>0</v>
      </c>
      <c r="BY9" s="3457">
        <f>'[5]凯迪拉克（含分摊）'!BY9/10000</f>
        <v>0</v>
      </c>
      <c r="BZ9" s="3457">
        <f>'[5]凯迪拉克（含分摊）'!BZ9/10000</f>
        <v>0</v>
      </c>
      <c r="CA9" s="3457">
        <f>'[5]凯迪拉克（含分摊）'!CA9/10000</f>
        <v>3400.833286</v>
      </c>
      <c r="CB9" s="3457">
        <f t="shared" si="5"/>
        <v>3629.7932860000001</v>
      </c>
    </row>
    <row r="10" spans="1:82">
      <c r="A10" s="3468"/>
      <c r="B10" s="3471" t="s">
        <v>3480</v>
      </c>
      <c r="C10" s="3457">
        <f>'[5]凯迪拉克（含分摊）'!C10/10000</f>
        <v>0</v>
      </c>
      <c r="D10" s="3457">
        <f>'[5]凯迪拉克（含分摊）'!D10/10000</f>
        <v>0</v>
      </c>
      <c r="E10" s="3457">
        <f>'[5]凯迪拉克（含分摊）'!E10/10000</f>
        <v>161.15872899999999</v>
      </c>
      <c r="F10" s="3457">
        <f>'[5]凯迪拉克（含分摊）'!F10/10000</f>
        <v>66.052909999999997</v>
      </c>
      <c r="G10" s="3457">
        <f>'[5]凯迪拉克（含分摊）'!G10/10000</f>
        <v>42.243386000000001</v>
      </c>
      <c r="H10" s="3457">
        <f>'[5]凯迪拉克（含分摊）'!H10/10000</f>
        <v>42.243386000000001</v>
      </c>
      <c r="I10" s="3457">
        <f>'[5]凯迪拉克（含分摊）'!I10/10000</f>
        <v>42.243386000000001</v>
      </c>
      <c r="J10" s="3457">
        <f>'[5]凯迪拉克（含分摊）'!J10/10000</f>
        <v>42.243386000000001</v>
      </c>
      <c r="K10" s="3457">
        <f>'[5]凯迪拉克（含分摊）'!K10/10000</f>
        <v>91.185185000000004</v>
      </c>
      <c r="L10" s="3457">
        <f>'[5]凯迪拉克（含分摊）'!L10/10000</f>
        <v>52.031746000000005</v>
      </c>
      <c r="M10" s="3457">
        <f>'[5]凯迪拉克（含分摊）'!M10/10000</f>
        <v>75.841274999999996</v>
      </c>
      <c r="N10" s="3457">
        <f>'[5]凯迪拉克（含分摊）'!N10/10000</f>
        <v>55.920642000000001</v>
      </c>
      <c r="O10" s="3457">
        <f t="shared" si="0"/>
        <v>671.16403100000002</v>
      </c>
      <c r="P10" s="3457">
        <f>'[5]凯迪拉克（含分摊）'!P10/10000</f>
        <v>46.216662450000001</v>
      </c>
      <c r="Q10" s="3457">
        <f>'[5]凯迪拉克（含分摊）'!Q10/10000</f>
        <v>71.216668949999999</v>
      </c>
      <c r="R10" s="3457">
        <f>'[5]凯迪拉克（含分摊）'!R10/10000</f>
        <v>486.25000410000001</v>
      </c>
      <c r="S10" s="3457">
        <f>'[5]凯迪拉克（含分摊）'!S10/10000</f>
        <v>185.27777520000001</v>
      </c>
      <c r="T10" s="3457">
        <f>'[5]凯迪拉克（含分摊）'!T10/10000</f>
        <v>73.000001549999993</v>
      </c>
      <c r="U10" s="3457">
        <f>'[5]凯迪拉克（含分摊）'!U10/10000</f>
        <v>25.000000200000002</v>
      </c>
      <c r="V10" s="3457">
        <f>'[5]凯迪拉克（含分摊）'!V10/10000</f>
        <v>133.00000035000002</v>
      </c>
      <c r="W10" s="3457">
        <f>'[5]凯迪拉克（含分摊）'!W10/10000</f>
        <v>403.65999975</v>
      </c>
      <c r="X10" s="3457">
        <f>'[5]凯迪拉克（含分摊）'!X10/10000</f>
        <v>304.9999995</v>
      </c>
      <c r="Y10" s="3457">
        <f>'[5]凯迪拉克（含分摊）'!Y10/10000</f>
        <v>822.38102414999992</v>
      </c>
      <c r="Z10" s="3457">
        <f>'[5]凯迪拉克（含分摊）'!Z10/10000</f>
        <v>1104.1214121</v>
      </c>
      <c r="AA10" s="3457">
        <f>'[5]凯迪拉克（含分摊）'!AA10/10000</f>
        <v>52.758705299999995</v>
      </c>
      <c r="AB10" s="3457">
        <f t="shared" si="1"/>
        <v>3707.8822536000002</v>
      </c>
      <c r="AC10" s="3457">
        <f>'[5]凯迪拉克（含分摊）'!AC10/10000</f>
        <v>136.25833305</v>
      </c>
      <c r="AD10" s="3457">
        <f>'[5]凯迪拉克（含分摊）'!AD10/10000</f>
        <v>0</v>
      </c>
      <c r="AE10" s="3457">
        <f>'[5]凯迪拉克（含分摊）'!AE10/10000</f>
        <v>89.150942999999998</v>
      </c>
      <c r="AF10" s="3457">
        <f>'[5]凯迪拉克（含分摊）'!AF10/10000</f>
        <v>1311.7499947000001</v>
      </c>
      <c r="AG10" s="3457">
        <f>'[5]凯迪拉克（含分摊）'!AG10/10000</f>
        <v>0</v>
      </c>
      <c r="AH10" s="3457">
        <f>'[5]凯迪拉克（含分摊）'!AH10/10000</f>
        <v>0</v>
      </c>
      <c r="AI10" s="3457">
        <f>'[5]凯迪拉克（含分摊）'!AI10/10000</f>
        <v>0</v>
      </c>
      <c r="AJ10" s="3457">
        <f>'[5]凯迪拉克（含分摊）'!AJ10/10000</f>
        <v>642.43396481999991</v>
      </c>
      <c r="AK10" s="3457">
        <f>'[5]凯迪拉克（含分摊）'!AK10/10000</f>
        <v>0</v>
      </c>
      <c r="AL10" s="3457">
        <f>'[5]凯迪拉克（含分摊）'!AL10/10000</f>
        <v>-15.601414499999999</v>
      </c>
      <c r="AM10" s="3457">
        <f>'[5]凯迪拉克（含分摊）'!AM10/10000</f>
        <v>1188.9948156400001</v>
      </c>
      <c r="AN10" s="3457">
        <f>'[5]凯迪拉克（含分摊）'!AN10/10000</f>
        <v>1337.38207035</v>
      </c>
      <c r="AO10" s="3457">
        <f t="shared" si="2"/>
        <v>4690.3687070600008</v>
      </c>
      <c r="AP10" s="3457">
        <f>'[5]凯迪拉克（含分摊）'!AP10/10000</f>
        <v>14.61084975</v>
      </c>
      <c r="AQ10" s="3457">
        <f>'[5]凯迪拉克（含分摊）'!AQ10/10000</f>
        <v>0</v>
      </c>
      <c r="AR10" s="3457">
        <f>'[5]凯迪拉克（含分摊）'!AR10/10000</f>
        <v>0</v>
      </c>
      <c r="AS10" s="3457">
        <f>'[5]凯迪拉克（含分摊）'!AS10/10000</f>
        <v>0</v>
      </c>
      <c r="AT10" s="3457">
        <f>'[5]凯迪拉克（含分摊）'!AT10/10000</f>
        <v>0</v>
      </c>
      <c r="AU10" s="3457">
        <f>'[5]凯迪拉克（含分摊）'!AU10/10000</f>
        <v>0</v>
      </c>
      <c r="AV10" s="3457">
        <f>'[5]凯迪拉克（含分摊）'!AV10/10000</f>
        <v>43.850741999999997</v>
      </c>
      <c r="AW10" s="3457">
        <f>'[5]凯迪拉克（含分摊）'!AW10/10000</f>
        <v>0</v>
      </c>
      <c r="AX10" s="3457">
        <f>'[5]凯迪拉克（含分摊）'!AX10/10000</f>
        <v>0</v>
      </c>
      <c r="AY10" s="3457">
        <f>'[5]凯迪拉克（含分摊）'!AY10/10000</f>
        <v>0</v>
      </c>
      <c r="AZ10" s="3457">
        <f>'[5]凯迪拉克（含分摊）'!AZ10/10000</f>
        <v>0</v>
      </c>
      <c r="BA10" s="3457">
        <f>'[5]凯迪拉克（含分摊）'!BA10/10000</f>
        <v>0</v>
      </c>
      <c r="BB10" s="3457">
        <f t="shared" si="3"/>
        <v>58.461591749999997</v>
      </c>
      <c r="BC10" s="3457">
        <f>'[5]凯迪拉克（含分摊）'!BC10/10000</f>
        <v>542.66999999999996</v>
      </c>
      <c r="BD10" s="3457">
        <f>'[5]凯迪拉克（含分摊）'!BD10/10000</f>
        <v>542.66</v>
      </c>
      <c r="BE10" s="3457">
        <f>'[5]凯迪拉克（含分摊）'!BE10/10000</f>
        <v>0</v>
      </c>
      <c r="BF10" s="3457">
        <f>'[5]凯迪拉克（含分摊）'!BF10/10000</f>
        <v>0</v>
      </c>
      <c r="BG10" s="3457">
        <f>'[5]凯迪拉克（含分摊）'!BG10/10000</f>
        <v>0</v>
      </c>
      <c r="BH10" s="3457">
        <f>'[5]凯迪拉克（含分摊）'!BH10/10000</f>
        <v>0</v>
      </c>
      <c r="BI10" s="3457">
        <f>'[5]凯迪拉克（含分摊）'!BI10/10000</f>
        <v>0</v>
      </c>
      <c r="BJ10" s="3457">
        <f>'[5]凯迪拉克（含分摊）'!BJ10/10000</f>
        <v>0</v>
      </c>
      <c r="BK10" s="3457">
        <f>'[5]凯迪拉克（含分摊）'!BK10/10000</f>
        <v>0</v>
      </c>
      <c r="BL10" s="3457">
        <f>'[5]凯迪拉克（含分摊）'!BL10/10000</f>
        <v>0</v>
      </c>
      <c r="BM10" s="3457">
        <f>'[5]凯迪拉克（含分摊）'!BM10/10000</f>
        <v>0</v>
      </c>
      <c r="BN10" s="3457">
        <f>'[5]凯迪拉克（含分摊）'!BN10/10000</f>
        <v>0</v>
      </c>
      <c r="BO10" s="3457">
        <f t="shared" si="4"/>
        <v>1085.33</v>
      </c>
      <c r="BP10" s="3457">
        <f>'[5]凯迪拉克（含分摊）'!BP10/10000</f>
        <v>0</v>
      </c>
      <c r="BQ10" s="3457">
        <f>'[5]凯迪拉克（含分摊）'!BQ10/10000</f>
        <v>0</v>
      </c>
      <c r="BR10" s="3457">
        <f>'[5]凯迪拉克（含分摊）'!BR10/10000</f>
        <v>110.0613</v>
      </c>
      <c r="BS10" s="3457">
        <f>'[5]凯迪拉克（含分摊）'!BS10/10000</f>
        <v>147.87946000000002</v>
      </c>
      <c r="BT10" s="3457">
        <f>'[5]凯迪拉克（含分摊）'!BT10/10000</f>
        <v>265.37797999999998</v>
      </c>
      <c r="BU10" s="3457">
        <f>'[5]凯迪拉克（含分摊）'!BU10/10000</f>
        <v>210.85532999999998</v>
      </c>
      <c r="BV10" s="3457">
        <f>'[5]凯迪拉克（含分摊）'!BV10/10000</f>
        <v>166.02795</v>
      </c>
      <c r="BW10" s="3457">
        <f>'[5]凯迪拉克（含分摊）'!BW10/10000</f>
        <v>229.07772000000003</v>
      </c>
      <c r="BX10" s="3457">
        <f>'[5]凯迪拉克（含分摊）'!BX10/10000</f>
        <v>367.73995000000002</v>
      </c>
      <c r="BY10" s="3457">
        <f>'[5]凯迪拉克（含分摊）'!BY10/10000</f>
        <v>128.96587600000001</v>
      </c>
      <c r="BZ10" s="3457">
        <f>'[5]凯迪拉克（含分摊）'!BZ10/10000</f>
        <v>149.540886</v>
      </c>
      <c r="CA10" s="3457">
        <f>'[5]凯迪拉克（含分摊）'!CA10/10000</f>
        <v>199.696969</v>
      </c>
      <c r="CB10" s="3457">
        <f t="shared" si="5"/>
        <v>1975.2234210000001</v>
      </c>
    </row>
    <row r="11" spans="1:82">
      <c r="A11" s="3468"/>
      <c r="B11" s="3456" t="s">
        <v>3481</v>
      </c>
      <c r="C11" s="3457">
        <f>'[5]凯迪拉克（含分摊）'!C11/10000</f>
        <v>0</v>
      </c>
      <c r="D11" s="3457">
        <f>'[5]凯迪拉克（含分摊）'!D11/10000</f>
        <v>0</v>
      </c>
      <c r="E11" s="3457">
        <f>'[5]凯迪拉克（含分摊）'!E11/10000</f>
        <v>38.32884</v>
      </c>
      <c r="F11" s="3457">
        <f>'[5]凯迪拉克（含分摊）'!F11/10000</f>
        <v>139.19137499999999</v>
      </c>
      <c r="G11" s="3457">
        <f>'[5]凯迪拉克（含分摊）'!G11/10000</f>
        <v>139.19137499999999</v>
      </c>
      <c r="H11" s="3457">
        <f>'[5]凯迪拉克（含分摊）'!H11/10000</f>
        <v>12.77628</v>
      </c>
      <c r="I11" s="3457">
        <f>'[5]凯迪拉克（含分摊）'!I11/10000</f>
        <v>12.776282</v>
      </c>
      <c r="J11" s="3457">
        <f>'[5]凯迪拉克（含分摊）'!J11/10000</f>
        <v>42.452829999999999</v>
      </c>
      <c r="K11" s="3457">
        <f>'[5]凯迪拉克（含分摊）'!K11/10000</f>
        <v>0</v>
      </c>
      <c r="L11" s="3457">
        <f>'[5]凯迪拉克（含分摊）'!L11/10000</f>
        <v>0</v>
      </c>
      <c r="M11" s="3457">
        <f>'[5]凯迪拉克（含分摊）'!M11/10000</f>
        <v>14.150943</v>
      </c>
      <c r="N11" s="3457">
        <f>'[5]凯迪拉克（含分摊）'!N11/10000</f>
        <v>0</v>
      </c>
      <c r="O11" s="3457">
        <f t="shared" si="0"/>
        <v>398.86792499999996</v>
      </c>
      <c r="P11" s="3457">
        <f>'[5]凯迪拉克（含分摊）'!P11/10000</f>
        <v>0</v>
      </c>
      <c r="Q11" s="3457">
        <f>'[5]凯迪拉克（含分摊）'!Q11/10000</f>
        <v>0</v>
      </c>
      <c r="R11" s="3457">
        <f>'[5]凯迪拉克（含分摊）'!R11/10000</f>
        <v>0</v>
      </c>
      <c r="S11" s="3457">
        <f>'[5]凯迪拉克（含分摊）'!S11/10000</f>
        <v>0</v>
      </c>
      <c r="T11" s="3457">
        <f>'[5]凯迪拉克（含分摊）'!T11/10000</f>
        <v>0</v>
      </c>
      <c r="U11" s="3457">
        <f>'[5]凯迪拉克（含分摊）'!U11/10000</f>
        <v>0</v>
      </c>
      <c r="V11" s="3457">
        <f>'[5]凯迪拉克（含分摊）'!V11/10000</f>
        <v>0</v>
      </c>
      <c r="W11" s="3457">
        <f>'[5]凯迪拉克（含分摊）'!W11/10000</f>
        <v>0</v>
      </c>
      <c r="X11" s="3457">
        <f>'[5]凯迪拉克（含分摊）'!X11/10000</f>
        <v>0</v>
      </c>
      <c r="Y11" s="3457">
        <f>'[5]凯迪拉克（含分摊）'!Y11/10000</f>
        <v>0</v>
      </c>
      <c r="Z11" s="3457">
        <f>'[5]凯迪拉克（含分摊）'!Z11/10000</f>
        <v>0</v>
      </c>
      <c r="AA11" s="3457">
        <f>'[5]凯迪拉克（含分摊）'!AA11/10000</f>
        <v>0</v>
      </c>
      <c r="AB11" s="3457">
        <f t="shared" si="1"/>
        <v>0</v>
      </c>
      <c r="AC11" s="3457">
        <f>'[5]凯迪拉克（含分摊）'!AC11/10000</f>
        <v>0</v>
      </c>
      <c r="AD11" s="3457">
        <f>'[5]凯迪拉克（含分摊）'!AD11/10000</f>
        <v>0</v>
      </c>
      <c r="AE11" s="3457">
        <f>'[5]凯迪拉克（含分摊）'!AE11/10000</f>
        <v>0</v>
      </c>
      <c r="AF11" s="3457">
        <f>'[5]凯迪拉克（含分摊）'!AF11/10000</f>
        <v>0</v>
      </c>
      <c r="AG11" s="3457">
        <f>'[5]凯迪拉克（含分摊）'!AG11/10000</f>
        <v>0</v>
      </c>
      <c r="AH11" s="3457">
        <f>'[5]凯迪拉克（含分摊）'!AH11/10000</f>
        <v>0</v>
      </c>
      <c r="AI11" s="3457">
        <f>'[5]凯迪拉克（含分摊）'!AI11/10000</f>
        <v>0</v>
      </c>
      <c r="AJ11" s="3457">
        <f>'[5]凯迪拉克（含分摊）'!AJ11/10000</f>
        <v>0</v>
      </c>
      <c r="AK11" s="3457">
        <f>'[5]凯迪拉克（含分摊）'!AK11/10000</f>
        <v>0</v>
      </c>
      <c r="AL11" s="3457">
        <f>'[5]凯迪拉克（含分摊）'!AL11/10000</f>
        <v>0</v>
      </c>
      <c r="AM11" s="3457">
        <f>'[5]凯迪拉克（含分摊）'!AM11/10000</f>
        <v>0</v>
      </c>
      <c r="AN11" s="3457">
        <f>'[5]凯迪拉克（含分摊）'!AN11/10000</f>
        <v>0</v>
      </c>
      <c r="AO11" s="3457">
        <f t="shared" si="2"/>
        <v>0</v>
      </c>
      <c r="AP11" s="3457">
        <f>'[5]凯迪拉克（含分摊）'!AP11/10000</f>
        <v>0</v>
      </c>
      <c r="AQ11" s="3457">
        <f>'[5]凯迪拉克（含分摊）'!AQ11/10000</f>
        <v>0</v>
      </c>
      <c r="AR11" s="3457">
        <f>'[5]凯迪拉克（含分摊）'!AR11/10000</f>
        <v>0</v>
      </c>
      <c r="AS11" s="3457">
        <f>'[5]凯迪拉克（含分摊）'!AS11/10000</f>
        <v>0</v>
      </c>
      <c r="AT11" s="3457">
        <f>'[5]凯迪拉克（含分摊）'!AT11/10000</f>
        <v>0</v>
      </c>
      <c r="AU11" s="3457">
        <f>'[5]凯迪拉克（含分摊）'!AU11/10000</f>
        <v>0</v>
      </c>
      <c r="AV11" s="3457">
        <f>'[5]凯迪拉克（含分摊）'!AV11/10000</f>
        <v>0</v>
      </c>
      <c r="AW11" s="3457">
        <f>'[5]凯迪拉克（含分摊）'!AW11/10000</f>
        <v>0</v>
      </c>
      <c r="AX11" s="3457">
        <f>'[5]凯迪拉克（含分摊）'!AX11/10000</f>
        <v>0</v>
      </c>
      <c r="AY11" s="3457">
        <f>'[5]凯迪拉克（含分摊）'!AY11/10000</f>
        <v>0</v>
      </c>
      <c r="AZ11" s="3457">
        <f>'[5]凯迪拉克（含分摊）'!AZ11/10000</f>
        <v>0</v>
      </c>
      <c r="BA11" s="3457">
        <f>'[5]凯迪拉克（含分摊）'!BA11/10000</f>
        <v>0</v>
      </c>
      <c r="BB11" s="3457">
        <f t="shared" si="3"/>
        <v>0</v>
      </c>
      <c r="BC11" s="3457">
        <f>'[5]凯迪拉克（含分摊）'!BC11/10000</f>
        <v>0</v>
      </c>
      <c r="BD11" s="3457">
        <f>'[5]凯迪拉克（含分摊）'!BD11/10000</f>
        <v>0</v>
      </c>
      <c r="BE11" s="3457">
        <f>'[5]凯迪拉克（含分摊）'!BE11/10000</f>
        <v>0</v>
      </c>
      <c r="BF11" s="3457">
        <f>'[5]凯迪拉克（含分摊）'!BF11/10000</f>
        <v>0</v>
      </c>
      <c r="BG11" s="3457">
        <f>'[5]凯迪拉克（含分摊）'!BG11/10000</f>
        <v>0</v>
      </c>
      <c r="BH11" s="3457">
        <f>'[5]凯迪拉克（含分摊）'!BH11/10000</f>
        <v>0</v>
      </c>
      <c r="BI11" s="3457">
        <f>'[5]凯迪拉克（含分摊）'!BI11/10000</f>
        <v>0</v>
      </c>
      <c r="BJ11" s="3457">
        <f>'[5]凯迪拉克（含分摊）'!BJ11/10000</f>
        <v>0</v>
      </c>
      <c r="BK11" s="3457">
        <f>'[5]凯迪拉克（含分摊）'!BK11/10000</f>
        <v>0</v>
      </c>
      <c r="BL11" s="3457">
        <f>'[5]凯迪拉克（含分摊）'!BL11/10000</f>
        <v>0</v>
      </c>
      <c r="BM11" s="3457">
        <f>'[5]凯迪拉克（含分摊）'!BM11/10000</f>
        <v>0</v>
      </c>
      <c r="BN11" s="3457">
        <f>'[5]凯迪拉克（含分摊）'!BN11/10000</f>
        <v>0</v>
      </c>
      <c r="BO11" s="3457">
        <f t="shared" si="4"/>
        <v>0</v>
      </c>
      <c r="BP11" s="3457">
        <f>'[5]凯迪拉克（含分摊）'!BP11/10000</f>
        <v>0</v>
      </c>
      <c r="BQ11" s="3457">
        <f>'[5]凯迪拉克（含分摊）'!BQ11/10000</f>
        <v>0</v>
      </c>
      <c r="BR11" s="3457">
        <f>'[5]凯迪拉克（含分摊）'!BR11/10000</f>
        <v>0</v>
      </c>
      <c r="BS11" s="3457">
        <f>'[5]凯迪拉克（含分摊）'!BS11/10000</f>
        <v>0</v>
      </c>
      <c r="BT11" s="3457">
        <f>'[5]凯迪拉克（含分摊）'!BT11/10000</f>
        <v>0</v>
      </c>
      <c r="BU11" s="3457">
        <f>'[5]凯迪拉克（含分摊）'!BU11/10000</f>
        <v>0</v>
      </c>
      <c r="BV11" s="3457">
        <f>'[5]凯迪拉克（含分摊）'!BV11/10000</f>
        <v>0</v>
      </c>
      <c r="BW11" s="3457">
        <f>'[5]凯迪拉克（含分摊）'!BW11/10000</f>
        <v>0</v>
      </c>
      <c r="BX11" s="3457">
        <f>'[5]凯迪拉克（含分摊）'!BX11/10000</f>
        <v>0</v>
      </c>
      <c r="BY11" s="3457">
        <f>'[5]凯迪拉克（含分摊）'!BY11/10000</f>
        <v>0</v>
      </c>
      <c r="BZ11" s="3457">
        <f>'[5]凯迪拉克（含分摊）'!BZ11/10000</f>
        <v>0</v>
      </c>
      <c r="CA11" s="3457">
        <f>'[5]凯迪拉克（含分摊）'!CA11/10000</f>
        <v>0</v>
      </c>
      <c r="CB11" s="3457">
        <f t="shared" si="5"/>
        <v>0</v>
      </c>
    </row>
    <row r="12" spans="1:82">
      <c r="A12" s="3468"/>
      <c r="B12" s="3456" t="s">
        <v>3482</v>
      </c>
      <c r="C12" s="3472">
        <f>'[5]凯迪拉克（含分摊）'!C12/10000</f>
        <v>0</v>
      </c>
      <c r="D12" s="3472">
        <f>'[5]凯迪拉克（含分摊）'!D12/10000</f>
        <v>0</v>
      </c>
      <c r="E12" s="3472">
        <f>'[5]凯迪拉克（含分摊）'!E12/10000</f>
        <v>0</v>
      </c>
      <c r="F12" s="3472">
        <f>'[5]凯迪拉克（含分摊）'!F12/10000</f>
        <v>0</v>
      </c>
      <c r="G12" s="3472">
        <f>'[5]凯迪拉克（含分摊）'!G12/10000</f>
        <v>0</v>
      </c>
      <c r="H12" s="3472">
        <f>'[5]凯迪拉克（含分摊）'!H12/10000</f>
        <v>0</v>
      </c>
      <c r="I12" s="3472">
        <f>'[5]凯迪拉克（含分摊）'!I12/10000</f>
        <v>0</v>
      </c>
      <c r="J12" s="3472">
        <f>'[5]凯迪拉克（含分摊）'!J12/10000</f>
        <v>0</v>
      </c>
      <c r="K12" s="3472">
        <f>'[5]凯迪拉克（含分摊）'!K12/10000</f>
        <v>0</v>
      </c>
      <c r="L12" s="3472">
        <f>'[5]凯迪拉克（含分摊）'!L12/10000</f>
        <v>0</v>
      </c>
      <c r="M12" s="3472">
        <f>'[5]凯迪拉克（含分摊）'!M12/10000</f>
        <v>0</v>
      </c>
      <c r="N12" s="3472">
        <f>'[5]凯迪拉克（含分摊）'!N12/10000</f>
        <v>0</v>
      </c>
      <c r="O12" s="3472">
        <f t="shared" si="0"/>
        <v>0</v>
      </c>
      <c r="P12" s="3472">
        <f>'[5]凯迪拉克（含分摊）'!P12/10000</f>
        <v>0</v>
      </c>
      <c r="Q12" s="3457">
        <f>'[5]凯迪拉克（含分摊）'!Q12/10000</f>
        <v>0</v>
      </c>
      <c r="R12" s="3457">
        <f>'[5]凯迪拉克（含分摊）'!R12/10000</f>
        <v>0</v>
      </c>
      <c r="S12" s="3457">
        <f>'[5]凯迪拉克（含分摊）'!S12/10000</f>
        <v>0</v>
      </c>
      <c r="T12" s="3457">
        <f>'[5]凯迪拉克（含分摊）'!T12/10000</f>
        <v>0</v>
      </c>
      <c r="U12" s="3457">
        <f>'[5]凯迪拉克（含分摊）'!U12/10000</f>
        <v>0</v>
      </c>
      <c r="V12" s="3457">
        <f>'[5]凯迪拉克（含分摊）'!V12/10000</f>
        <v>0</v>
      </c>
      <c r="W12" s="3457">
        <f>'[5]凯迪拉克（含分摊）'!W12/10000</f>
        <v>0</v>
      </c>
      <c r="X12" s="3457">
        <f>'[5]凯迪拉克（含分摊）'!X12/10000</f>
        <v>0</v>
      </c>
      <c r="Y12" s="3457">
        <f>'[5]凯迪拉克（含分摊）'!Y12/10000</f>
        <v>0</v>
      </c>
      <c r="Z12" s="3457">
        <f>'[5]凯迪拉克（含分摊）'!Z12/10000</f>
        <v>0</v>
      </c>
      <c r="AA12" s="3457">
        <f>'[5]凯迪拉克（含分摊）'!AA12/10000</f>
        <v>0</v>
      </c>
      <c r="AB12" s="3457">
        <f t="shared" si="1"/>
        <v>0</v>
      </c>
      <c r="AC12" s="3457">
        <f>'[5]凯迪拉克（含分摊）'!AC12/10000</f>
        <v>0</v>
      </c>
      <c r="AD12" s="3457">
        <f>'[5]凯迪拉克（含分摊）'!AD12/10000</f>
        <v>0</v>
      </c>
      <c r="AE12" s="3457">
        <f>'[5]凯迪拉克（含分摊）'!AE12/10000</f>
        <v>0</v>
      </c>
      <c r="AF12" s="3457">
        <f>'[5]凯迪拉克（含分摊）'!AF12/10000</f>
        <v>0</v>
      </c>
      <c r="AG12" s="3457">
        <f>'[5]凯迪拉克（含分摊）'!AG12/10000</f>
        <v>0</v>
      </c>
      <c r="AH12" s="3457">
        <f>'[5]凯迪拉克（含分摊）'!AH12/10000</f>
        <v>0</v>
      </c>
      <c r="AI12" s="3457">
        <f>'[5]凯迪拉克（含分摊）'!AI12/10000</f>
        <v>0</v>
      </c>
      <c r="AJ12" s="3457">
        <f>'[5]凯迪拉克（含分摊）'!AJ12/10000</f>
        <v>0</v>
      </c>
      <c r="AK12" s="3457">
        <f>'[5]凯迪拉克（含分摊）'!AK12/10000</f>
        <v>0</v>
      </c>
      <c r="AL12" s="3457">
        <f>'[5]凯迪拉克（含分摊）'!AL12/10000</f>
        <v>0</v>
      </c>
      <c r="AM12" s="3457">
        <f>'[5]凯迪拉克（含分摊）'!AM12/10000</f>
        <v>0</v>
      </c>
      <c r="AN12" s="3457">
        <f>'[5]凯迪拉克（含分摊）'!AN12/10000</f>
        <v>0</v>
      </c>
      <c r="AO12" s="3457">
        <f t="shared" si="2"/>
        <v>0</v>
      </c>
      <c r="AP12" s="3457">
        <f>'[5]凯迪拉克（含分摊）'!AP12/10000</f>
        <v>0</v>
      </c>
      <c r="AQ12" s="3457">
        <f>'[5]凯迪拉克（含分摊）'!AQ12/10000</f>
        <v>0</v>
      </c>
      <c r="AR12" s="3457">
        <f>'[5]凯迪拉克（含分摊）'!AR12/10000</f>
        <v>0</v>
      </c>
      <c r="AS12" s="3457">
        <f>'[5]凯迪拉克（含分摊）'!AS12/10000</f>
        <v>0.13500000000000001</v>
      </c>
      <c r="AT12" s="3457">
        <f>'[5]凯迪拉克（含分摊）'!AT12/10000</f>
        <v>0</v>
      </c>
      <c r="AU12" s="3457">
        <f>'[5]凯迪拉克（含分摊）'!AU12/10000</f>
        <v>0.34</v>
      </c>
      <c r="AV12" s="3457">
        <f>'[5]凯迪拉克（含分摊）'!AV12/10000</f>
        <v>0</v>
      </c>
      <c r="AW12" s="3457">
        <f>'[5]凯迪拉克（含分摊）'!AW12/10000</f>
        <v>0</v>
      </c>
      <c r="AX12" s="3457">
        <f>'[5]凯迪拉克（含分摊）'!AX12/10000</f>
        <v>0</v>
      </c>
      <c r="AY12" s="3457">
        <f>'[5]凯迪拉克（含分摊）'!AY12/10000</f>
        <v>20</v>
      </c>
      <c r="AZ12" s="3457">
        <f>'[5]凯迪拉克（含分摊）'!AZ12/10000</f>
        <v>0</v>
      </c>
      <c r="BA12" s="3457">
        <f>'[5]凯迪拉克（含分摊）'!BA12/10000</f>
        <v>0</v>
      </c>
      <c r="BB12" s="3457">
        <f t="shared" si="3"/>
        <v>20.475000000000001</v>
      </c>
      <c r="BC12" s="3457">
        <f>'[5]凯迪拉克（含分摊）'!BC12/10000</f>
        <v>0</v>
      </c>
      <c r="BD12" s="3457">
        <f>'[5]凯迪拉克（含分摊）'!BD12/10000</f>
        <v>0</v>
      </c>
      <c r="BE12" s="3457">
        <f>'[5]凯迪拉克（含分摊）'!BE12/10000</f>
        <v>0</v>
      </c>
      <c r="BF12" s="3457">
        <f>'[5]凯迪拉克（含分摊）'!BF12/10000</f>
        <v>0</v>
      </c>
      <c r="BG12" s="3457">
        <f>'[5]凯迪拉克（含分摊）'!BG12/10000</f>
        <v>0</v>
      </c>
      <c r="BH12" s="3457">
        <f>'[5]凯迪拉克（含分摊）'!BH12/10000</f>
        <v>0</v>
      </c>
      <c r="BI12" s="3457">
        <f>'[5]凯迪拉克（含分摊）'!BI12/10000</f>
        <v>0</v>
      </c>
      <c r="BJ12" s="3457">
        <f>'[5]凯迪拉克（含分摊）'!BJ12/10000</f>
        <v>0</v>
      </c>
      <c r="BK12" s="3457">
        <f>'[5]凯迪拉克（含分摊）'!BK12/10000</f>
        <v>0</v>
      </c>
      <c r="BL12" s="3457">
        <f>'[5]凯迪拉克（含分摊）'!BL12/10000</f>
        <v>0</v>
      </c>
      <c r="BM12" s="3457">
        <f>'[5]凯迪拉克（含分摊）'!BM12/10000</f>
        <v>0</v>
      </c>
      <c r="BN12" s="3457">
        <f>'[5]凯迪拉克（含分摊）'!BN12/10000</f>
        <v>0</v>
      </c>
      <c r="BO12" s="3457">
        <f t="shared" si="4"/>
        <v>0</v>
      </c>
      <c r="BP12" s="3457">
        <f>'[5]凯迪拉克（含分摊）'!BP12/10000</f>
        <v>0</v>
      </c>
      <c r="BQ12" s="3457">
        <f>'[5]凯迪拉克（含分摊）'!BQ12/10000</f>
        <v>0</v>
      </c>
      <c r="BR12" s="3457">
        <f>'[5]凯迪拉克（含分摊）'!BR12/10000</f>
        <v>0</v>
      </c>
      <c r="BS12" s="3457">
        <f>'[5]凯迪拉克（含分摊）'!BS12/10000</f>
        <v>0</v>
      </c>
      <c r="BT12" s="3457">
        <f>'[5]凯迪拉克（含分摊）'!BT12/10000</f>
        <v>0</v>
      </c>
      <c r="BU12" s="3457">
        <f>'[5]凯迪拉克（含分摊）'!BU12/10000</f>
        <v>0</v>
      </c>
      <c r="BV12" s="3457">
        <f>'[5]凯迪拉克（含分摊）'!BV12/10000</f>
        <v>0</v>
      </c>
      <c r="BW12" s="3457">
        <f>'[5]凯迪拉克（含分摊）'!BW12/10000</f>
        <v>0</v>
      </c>
      <c r="BX12" s="3457">
        <f>'[5]凯迪拉克（含分摊）'!BX12/10000</f>
        <v>0</v>
      </c>
      <c r="BY12" s="3457">
        <f>'[5]凯迪拉克（含分摊）'!BY12/10000</f>
        <v>0</v>
      </c>
      <c r="BZ12" s="3457">
        <f>'[5]凯迪拉克（含分摊）'!BZ12/10000</f>
        <v>0</v>
      </c>
      <c r="CA12" s="3457">
        <f>'[5]凯迪拉克（含分摊）'!CA12/10000</f>
        <v>0</v>
      </c>
      <c r="CB12" s="3457">
        <f t="shared" si="5"/>
        <v>0</v>
      </c>
    </row>
    <row r="13" spans="1:82">
      <c r="A13" s="3468"/>
      <c r="B13" s="3456" t="s">
        <v>3483</v>
      </c>
      <c r="C13" s="3457">
        <f>'[5]凯迪拉克（含分摊）'!C13/10000</f>
        <v>0</v>
      </c>
      <c r="D13" s="3457">
        <f>'[5]凯迪拉克（含分摊）'!D13/10000</f>
        <v>0</v>
      </c>
      <c r="E13" s="3457">
        <f>'[5]凯迪拉克（含分摊）'!E13/10000</f>
        <v>0</v>
      </c>
      <c r="F13" s="3457">
        <f>'[5]凯迪拉克（含分摊）'!F13/10000</f>
        <v>0</v>
      </c>
      <c r="G13" s="3457">
        <f>'[5]凯迪拉克（含分摊）'!G13/10000</f>
        <v>0</v>
      </c>
      <c r="H13" s="3457">
        <f>'[5]凯迪拉克（含分摊）'!H13/10000</f>
        <v>0</v>
      </c>
      <c r="I13" s="3457">
        <f>'[5]凯迪拉克（含分摊）'!I13/10000</f>
        <v>0</v>
      </c>
      <c r="J13" s="3457">
        <f>'[5]凯迪拉克（含分摊）'!J13/10000</f>
        <v>0</v>
      </c>
      <c r="K13" s="3457">
        <f>'[5]凯迪拉克（含分摊）'!K13/10000</f>
        <v>0</v>
      </c>
      <c r="L13" s="3457">
        <f>'[5]凯迪拉克（含分摊）'!L13/10000</f>
        <v>0</v>
      </c>
      <c r="M13" s="3457">
        <f>'[5]凯迪拉克（含分摊）'!M13/10000</f>
        <v>0</v>
      </c>
      <c r="N13" s="3457">
        <f>'[5]凯迪拉克（含分摊）'!N13/10000</f>
        <v>0</v>
      </c>
      <c r="O13" s="3457">
        <f t="shared" si="0"/>
        <v>0</v>
      </c>
      <c r="P13" s="3457">
        <f>'[5]凯迪拉克（含分摊）'!P13/10000</f>
        <v>0</v>
      </c>
      <c r="Q13" s="3457">
        <f>'[5]凯迪拉克（含分摊）'!Q13/10000</f>
        <v>0</v>
      </c>
      <c r="R13" s="3457">
        <f>'[5]凯迪拉克（含分摊）'!R13/10000</f>
        <v>0</v>
      </c>
      <c r="S13" s="3457">
        <f>'[5]凯迪拉克（含分摊）'!S13/10000</f>
        <v>0</v>
      </c>
      <c r="T13" s="3457">
        <f>'[5]凯迪拉克（含分摊）'!T13/10000</f>
        <v>0</v>
      </c>
      <c r="U13" s="3457">
        <f>'[5]凯迪拉克（含分摊）'!U13/10000</f>
        <v>0</v>
      </c>
      <c r="V13" s="3457">
        <f>'[5]凯迪拉克（含分摊）'!V13/10000</f>
        <v>0</v>
      </c>
      <c r="W13" s="3457">
        <f>'[5]凯迪拉克（含分摊）'!W13/10000</f>
        <v>0</v>
      </c>
      <c r="X13" s="3457">
        <f>'[5]凯迪拉克（含分摊）'!X13/10000</f>
        <v>0</v>
      </c>
      <c r="Y13" s="3457">
        <f>'[5]凯迪拉克（含分摊）'!Y13/10000</f>
        <v>0</v>
      </c>
      <c r="Z13" s="3457">
        <f>'[5]凯迪拉克（含分摊）'!Z13/10000</f>
        <v>0</v>
      </c>
      <c r="AA13" s="3457">
        <f>'[5]凯迪拉克（含分摊）'!AA13/10000</f>
        <v>0</v>
      </c>
      <c r="AB13" s="3457">
        <f t="shared" si="1"/>
        <v>0</v>
      </c>
      <c r="AC13" s="3457">
        <f>'[5]凯迪拉克（含分摊）'!AC13/10000</f>
        <v>0</v>
      </c>
      <c r="AD13" s="3457">
        <f>'[5]凯迪拉克（含分摊）'!AD13/10000</f>
        <v>0</v>
      </c>
      <c r="AE13" s="3457">
        <f>'[5]凯迪拉克（含分摊）'!AE13/10000</f>
        <v>0</v>
      </c>
      <c r="AF13" s="3457">
        <f>'[5]凯迪拉克（含分摊）'!AF13/10000</f>
        <v>0</v>
      </c>
      <c r="AG13" s="3457">
        <f>'[5]凯迪拉克（含分摊）'!AG13/10000</f>
        <v>0</v>
      </c>
      <c r="AH13" s="3457">
        <f>'[5]凯迪拉克（含分摊）'!AH13/10000</f>
        <v>0</v>
      </c>
      <c r="AI13" s="3457">
        <f>'[5]凯迪拉克（含分摊）'!AI13/10000</f>
        <v>0</v>
      </c>
      <c r="AJ13" s="3457">
        <f>'[5]凯迪拉克（含分摊）'!AJ13/10000</f>
        <v>0</v>
      </c>
      <c r="AK13" s="3457">
        <f>'[5]凯迪拉克（含分摊）'!AK13/10000</f>
        <v>0</v>
      </c>
      <c r="AL13" s="3457">
        <f>'[5]凯迪拉克（含分摊）'!AL13/10000</f>
        <v>0</v>
      </c>
      <c r="AM13" s="3457">
        <f>'[5]凯迪拉克（含分摊）'!AM13/10000</f>
        <v>0</v>
      </c>
      <c r="AN13" s="3457">
        <f>'[5]凯迪拉克（含分摊）'!AN13/10000</f>
        <v>0</v>
      </c>
      <c r="AO13" s="3457">
        <f t="shared" si="2"/>
        <v>0</v>
      </c>
      <c r="AP13" s="3457">
        <f>'[5]凯迪拉克（含分摊）'!AP13/10000</f>
        <v>0</v>
      </c>
      <c r="AQ13" s="3457">
        <f>'[5]凯迪拉克（含分摊）'!AQ13/10000</f>
        <v>0</v>
      </c>
      <c r="AR13" s="3457">
        <f>'[5]凯迪拉克（含分摊）'!AR13/10000</f>
        <v>0</v>
      </c>
      <c r="AS13" s="3457">
        <f>'[5]凯迪拉克（含分摊）'!AS13/10000</f>
        <v>0</v>
      </c>
      <c r="AT13" s="3457">
        <f>'[5]凯迪拉克（含分摊）'!AT13/10000</f>
        <v>0</v>
      </c>
      <c r="AU13" s="3457">
        <f>'[5]凯迪拉克（含分摊）'!AU13/10000</f>
        <v>0</v>
      </c>
      <c r="AV13" s="3457">
        <f>'[5]凯迪拉克（含分摊）'!AV13/10000</f>
        <v>0</v>
      </c>
      <c r="AW13" s="3457">
        <f>'[5]凯迪拉克（含分摊）'!AW13/10000</f>
        <v>0</v>
      </c>
      <c r="AX13" s="3457">
        <f>'[5]凯迪拉克（含分摊）'!AX13/10000</f>
        <v>0</v>
      </c>
      <c r="AY13" s="3457">
        <f>'[5]凯迪拉克（含分摊）'!AY13/10000</f>
        <v>0</v>
      </c>
      <c r="AZ13" s="3457">
        <f>'[5]凯迪拉克（含分摊）'!AZ13/10000</f>
        <v>0</v>
      </c>
      <c r="BA13" s="3457">
        <f>'[5]凯迪拉克（含分摊）'!BA13/10000</f>
        <v>0</v>
      </c>
      <c r="BB13" s="3457">
        <f t="shared" si="3"/>
        <v>0</v>
      </c>
      <c r="BC13" s="3457">
        <f>'[5]凯迪拉克（含分摊）'!BC13/10000</f>
        <v>0</v>
      </c>
      <c r="BD13" s="3457">
        <f>'[5]凯迪拉克（含分摊）'!BD13/10000</f>
        <v>0</v>
      </c>
      <c r="BE13" s="3457">
        <f>'[5]凯迪拉克（含分摊）'!BE13/10000</f>
        <v>0</v>
      </c>
      <c r="BF13" s="3457">
        <f>'[5]凯迪拉克（含分摊）'!BF13/10000</f>
        <v>0</v>
      </c>
      <c r="BG13" s="3457">
        <f>'[5]凯迪拉克（含分摊）'!BG13/10000</f>
        <v>0</v>
      </c>
      <c r="BH13" s="3457">
        <f>'[5]凯迪拉克（含分摊）'!BH13/10000</f>
        <v>0</v>
      </c>
      <c r="BI13" s="3457">
        <f>'[5]凯迪拉克（含分摊）'!BI13/10000</f>
        <v>0</v>
      </c>
      <c r="BJ13" s="3457">
        <f>'[5]凯迪拉克（含分摊）'!BJ13/10000</f>
        <v>0</v>
      </c>
      <c r="BK13" s="3457">
        <f>'[5]凯迪拉克（含分摊）'!BK13/10000</f>
        <v>0</v>
      </c>
      <c r="BL13" s="3457">
        <f>'[5]凯迪拉克（含分摊）'!BL13/10000</f>
        <v>0</v>
      </c>
      <c r="BM13" s="3457">
        <f>'[5]凯迪拉克（含分摊）'!BM13/10000</f>
        <v>0</v>
      </c>
      <c r="BN13" s="3457">
        <f>'[5]凯迪拉克（含分摊）'!BN13/10000</f>
        <v>0</v>
      </c>
      <c r="BO13" s="3457">
        <f t="shared" si="4"/>
        <v>0</v>
      </c>
      <c r="BP13" s="3457">
        <f>'[5]凯迪拉克（含分摊）'!BP13/10000</f>
        <v>0</v>
      </c>
      <c r="BQ13" s="3457">
        <f>'[5]凯迪拉克（含分摊）'!BQ13/10000</f>
        <v>0</v>
      </c>
      <c r="BR13" s="3457">
        <f>'[5]凯迪拉克（含分摊）'!BR13/10000</f>
        <v>0</v>
      </c>
      <c r="BS13" s="3457">
        <f>'[5]凯迪拉克（含分摊）'!BS13/10000</f>
        <v>0</v>
      </c>
      <c r="BT13" s="3457">
        <f>'[5]凯迪拉克（含分摊）'!BT13/10000</f>
        <v>0</v>
      </c>
      <c r="BU13" s="3457">
        <f>'[5]凯迪拉克（含分摊）'!BU13/10000</f>
        <v>0</v>
      </c>
      <c r="BV13" s="3457">
        <f>'[5]凯迪拉克（含分摊）'!BV13/10000</f>
        <v>0</v>
      </c>
      <c r="BW13" s="3457">
        <f>'[5]凯迪拉克（含分摊）'!BW13/10000</f>
        <v>0</v>
      </c>
      <c r="BX13" s="3457">
        <f>'[5]凯迪拉克（含分摊）'!BX13/10000</f>
        <v>0</v>
      </c>
      <c r="BY13" s="3457">
        <f>'[5]凯迪拉克（含分摊）'!BY13/10000</f>
        <v>0</v>
      </c>
      <c r="BZ13" s="3457">
        <f>'[5]凯迪拉克（含分摊）'!BZ13/10000</f>
        <v>0</v>
      </c>
      <c r="CA13" s="3457">
        <f>'[5]凯迪拉克（含分摊）'!CA13/10000</f>
        <v>0</v>
      </c>
      <c r="CB13" s="3457">
        <f t="shared" si="5"/>
        <v>0</v>
      </c>
    </row>
    <row r="14" spans="1:82">
      <c r="A14" s="3468"/>
      <c r="B14" s="3473" t="s">
        <v>3484</v>
      </c>
      <c r="C14" s="3474">
        <f>'[5]凯迪拉克（含分摊）'!C14/10000</f>
        <v>0</v>
      </c>
      <c r="D14" s="3474">
        <f>'[5]凯迪拉克（含分摊）'!D14/10000</f>
        <v>0</v>
      </c>
      <c r="E14" s="3474">
        <f>'[5]凯迪拉克（含分摊）'!E14/10000</f>
        <v>0</v>
      </c>
      <c r="F14" s="3474">
        <f>'[5]凯迪拉克（含分摊）'!F14/10000</f>
        <v>0</v>
      </c>
      <c r="G14" s="3474">
        <f>'[5]凯迪拉克（含分摊）'!G14/10000</f>
        <v>0</v>
      </c>
      <c r="H14" s="3474">
        <f>'[5]凯迪拉克（含分摊）'!H14/10000</f>
        <v>0</v>
      </c>
      <c r="I14" s="3474">
        <f>'[5]凯迪拉克（含分摊）'!I14/10000</f>
        <v>0</v>
      </c>
      <c r="J14" s="3474">
        <f>'[5]凯迪拉克（含分摊）'!J14/10000</f>
        <v>0</v>
      </c>
      <c r="K14" s="3474">
        <f>'[5]凯迪拉克（含分摊）'!K14/10000</f>
        <v>0</v>
      </c>
      <c r="L14" s="3474">
        <f>'[5]凯迪拉克（含分摊）'!L14/10000</f>
        <v>0</v>
      </c>
      <c r="M14" s="3474">
        <f>'[5]凯迪拉克（含分摊）'!M14/10000</f>
        <v>0</v>
      </c>
      <c r="N14" s="3474">
        <f>'[5]凯迪拉克（含分摊）'!N14/10000</f>
        <v>0</v>
      </c>
      <c r="O14" s="3474">
        <f t="shared" si="0"/>
        <v>0</v>
      </c>
      <c r="P14" s="3474">
        <f>'[5]凯迪拉克（含分摊）'!P14/10000</f>
        <v>2.6084209999999999</v>
      </c>
      <c r="Q14" s="3474">
        <f>'[5]凯迪拉克（含分摊）'!Q14/10000</f>
        <v>1.363335</v>
      </c>
      <c r="R14" s="3474">
        <f>'[5]凯迪拉克（含分摊）'!R14/10000</f>
        <v>0.53269999999999995</v>
      </c>
      <c r="S14" s="3474">
        <f>'[5]凯迪拉克（含分摊）'!S14/10000</f>
        <v>0.69530000000000003</v>
      </c>
      <c r="T14" s="3474">
        <f>'[5]凯迪拉克（含分摊）'!T14/10000</f>
        <v>0.49783900000000003</v>
      </c>
      <c r="U14" s="3474">
        <f>'[5]凯迪拉克（含分摊）'!U14/10000</f>
        <v>19.288467999999998</v>
      </c>
      <c r="V14" s="3457">
        <f>'[5]凯迪拉克（含分摊）'!V14/10000</f>
        <v>0</v>
      </c>
      <c r="W14" s="3457">
        <f>'[5]凯迪拉克（含分摊）'!W14/10000</f>
        <v>0</v>
      </c>
      <c r="X14" s="3457">
        <f>'[5]凯迪拉克（含分摊）'!X14/10000</f>
        <v>0</v>
      </c>
      <c r="Y14" s="3457">
        <f>'[5]凯迪拉克（含分摊）'!Y14/10000</f>
        <v>0</v>
      </c>
      <c r="Z14" s="3457">
        <f>'[5]凯迪拉克（含分摊）'!Z14/10000</f>
        <v>-4.6600000000000001E-3</v>
      </c>
      <c r="AA14" s="3457">
        <f>'[5]凯迪拉克（含分摊）'!AA14/10000</f>
        <v>0.74185100000000004</v>
      </c>
      <c r="AB14" s="3457">
        <f t="shared" si="1"/>
        <v>25.723253999999997</v>
      </c>
      <c r="AC14" s="3457">
        <f>'[5]凯迪拉克（含分摊）'!AC14/10000</f>
        <v>0.72719500000000004</v>
      </c>
      <c r="AD14" s="3457">
        <f>'[5]凯迪拉克（含分摊）'!AD14/10000</f>
        <v>9.1087000000000001E-2</v>
      </c>
      <c r="AE14" s="3457">
        <f>'[5]凯迪拉克（含分摊）'!AE14/10000</f>
        <v>0.56068899999999999</v>
      </c>
      <c r="AF14" s="3457">
        <f>'[5]凯迪拉克（含分摊）'!AF14/10000</f>
        <v>1.7118910000000001</v>
      </c>
      <c r="AG14" s="3457">
        <f>'[5]凯迪拉克（含分摊）'!AG14/10000</f>
        <v>0.81272200000000006</v>
      </c>
      <c r="AH14" s="3457">
        <f>'[5]凯迪拉克（含分摊）'!AH14/10000</f>
        <v>2.1121620000000001</v>
      </c>
      <c r="AI14" s="3457">
        <f>'[5]凯迪拉克（含分摊）'!AI14/10000</f>
        <v>0</v>
      </c>
      <c r="AJ14" s="3457">
        <f>'[5]凯迪拉克（含分摊）'!AJ14/10000</f>
        <v>-0.57001999999999997</v>
      </c>
      <c r="AK14" s="3457">
        <f>'[5]凯迪拉克（含分摊）'!AK14/10000</f>
        <v>9.01E-2</v>
      </c>
      <c r="AL14" s="3457">
        <f>'[5]凯迪拉克（含分摊）'!AL14/10000</f>
        <v>0</v>
      </c>
      <c r="AM14" s="3457">
        <f>'[5]凯迪拉克（含分摊）'!AM14/10000</f>
        <v>0</v>
      </c>
      <c r="AN14" s="3457">
        <f>'[5]凯迪拉克（含分摊）'!AN14/10000</f>
        <v>0</v>
      </c>
      <c r="AO14" s="3457">
        <f t="shared" si="2"/>
        <v>5.5358260000000001</v>
      </c>
      <c r="AP14" s="3457">
        <f>'[5]凯迪拉克（含分摊）'!AP14/10000</f>
        <v>0</v>
      </c>
      <c r="AQ14" s="3457">
        <f>'[5]凯迪拉克（含分摊）'!AQ14/10000</f>
        <v>0</v>
      </c>
      <c r="AR14" s="3457">
        <f>'[5]凯迪拉克（含分摊）'!AR14/10000</f>
        <v>0</v>
      </c>
      <c r="AS14" s="3457">
        <f>'[5]凯迪拉克（含分摊）'!AS14/10000</f>
        <v>0</v>
      </c>
      <c r="AT14" s="3457">
        <f>'[5]凯迪拉克（含分摊）'!AT14/10000</f>
        <v>25.345970000000001</v>
      </c>
      <c r="AU14" s="3457">
        <f>'[5]凯迪拉克（含分摊）'!AU14/10000</f>
        <v>35.011233000000004</v>
      </c>
      <c r="AV14" s="3457">
        <f>'[5]凯迪拉克（含分摊）'!AV14/10000</f>
        <v>0</v>
      </c>
      <c r="AW14" s="3457">
        <f>'[5]凯迪拉克（含分摊）'!AW14/10000</f>
        <v>0</v>
      </c>
      <c r="AX14" s="3457">
        <f>'[5]凯迪拉克（含分摊）'!AX14/10000</f>
        <v>0</v>
      </c>
      <c r="AY14" s="3457">
        <f>'[5]凯迪拉克（含分摊）'!AY14/10000</f>
        <v>0</v>
      </c>
      <c r="AZ14" s="3457">
        <f>'[5]凯迪拉克（含分摊）'!AZ14/10000</f>
        <v>0</v>
      </c>
      <c r="BA14" s="3457">
        <f>'[5]凯迪拉克（含分摊）'!BA14/10000</f>
        <v>0</v>
      </c>
      <c r="BB14" s="3457">
        <f t="shared" si="3"/>
        <v>60.357203000000005</v>
      </c>
      <c r="BC14" s="3457">
        <f>'[5]凯迪拉克（含分摊）'!BC14/10000</f>
        <v>0</v>
      </c>
      <c r="BD14" s="3457">
        <f>'[5]凯迪拉克（含分摊）'!BD14/10000</f>
        <v>0</v>
      </c>
      <c r="BE14" s="3457">
        <f>'[5]凯迪拉克（含分摊）'!BE14/10000</f>
        <v>0</v>
      </c>
      <c r="BF14" s="3457">
        <f>'[5]凯迪拉克（含分摊）'!BF14/10000</f>
        <v>0</v>
      </c>
      <c r="BG14" s="3457">
        <f>'[5]凯迪拉克（含分摊）'!BG14/10000</f>
        <v>0</v>
      </c>
      <c r="BH14" s="3457">
        <f>'[5]凯迪拉克（含分摊）'!BH14/10000</f>
        <v>0</v>
      </c>
      <c r="BI14" s="3457">
        <f>'[5]凯迪拉克（含分摊）'!BI14/10000</f>
        <v>0</v>
      </c>
      <c r="BJ14" s="3457">
        <f>'[5]凯迪拉克（含分摊）'!BJ14/10000</f>
        <v>0</v>
      </c>
      <c r="BK14" s="3457">
        <f>'[5]凯迪拉克（含分摊）'!BK14/10000</f>
        <v>0</v>
      </c>
      <c r="BL14" s="3457">
        <f>'[5]凯迪拉克（含分摊）'!BL14/10000</f>
        <v>0</v>
      </c>
      <c r="BM14" s="3457">
        <f>'[5]凯迪拉克（含分摊）'!BM14/10000</f>
        <v>0</v>
      </c>
      <c r="BN14" s="3457">
        <f>'[5]凯迪拉克（含分摊）'!BN14/10000</f>
        <v>0</v>
      </c>
      <c r="BO14" s="3457">
        <f t="shared" si="4"/>
        <v>0</v>
      </c>
      <c r="BP14" s="3457">
        <f>'[5]凯迪拉克（含分摊）'!BP14/10000</f>
        <v>0</v>
      </c>
      <c r="BQ14" s="3457">
        <f>'[5]凯迪拉克（含分摊）'!BQ14/10000</f>
        <v>0</v>
      </c>
      <c r="BR14" s="3457">
        <f>'[5]凯迪拉克（含分摊）'!BR14/10000</f>
        <v>0</v>
      </c>
      <c r="BS14" s="3457">
        <f>'[5]凯迪拉克（含分摊）'!BS14/10000</f>
        <v>0</v>
      </c>
      <c r="BT14" s="3457">
        <f>'[5]凯迪拉克（含分摊）'!BT14/10000</f>
        <v>0</v>
      </c>
      <c r="BU14" s="3457">
        <f>'[5]凯迪拉克（含分摊）'!BU14/10000</f>
        <v>0</v>
      </c>
      <c r="BV14" s="3457">
        <f>'[5]凯迪拉克（含分摊）'!BV14/10000</f>
        <v>0</v>
      </c>
      <c r="BW14" s="3457">
        <f>'[5]凯迪拉克（含分摊）'!BW14/10000</f>
        <v>0</v>
      </c>
      <c r="BX14" s="3457">
        <f>'[5]凯迪拉克（含分摊）'!BX14/10000</f>
        <v>0</v>
      </c>
      <c r="BY14" s="3457">
        <f>'[5]凯迪拉克（含分摊）'!BY14/10000</f>
        <v>0</v>
      </c>
      <c r="BZ14" s="3457">
        <f>'[5]凯迪拉克（含分摊）'!BZ14/10000</f>
        <v>0</v>
      </c>
      <c r="CA14" s="3457">
        <f>'[5]凯迪拉克（含分摊）'!CA14/10000</f>
        <v>0</v>
      </c>
      <c r="CB14" s="3457">
        <f t="shared" si="5"/>
        <v>0</v>
      </c>
    </row>
    <row r="15" spans="1:82" s="3467" customFormat="1">
      <c r="A15" s="3475"/>
      <c r="B15" s="3465" t="s">
        <v>3485</v>
      </c>
      <c r="C15" s="3466">
        <f>'[5]凯迪拉克（含分摊）'!C15/10000</f>
        <v>47.119149999999998</v>
      </c>
      <c r="D15" s="3466">
        <f>'[5]凯迪拉克（含分摊）'!D15/10000</f>
        <v>45.691175999999999</v>
      </c>
      <c r="E15" s="3466">
        <f>'[5]凯迪拉克（含分摊）'!E15/10000</f>
        <v>886.84256525000001</v>
      </c>
      <c r="F15" s="3466">
        <f>'[5]凯迪拉克（含分摊）'!F15/10000</f>
        <v>238.95161450000001</v>
      </c>
      <c r="G15" s="3466">
        <f>'[5]凯迪拉克（含分摊）'!G15/10000</f>
        <v>112.78410525</v>
      </c>
      <c r="H15" s="3466">
        <f>'[5]凯迪拉克（含分摊）'!H15/10000</f>
        <v>322.079926</v>
      </c>
      <c r="I15" s="3466">
        <f>'[5]凯迪拉克（含分摊）'!I15/10000</f>
        <v>168.46124374999999</v>
      </c>
      <c r="J15" s="3466">
        <f>'[5]凯迪拉克（含分摊）'!J15/10000</f>
        <v>544.58392600000002</v>
      </c>
      <c r="K15" s="3466">
        <f>'[5]凯迪拉克（含分摊）'!K15/10000</f>
        <v>700.32070224999995</v>
      </c>
      <c r="L15" s="3466">
        <f>'[5]凯迪拉克（含分摊）'!L15/10000</f>
        <v>-177.21953450000001</v>
      </c>
      <c r="M15" s="3466">
        <f>'[5]凯迪拉克（含分摊）'!M15/10000</f>
        <v>768.06418574999998</v>
      </c>
      <c r="N15" s="3466">
        <f>'[5]凯迪拉克（含分摊）'!N15/10000</f>
        <v>780.55990599999996</v>
      </c>
      <c r="O15" s="3466">
        <f t="shared" si="0"/>
        <v>4438.23896625</v>
      </c>
      <c r="P15" s="3466">
        <f>'[5]凯迪拉克（含分摊）'!P15/10000</f>
        <v>747.65833899999996</v>
      </c>
      <c r="Q15" s="3466">
        <f>'[5]凯迪拉克（含分摊）'!Q15/10000</f>
        <v>471.97264400000006</v>
      </c>
      <c r="R15" s="3466">
        <f>'[5]凯迪拉克（含分摊）'!R15/10000</f>
        <v>706.74418600000001</v>
      </c>
      <c r="S15" s="3466">
        <f>'[5]凯迪拉克（含分摊）'!S15/10000</f>
        <v>543.51312199999995</v>
      </c>
      <c r="T15" s="3466">
        <f>'[5]凯迪拉克（含分摊）'!T15/10000</f>
        <v>673.75787100000002</v>
      </c>
      <c r="U15" s="3466">
        <f>'[5]凯迪拉克（含分摊）'!U15/10000</f>
        <v>486.177841</v>
      </c>
      <c r="V15" s="3466">
        <f>'[5]凯迪拉克（含分摊）'!V15/10000</f>
        <v>544.40775499999995</v>
      </c>
      <c r="W15" s="3466">
        <f>'[5]凯迪拉克（含分摊）'!W15/10000</f>
        <v>573.73334800000009</v>
      </c>
      <c r="X15" s="3466">
        <f>'[5]凯迪拉克（含分摊）'!X15/10000</f>
        <v>-57.826574999999998</v>
      </c>
      <c r="Y15" s="3466">
        <f>'[5]凯迪拉克（含分摊）'!Y15/10000</f>
        <v>494.37309900000002</v>
      </c>
      <c r="Z15" s="3466">
        <f>'[5]凯迪拉克（含分摊）'!Z15/10000</f>
        <v>955.57425799999999</v>
      </c>
      <c r="AA15" s="3466">
        <f>'[5]凯迪拉克（含分摊）'!AA15/10000</f>
        <v>1402.034222</v>
      </c>
      <c r="AB15" s="3466">
        <f t="shared" si="1"/>
        <v>7542.1201099999998</v>
      </c>
      <c r="AC15" s="3466">
        <f>'[5]凯迪拉克（含分摊）'!AC15/10000</f>
        <v>424.49587756249997</v>
      </c>
      <c r="AD15" s="3466">
        <f>'[5]凯迪拉克（含分摊）'!AD15/10000</f>
        <v>383.9635619375</v>
      </c>
      <c r="AE15" s="3466">
        <f>'[5]凯迪拉克（含分摊）'!AE15/10000</f>
        <v>383.75725093749998</v>
      </c>
      <c r="AF15" s="3466">
        <f>'[5]凯迪拉克（含分摊）'!AF15/10000</f>
        <v>403.56908493750001</v>
      </c>
      <c r="AG15" s="3466">
        <f>'[5]凯迪拉克（含分摊）'!AG15/10000</f>
        <v>381.86703793750002</v>
      </c>
      <c r="AH15" s="3466">
        <f>'[5]凯迪拉克（含分摊）'!AH15/10000</f>
        <v>395.33828193749997</v>
      </c>
      <c r="AI15" s="3466">
        <f>'[5]凯迪拉克（含分摊）'!AI15/10000</f>
        <v>506.98548393750002</v>
      </c>
      <c r="AJ15" s="3466">
        <f>'[5]凯迪拉克（含分摊）'!AJ15/10000</f>
        <v>335.6147029375</v>
      </c>
      <c r="AK15" s="3466">
        <f>'[5]凯迪拉克（含分摊）'!AK15/10000</f>
        <v>325.58920793750002</v>
      </c>
      <c r="AL15" s="3466">
        <f>'[5]凯迪拉克（含分摊）'!AL15/10000</f>
        <v>392.54781593749999</v>
      </c>
      <c r="AM15" s="3466">
        <f>'[5]凯迪拉克（含分摊）'!AM15/10000</f>
        <v>346.41466993749998</v>
      </c>
      <c r="AN15" s="3466">
        <f>'[5]凯迪拉克（含分摊）'!AN15/10000</f>
        <v>-207.7704730625</v>
      </c>
      <c r="AO15" s="3466">
        <f t="shared" si="2"/>
        <v>4072.3725028749996</v>
      </c>
      <c r="AP15" s="3466">
        <f>'[5]凯迪拉克（含分摊）'!AP15/10000</f>
        <v>335.30671649999999</v>
      </c>
      <c r="AQ15" s="3466">
        <f>'[5]凯迪拉克（含分摊）'!AQ15/10000</f>
        <v>339.54092050000003</v>
      </c>
      <c r="AR15" s="3466">
        <f>'[5]凯迪拉克（含分摊）'!AR15/10000</f>
        <v>322.51146749999998</v>
      </c>
      <c r="AS15" s="3466">
        <f>'[5]凯迪拉克（含分摊）'!AS15/10000</f>
        <v>326.93163700000002</v>
      </c>
      <c r="AT15" s="3466">
        <f>'[5]凯迪拉克（含分摊）'!AT15/10000</f>
        <v>354.81398300000001</v>
      </c>
      <c r="AU15" s="3466">
        <f>'[5]凯迪拉克（含分摊）'!AU15/10000</f>
        <v>362.18681400000003</v>
      </c>
      <c r="AV15" s="3466">
        <f>'[5]凯迪拉克（含分摊）'!AV15/10000</f>
        <v>333.59145699999999</v>
      </c>
      <c r="AW15" s="3466">
        <f>'[5]凯迪拉克（含分摊）'!AW15/10000</f>
        <v>127.973114</v>
      </c>
      <c r="AX15" s="3466">
        <f>'[5]凯迪拉克（含分摊）'!AX15/10000</f>
        <v>-587.57714199999998</v>
      </c>
      <c r="AY15" s="3466">
        <f>'[5]凯迪拉克（含分摊）'!AY15/10000</f>
        <v>241.27357200000003</v>
      </c>
      <c r="AZ15" s="3466">
        <f>'[5]凯迪拉克（含分摊）'!AZ15/10000</f>
        <v>247.91654500000001</v>
      </c>
      <c r="BA15" s="3466">
        <f>'[5]凯迪拉克（含分摊）'!BA15/10000</f>
        <v>426.86321799999996</v>
      </c>
      <c r="BB15" s="3466">
        <f t="shared" si="3"/>
        <v>2831.3323025</v>
      </c>
      <c r="BC15" s="3466">
        <f>'[5]凯迪拉克（含分摊）'!BC15/10000</f>
        <v>272.14809200000002</v>
      </c>
      <c r="BD15" s="3466">
        <f>'[5]凯迪拉克（含分摊）'!BD15/10000</f>
        <v>206.17855500000002</v>
      </c>
      <c r="BE15" s="3466">
        <f>'[5]凯迪拉克（含分摊）'!BE15/10000</f>
        <v>1191.012031</v>
      </c>
      <c r="BF15" s="3466">
        <f>'[5]凯迪拉克（含分摊）'!BF15/10000</f>
        <v>1258.605086</v>
      </c>
      <c r="BG15" s="3466">
        <f>'[5]凯迪拉克（含分摊）'!BG15/10000</f>
        <v>342.41860700000001</v>
      </c>
      <c r="BH15" s="3466">
        <f>'[5]凯迪拉克（含分摊）'!BH15/10000</f>
        <v>319.90851900000001</v>
      </c>
      <c r="BI15" s="3466">
        <f>'[5]凯迪拉克（含分摊）'!BI15/10000</f>
        <v>312.83747999999997</v>
      </c>
      <c r="BJ15" s="3466">
        <f>'[5]凯迪拉克（含分摊）'!BJ15/10000</f>
        <v>336.01922200000001</v>
      </c>
      <c r="BK15" s="3466">
        <f>'[5]凯迪拉克（含分摊）'!BK15/10000</f>
        <v>306.74833799999999</v>
      </c>
      <c r="BL15" s="3466">
        <f>'[5]凯迪拉克（含分摊）'!BL15/10000</f>
        <v>309.50354800000002</v>
      </c>
      <c r="BM15" s="3466">
        <f>'[5]凯迪拉克（含分摊）'!BM15/10000</f>
        <v>372.42395399999998</v>
      </c>
      <c r="BN15" s="3466">
        <f>'[5]凯迪拉克（含分摊）'!BN15/10000</f>
        <v>326.42289700000003</v>
      </c>
      <c r="BO15" s="3466">
        <f t="shared" si="4"/>
        <v>5554.226329000001</v>
      </c>
      <c r="BP15" s="3466">
        <f>'[5]凯迪拉克（含分摊）'!BP15/10000</f>
        <v>301.99688599999996</v>
      </c>
      <c r="BQ15" s="3466">
        <f>'[5]凯迪拉克（含分摊）'!BQ15/10000</f>
        <v>283.17553700000002</v>
      </c>
      <c r="BR15" s="3466">
        <f>'[5]凯迪拉克（含分摊）'!BR15/10000</f>
        <v>370.69098199999996</v>
      </c>
      <c r="BS15" s="3466">
        <f>'[5]凯迪拉克（含分摊）'!BS15/10000</f>
        <v>371.11790400000001</v>
      </c>
      <c r="BT15" s="3466">
        <f>'[5]凯迪拉克（含分摊）'!BT15/10000</f>
        <v>312.501532</v>
      </c>
      <c r="BU15" s="3466">
        <f>'[5]凯迪拉克（含分摊）'!BU15/10000</f>
        <v>304.23934500000001</v>
      </c>
      <c r="BV15" s="3466">
        <f>'[5]凯迪拉克（含分摊）'!BV15/10000</f>
        <v>318.21451000000002</v>
      </c>
      <c r="BW15" s="3466">
        <f>'[5]凯迪拉克（含分摊）'!BW15/10000</f>
        <v>325.11102599999998</v>
      </c>
      <c r="BX15" s="3466">
        <f>'[5]凯迪拉克（含分摊）'!BX15/10000</f>
        <v>305.11364100000003</v>
      </c>
      <c r="BY15" s="3466">
        <f>'[5]凯迪拉克（含分摊）'!BY15/10000</f>
        <v>297.51290799999998</v>
      </c>
      <c r="BZ15" s="3466">
        <f>'[5]凯迪拉克（含分摊）'!BZ15/10000</f>
        <v>402.68467400000003</v>
      </c>
      <c r="CA15" s="3466">
        <f>'[5]凯迪拉克（含分摊）'!CA15/10000</f>
        <v>693.93069677544599</v>
      </c>
      <c r="CB15" s="3466">
        <f t="shared" si="5"/>
        <v>4286.2896417754455</v>
      </c>
      <c r="CD15" s="3467">
        <f>CB15/CB5</f>
        <v>0.43017063283467749</v>
      </c>
    </row>
    <row r="16" spans="1:82">
      <c r="A16" s="3476"/>
      <c r="B16" s="3456" t="s">
        <v>3486</v>
      </c>
      <c r="C16" s="3457">
        <f>'[5]凯迪拉克（含分摊）'!C16/10000</f>
        <v>0</v>
      </c>
      <c r="D16" s="3457">
        <f>'[5]凯迪拉克（含分摊）'!D16/10000</f>
        <v>0</v>
      </c>
      <c r="E16" s="3457">
        <f>'[5]凯迪拉克（含分摊）'!E16/10000</f>
        <v>287.99571374999999</v>
      </c>
      <c r="F16" s="3457">
        <f>'[5]凯迪拉克（含分摊）'!F16/10000</f>
        <v>96.718553999999997</v>
      </c>
      <c r="G16" s="3457">
        <f>'[5]凯迪拉克（含分摊）'!G16/10000</f>
        <v>101.36294625000001</v>
      </c>
      <c r="H16" s="3457">
        <f>'[5]凯迪拉克（含分摊）'!H16/10000</f>
        <v>97.349183249999996</v>
      </c>
      <c r="I16" s="3457">
        <f>'[5]凯迪拉克（含分摊）'!I16/10000</f>
        <v>105.43531374999999</v>
      </c>
      <c r="J16" s="3457">
        <f>'[5]凯迪拉克（含分摊）'!J16/10000</f>
        <v>108.76927325</v>
      </c>
      <c r="K16" s="3457">
        <f>'[5]凯迪拉克（含分摊）'!K16/10000</f>
        <v>97.839310499999996</v>
      </c>
      <c r="L16" s="3457">
        <f>'[5]凯迪拉克（含分摊）'!L16/10000</f>
        <v>95.710369249999999</v>
      </c>
      <c r="M16" s="3457">
        <f>'[5]凯迪拉克（含分摊）'!M16/10000</f>
        <v>105.37982575000001</v>
      </c>
      <c r="N16" s="3457">
        <f>'[5]凯迪拉克（含分摊）'!N16/10000</f>
        <v>101.055222</v>
      </c>
      <c r="O16" s="3457">
        <f t="shared" si="0"/>
        <v>1197.6157117499997</v>
      </c>
      <c r="P16" s="3457">
        <f>'[5]凯迪拉克（含分摊）'!P16/10000</f>
        <v>69.615257</v>
      </c>
      <c r="Q16" s="3457">
        <f>'[5]凯迪拉克（含分摊）'!Q16/10000</f>
        <v>69.120288000000002</v>
      </c>
      <c r="R16" s="3457">
        <f>'[5]凯迪拉克（含分摊）'!R16/10000</f>
        <v>69.120288000000002</v>
      </c>
      <c r="S16" s="3457">
        <f>'[5]凯迪拉克（含分摊）'!S16/10000</f>
        <v>64.538554000000005</v>
      </c>
      <c r="T16" s="3457">
        <f>'[5]凯迪拉克（含分摊）'!T16/10000</f>
        <v>60.887</v>
      </c>
      <c r="U16" s="3457">
        <f>'[5]凯迪拉克（含分摊）'!U16/10000</f>
        <v>64.916747999999998</v>
      </c>
      <c r="V16" s="3457">
        <f>'[5]凯迪拉克（含分摊）'!V16/10000</f>
        <v>57.176245999999999</v>
      </c>
      <c r="W16" s="3457">
        <f>'[5]凯迪拉克（含分摊）'!W16/10000</f>
        <v>59.917165000000004</v>
      </c>
      <c r="X16" s="3457">
        <f>'[5]凯迪拉克（含分摊）'!X16/10000</f>
        <v>61.831830000000004</v>
      </c>
      <c r="Y16" s="3457">
        <f>'[5]凯迪拉克（含分摊）'!Y16/10000</f>
        <v>62.625140000000002</v>
      </c>
      <c r="Z16" s="3457">
        <f>'[5]凯迪拉克（含分摊）'!Z16/10000</f>
        <v>61.598594999999996</v>
      </c>
      <c r="AA16" s="3457">
        <f>'[5]凯迪拉克（含分摊）'!AA16/10000</f>
        <v>84.316350999999997</v>
      </c>
      <c r="AB16" s="3457">
        <f t="shared" si="1"/>
        <v>785.66346199999998</v>
      </c>
      <c r="AC16" s="3457">
        <f>'[5]凯迪拉克（含分摊）'!AC16/10000</f>
        <v>76.645645562499993</v>
      </c>
      <c r="AD16" s="3457">
        <f>'[5]凯迪拉克（含分摊）'!AD16/10000</f>
        <v>59.552953562500001</v>
      </c>
      <c r="AE16" s="3457">
        <f>'[5]凯迪拉克（含分摊）'!AE16/10000</f>
        <v>56.4166515625</v>
      </c>
      <c r="AF16" s="3457">
        <f>'[5]凯迪拉克（含分摊）'!AF16/10000</f>
        <v>57.593671562499992</v>
      </c>
      <c r="AG16" s="3457">
        <f>'[5]凯迪拉克（含分摊）'!AG16/10000</f>
        <v>58.1323395625</v>
      </c>
      <c r="AH16" s="3457">
        <f>'[5]凯迪拉克（含分摊）'!AH16/10000</f>
        <v>67.412035562499995</v>
      </c>
      <c r="AI16" s="3457">
        <f>'[5]凯迪拉克（含分摊）'!AI16/10000</f>
        <v>68.143369562499998</v>
      </c>
      <c r="AJ16" s="3457">
        <f>'[5]凯迪拉克（含分摊）'!AJ16/10000</f>
        <v>69.372818562500001</v>
      </c>
      <c r="AK16" s="3457">
        <f>'[5]凯迪拉克（含分摊）'!AK16/10000</f>
        <v>67.941003562500001</v>
      </c>
      <c r="AL16" s="3457">
        <f>'[5]凯迪拉克（含分摊）'!AL16/10000</f>
        <v>72.196803562500008</v>
      </c>
      <c r="AM16" s="3457">
        <f>'[5]凯迪拉克（含分摊）'!AM16/10000</f>
        <v>77.379216562500005</v>
      </c>
      <c r="AN16" s="3457">
        <f>'[5]凯迪拉克（含分摊）'!AN16/10000</f>
        <v>69.381046562499989</v>
      </c>
      <c r="AO16" s="3457">
        <f t="shared" si="2"/>
        <v>800.16755575000002</v>
      </c>
      <c r="AP16" s="3457">
        <f>'[5]凯迪拉克（含分摊）'!AP16/10000</f>
        <v>45.392422562500002</v>
      </c>
      <c r="AQ16" s="3457">
        <f>'[5]凯迪拉克（含分摊）'!AQ16/10000</f>
        <v>45.554932562499999</v>
      </c>
      <c r="AR16" s="3457">
        <f>'[5]凯迪拉克（含分摊）'!AR16/10000</f>
        <v>38.273485562499999</v>
      </c>
      <c r="AS16" s="3457">
        <f>'[5]凯迪拉克（含分摊）'!AS16/10000</f>
        <v>38.227794000000003</v>
      </c>
      <c r="AT16" s="3457">
        <f>'[5]凯迪拉克（含分摊）'!AT16/10000</f>
        <v>35.343509999999995</v>
      </c>
      <c r="AU16" s="3457">
        <f>'[5]凯迪拉克（含分摊）'!AU16/10000</f>
        <v>30.799862000000001</v>
      </c>
      <c r="AV16" s="3457">
        <f>'[5]凯迪拉克（含分摊）'!AV16/10000</f>
        <v>31.180590000000002</v>
      </c>
      <c r="AW16" s="3457">
        <f>'[5]凯迪拉克（含分摊）'!AW16/10000</f>
        <v>37.540845000000004</v>
      </c>
      <c r="AX16" s="3457">
        <f>'[5]凯迪拉克（含分摊）'!AX16/10000</f>
        <v>31.07085</v>
      </c>
      <c r="AY16" s="3457">
        <f>'[5]凯迪拉克（含分摊）'!AY16/10000</f>
        <v>31.252603000000004</v>
      </c>
      <c r="AZ16" s="3457">
        <f>'[5]凯迪拉克（含分摊）'!AZ16/10000</f>
        <v>35.352623999999999</v>
      </c>
      <c r="BA16" s="3457">
        <f>'[5]凯迪拉克（含分摊）'!BA16/10000</f>
        <v>33.526530999999999</v>
      </c>
      <c r="BB16" s="3457">
        <f t="shared" si="3"/>
        <v>433.51604968750001</v>
      </c>
      <c r="BC16" s="3457">
        <f>'[5]凯迪拉克（含分摊）'!BC16/10000</f>
        <v>69.621065999999999</v>
      </c>
      <c r="BD16" s="3457">
        <f>'[5]凯迪拉克（含分摊）'!BD16/10000</f>
        <v>3.0916130000000002</v>
      </c>
      <c r="BE16" s="3457">
        <f>'[5]凯迪拉克（含分摊）'!BE16/10000</f>
        <v>43.688980000000001</v>
      </c>
      <c r="BF16" s="3457">
        <f>'[5]凯迪拉克（含分摊）'!BF16/10000</f>
        <v>23.329289000000003</v>
      </c>
      <c r="BG16" s="3457">
        <f>'[5]凯迪拉克（含分摊）'!BG16/10000</f>
        <v>49.275002000000001</v>
      </c>
      <c r="BH16" s="3457">
        <f>'[5]凯迪拉克（含分摊）'!BH16/10000</f>
        <v>27.239166999999998</v>
      </c>
      <c r="BI16" s="3457">
        <f>'[5]凯迪拉克（含分摊）'!BI16/10000</f>
        <v>12.485299000000001</v>
      </c>
      <c r="BJ16" s="3457">
        <f>'[5]凯迪拉克（含分摊）'!BJ16/10000</f>
        <v>43.104296999999995</v>
      </c>
      <c r="BK16" s="3457">
        <f>'[5]凯迪拉克（含分摊）'!BK16/10000</f>
        <v>13.616782000000001</v>
      </c>
      <c r="BL16" s="3457">
        <f>'[5]凯迪拉克（含分摊）'!BL16/10000</f>
        <v>12.833254</v>
      </c>
      <c r="BM16" s="3457">
        <f>'[5]凯迪拉克（含分摊）'!BM16/10000</f>
        <v>12.250960000000001</v>
      </c>
      <c r="BN16" s="3457">
        <f>'[5]凯迪拉克（含分摊）'!BN16/10000</f>
        <v>11.301208000000001</v>
      </c>
      <c r="BO16" s="3457">
        <f t="shared" si="4"/>
        <v>321.83691700000003</v>
      </c>
      <c r="BP16" s="3457">
        <f>'[5]凯迪拉克（含分摊）'!BP16/10000</f>
        <v>40.556511</v>
      </c>
      <c r="BQ16" s="3457">
        <f>'[5]凯迪拉克（含分摊）'!BQ16/10000</f>
        <v>27.481956</v>
      </c>
      <c r="BR16" s="3457">
        <f>'[5]凯迪拉克（含分摊）'!BR16/10000</f>
        <v>17.839841</v>
      </c>
      <c r="BS16" s="3457">
        <f>'[5]凯迪拉克（含分摊）'!BS16/10000</f>
        <v>19.480129000000002</v>
      </c>
      <c r="BT16" s="3457">
        <f>'[5]凯迪拉克（含分摊）'!BT16/10000</f>
        <v>19.029314000000003</v>
      </c>
      <c r="BU16" s="3457">
        <f>'[5]凯迪拉克（含分摊）'!BU16/10000</f>
        <v>17.511938000000001</v>
      </c>
      <c r="BV16" s="3457">
        <f>'[5]凯迪拉克（含分摊）'!BV16/10000</f>
        <v>16.893735999999997</v>
      </c>
      <c r="BW16" s="3457">
        <f>'[5]凯迪拉克（含分摊）'!BW16/10000</f>
        <v>33.064527000000005</v>
      </c>
      <c r="BX16" s="3457">
        <f>'[5]凯迪拉克（含分摊）'!BX16/10000</f>
        <v>26.764527000000001</v>
      </c>
      <c r="BY16" s="3457">
        <f>'[5]凯迪拉克（含分摊）'!BY16/10000</f>
        <v>17.246886</v>
      </c>
      <c r="BZ16" s="3457">
        <f>'[5]凯迪拉克（含分摊）'!BZ16/10000</f>
        <v>16.389351000000001</v>
      </c>
      <c r="CA16" s="3457">
        <f>'[5]凯迪拉克（含分摊）'!CA16/10000</f>
        <v>16.886430666666698</v>
      </c>
      <c r="CB16" s="3457">
        <f t="shared" si="5"/>
        <v>269.14514666666668</v>
      </c>
    </row>
    <row r="17" spans="1:80">
      <c r="A17" s="3476"/>
      <c r="B17" s="3456" t="s">
        <v>3487</v>
      </c>
      <c r="C17" s="3457">
        <f>'[5]凯迪拉克（含分摊）'!C17/10000</f>
        <v>0</v>
      </c>
      <c r="D17" s="3457">
        <f>'[5]凯迪拉克（含分摊）'!D17/10000</f>
        <v>0</v>
      </c>
      <c r="E17" s="3457">
        <f>'[5]凯迪拉克（含分摊）'!E17/10000</f>
        <v>44.411196999999994</v>
      </c>
      <c r="F17" s="3457">
        <f>'[5]凯迪拉克（含分摊）'!F17/10000</f>
        <v>23.602749499999998</v>
      </c>
      <c r="G17" s="3457">
        <f>'[5]凯迪拉克（含分摊）'!G17/10000</f>
        <v>4.6453907499999998</v>
      </c>
      <c r="H17" s="3457">
        <f>'[5]凯迪拉克（含分摊）'!H17/10000</f>
        <v>29.739242749999999</v>
      </c>
      <c r="I17" s="3457">
        <f>'[5]凯迪拉克（含分摊）'!I17/10000</f>
        <v>13.09834725</v>
      </c>
      <c r="J17" s="3457">
        <f>'[5]凯迪拉克（含分摊）'!J17/10000</f>
        <v>30.115246500000001</v>
      </c>
      <c r="K17" s="3457">
        <f>'[5]凯迪拉克（含分摊）'!K17/10000</f>
        <v>22.542290749999999</v>
      </c>
      <c r="L17" s="3457">
        <f>'[5]凯迪拉克（含分摊）'!L17/10000</f>
        <v>91.600212749999997</v>
      </c>
      <c r="M17" s="3457">
        <f>'[5]凯迪拉克（含分摊）'!M17/10000</f>
        <v>154.67396625000001</v>
      </c>
      <c r="N17" s="3457">
        <f>'[5]凯迪拉克（含分摊）'!N17/10000</f>
        <v>87.732586999999995</v>
      </c>
      <c r="O17" s="3457">
        <f t="shared" si="0"/>
        <v>502.16123049999999</v>
      </c>
      <c r="P17" s="3457">
        <f>'[5]凯迪拉克（含分摊）'!P17/10000</f>
        <v>20.459526999999998</v>
      </c>
      <c r="Q17" s="3457">
        <f>'[5]凯迪拉克（含分摊）'!Q17/10000</f>
        <v>21.994726999999997</v>
      </c>
      <c r="R17" s="3457">
        <f>'[5]凯迪拉克（含分摊）'!R17/10000</f>
        <v>20.052726999999997</v>
      </c>
      <c r="S17" s="3457">
        <f>'[5]凯迪拉克（含分摊）'!S17/10000</f>
        <v>17.683986999999998</v>
      </c>
      <c r="T17" s="3457">
        <f>'[5]凯迪拉克（含分摊）'!T17/10000</f>
        <v>21.275251000000001</v>
      </c>
      <c r="U17" s="3457">
        <f>'[5]凯迪拉克（含分摊）'!U17/10000</f>
        <v>20.955967000000001</v>
      </c>
      <c r="V17" s="3457">
        <f>'[5]凯迪拉克（含分摊）'!V17/10000</f>
        <v>109.12525100000001</v>
      </c>
      <c r="W17" s="3457">
        <f>'[5]凯迪拉克（含分摊）'!W17/10000</f>
        <v>33.656234999999995</v>
      </c>
      <c r="X17" s="3457">
        <f>'[5]凯迪拉克（含分摊）'!X17/10000</f>
        <v>19.959284</v>
      </c>
      <c r="Y17" s="3457">
        <f>'[5]凯迪拉克（含分摊）'!Y17/10000</f>
        <v>20.668537000000001</v>
      </c>
      <c r="Z17" s="3457">
        <f>'[5]凯迪拉克（含分摊）'!Z17/10000</f>
        <v>21.674437000000001</v>
      </c>
      <c r="AA17" s="3457">
        <f>'[5]凯迪拉克（含分摊）'!AA17/10000</f>
        <v>32.817213000000002</v>
      </c>
      <c r="AB17" s="3457">
        <f t="shared" si="1"/>
        <v>360.32314300000002</v>
      </c>
      <c r="AC17" s="3457">
        <f>'[5]凯迪拉克（含分摊）'!AC17/10000</f>
        <v>7.0911919374999997</v>
      </c>
      <c r="AD17" s="3457">
        <f>'[5]凯迪拉克（含分摊）'!AD17/10000</f>
        <v>6.9722919374999996</v>
      </c>
      <c r="AE17" s="3457">
        <f>'[5]凯迪拉克（含分摊）'!AE17/10000</f>
        <v>6.9722919374999996</v>
      </c>
      <c r="AF17" s="3457">
        <f>'[5]凯迪拉克（含分摊）'!AF17/10000</f>
        <v>6.9722919374999996</v>
      </c>
      <c r="AG17" s="3457">
        <f>'[5]凯迪拉克（含分摊）'!AG17/10000</f>
        <v>6.3098439375000002</v>
      </c>
      <c r="AH17" s="3457">
        <f>'[5]凯迪拉克（含分摊）'!AH17/10000</f>
        <v>7.4652619374999993</v>
      </c>
      <c r="AI17" s="3457">
        <f>'[5]凯迪拉克（含分摊）'!AI17/10000</f>
        <v>7.0971919374999999</v>
      </c>
      <c r="AJ17" s="3457">
        <f>'[5]凯迪拉克（含分摊）'!AJ17/10000</f>
        <v>7.2136919375000002</v>
      </c>
      <c r="AK17" s="3457">
        <f>'[5]凯迪拉克（含分摊）'!AK17/10000</f>
        <v>7.0869479374999997</v>
      </c>
      <c r="AL17" s="3457">
        <f>'[5]凯迪拉克（含分摊）'!AL17/10000</f>
        <v>7.2462919374999997</v>
      </c>
      <c r="AM17" s="3457">
        <f>'[5]凯迪拉克（含分摊）'!AM17/10000</f>
        <v>7.1944019375000003</v>
      </c>
      <c r="AN17" s="3457">
        <f>'[5]凯迪拉克（含分摊）'!AN17/10000</f>
        <v>7.4759419375</v>
      </c>
      <c r="AO17" s="3457">
        <f t="shared" si="2"/>
        <v>85.097641250000009</v>
      </c>
      <c r="AP17" s="3457">
        <f>'[5]凯迪拉克（含分摊）'!AP17/10000</f>
        <v>1.4344919375</v>
      </c>
      <c r="AQ17" s="3457">
        <f>'[5]凯迪拉克（含分摊）'!AQ17/10000</f>
        <v>1.4581529375</v>
      </c>
      <c r="AR17" s="3457">
        <f>'[5]凯迪拉克（含分摊）'!AR17/10000</f>
        <v>1.4646019374999999</v>
      </c>
      <c r="AS17" s="3457">
        <f>'[5]凯迪拉克（含分摊）'!AS17/10000</f>
        <v>0</v>
      </c>
      <c r="AT17" s="3457">
        <f>'[5]凯迪拉克（含分摊）'!AT17/10000</f>
        <v>5.0506599999999997</v>
      </c>
      <c r="AU17" s="3457">
        <f>'[5]凯迪拉克（含分摊）'!AU17/10000</f>
        <v>6.9118759999999995</v>
      </c>
      <c r="AV17" s="3457">
        <f>'[5]凯迪拉克（含分摊）'!AV17/10000</f>
        <v>1.2780670000000001</v>
      </c>
      <c r="AW17" s="3457">
        <f>'[5]凯迪拉克（含分摊）'!AW17/10000</f>
        <v>7.1695229999999999</v>
      </c>
      <c r="AX17" s="3457">
        <f>'[5]凯迪拉克（含分摊）'!AX17/10000</f>
        <v>9.2460649999999998</v>
      </c>
      <c r="AY17" s="3457">
        <f>'[5]凯迪拉克（含分摊）'!AY17/10000</f>
        <v>0.34927900000000001</v>
      </c>
      <c r="AZ17" s="3457">
        <f>'[5]凯迪拉克（含分摊）'!AZ17/10000</f>
        <v>6.7860420000000001</v>
      </c>
      <c r="BA17" s="3457">
        <f>'[5]凯迪拉克（含分摊）'!BA17/10000</f>
        <v>5.8075939999999999</v>
      </c>
      <c r="BB17" s="3457">
        <f t="shared" si="3"/>
        <v>46.956352812500008</v>
      </c>
      <c r="BC17" s="3457">
        <f>'[5]凯迪拉克（含分摊）'!BC17/10000</f>
        <v>5.8914000000000001E-2</v>
      </c>
      <c r="BD17" s="3457">
        <f>'[5]凯迪拉克（含分摊）'!BD17/10000</f>
        <v>0.266206</v>
      </c>
      <c r="BE17" s="3457">
        <f>'[5]凯迪拉克（含分摊）'!BE17/10000</f>
        <v>0.28154400000000002</v>
      </c>
      <c r="BF17" s="3457">
        <f>'[5]凯迪拉克（含分摊）'!BF17/10000</f>
        <v>1.7096340000000001</v>
      </c>
      <c r="BG17" s="3457">
        <f>'[5]凯迪拉克（含分摊）'!BG17/10000</f>
        <v>0.8536450000000001</v>
      </c>
      <c r="BH17" s="3457">
        <f>'[5]凯迪拉克（含分摊）'!BH17/10000</f>
        <v>0.215473</v>
      </c>
      <c r="BI17" s="3457">
        <f>'[5]凯迪拉克（含分摊）'!BI17/10000</f>
        <v>0.64786200000000094</v>
      </c>
      <c r="BJ17" s="3457">
        <f>'[5]凯迪拉克（含分摊）'!BJ17/10000</f>
        <v>0.32436800000000099</v>
      </c>
      <c r="BK17" s="3457">
        <f>'[5]凯迪拉克（含分摊）'!BK17/10000</f>
        <v>0.23551100000000302</v>
      </c>
      <c r="BL17" s="3457">
        <f>'[5]凯迪拉克（含分摊）'!BL17/10000</f>
        <v>0.67250600000000005</v>
      </c>
      <c r="BM17" s="3457">
        <f>'[5]凯迪拉克（含分摊）'!BM17/10000</f>
        <v>0.209479000000004</v>
      </c>
      <c r="BN17" s="3457">
        <f>'[5]凯迪拉克（含分摊）'!BN17/10000</f>
        <v>0.38401399999999997</v>
      </c>
      <c r="BO17" s="3457">
        <f t="shared" si="4"/>
        <v>5.8591560000000094</v>
      </c>
      <c r="BP17" s="3457">
        <f>'[5]凯迪拉克（含分摊）'!BP17/10000</f>
        <v>0.39819599999999999</v>
      </c>
      <c r="BQ17" s="3457">
        <f>'[5]凯迪拉克（含分摊）'!BQ17/10000</f>
        <v>8.0000000000000002E-3</v>
      </c>
      <c r="BR17" s="3457">
        <f>'[5]凯迪拉克（含分摊）'!BR17/10000</f>
        <v>0.29139799999999999</v>
      </c>
      <c r="BS17" s="3457">
        <f>'[5]凯迪拉克（含分摊）'!BS17/10000</f>
        <v>0.384496</v>
      </c>
      <c r="BT17" s="3457">
        <f>'[5]凯迪拉克（含分摊）'!BT17/10000</f>
        <v>0.30913299999999999</v>
      </c>
      <c r="BU17" s="3457">
        <f>'[5]凯迪拉克（含分摊）'!BU17/10000</f>
        <v>0.20957899999999999</v>
      </c>
      <c r="BV17" s="3457">
        <f>'[5]凯迪拉克（含分摊）'!BV17/10000</f>
        <v>5.96E-2</v>
      </c>
      <c r="BW17" s="3457">
        <f>'[5]凯迪拉克（含分摊）'!BW17/10000</f>
        <v>0.234796</v>
      </c>
      <c r="BX17" s="3457">
        <f>'[5]凯迪拉克（含分摊）'!BX17/10000</f>
        <v>0.80694500000000002</v>
      </c>
      <c r="BY17" s="3457">
        <f>'[5]凯迪拉克（含分摊）'!BY17/10000</f>
        <v>0.15674000000000002</v>
      </c>
      <c r="BZ17" s="3457">
        <f>'[5]凯迪拉克（含分摊）'!BZ17/10000</f>
        <v>0.17624300000000001</v>
      </c>
      <c r="CA17" s="3457">
        <f>'[5]凯迪拉克（含分摊）'!CA17/10000</f>
        <v>0.29970000000000002</v>
      </c>
      <c r="CB17" s="3457">
        <f t="shared" si="5"/>
        <v>3.3348260000000005</v>
      </c>
    </row>
    <row r="18" spans="1:80">
      <c r="A18" s="3476"/>
      <c r="B18" s="3456" t="s">
        <v>3488</v>
      </c>
      <c r="C18" s="3457">
        <f>'[5]凯迪拉克（含分摊）'!C18/10000</f>
        <v>0</v>
      </c>
      <c r="D18" s="3457">
        <f>'[5]凯迪拉克（含分摊）'!D18/10000</f>
        <v>0</v>
      </c>
      <c r="E18" s="3457">
        <f>'[5]凯迪拉克（含分摊）'!E18/10000</f>
        <v>0.9130950000000001</v>
      </c>
      <c r="F18" s="3457">
        <f>'[5]凯迪拉克（含分摊）'!F18/10000</f>
        <v>-1.988809</v>
      </c>
      <c r="G18" s="3457">
        <f>'[5]凯迪拉克（含分摊）'!G18/10000</f>
        <v>0</v>
      </c>
      <c r="H18" s="3457">
        <f>'[5]凯迪拉克（含分摊）'!H18/10000</f>
        <v>57.701516000000005</v>
      </c>
      <c r="I18" s="3457">
        <f>'[5]凯迪拉克（含分摊）'!I18/10000</f>
        <v>-16.359223</v>
      </c>
      <c r="J18" s="3457">
        <f>'[5]凯迪拉克（含分摊）'!J18/10000</f>
        <v>236.11500000000001</v>
      </c>
      <c r="K18" s="3457">
        <f>'[5]凯迪拉克（含分摊）'!K18/10000</f>
        <v>453.81088600000004</v>
      </c>
      <c r="L18" s="3457">
        <f>'[5]凯迪拉克（含分摊）'!L18/10000</f>
        <v>-499.57589000000002</v>
      </c>
      <c r="M18" s="3457">
        <f>'[5]凯迪拉克（含分摊）'!M18/10000</f>
        <v>241.335533</v>
      </c>
      <c r="N18" s="3457">
        <f>'[5]凯迪拉克（含分摊）'!N18/10000</f>
        <v>94.108761999999999</v>
      </c>
      <c r="O18" s="3457">
        <f t="shared" si="0"/>
        <v>566.06087000000002</v>
      </c>
      <c r="P18" s="3457">
        <f>'[5]凯迪拉克（含分摊）'!P18/10000</f>
        <v>-28.481978000000002</v>
      </c>
      <c r="Q18" s="3457">
        <f>'[5]凯迪拉克（含分摊）'!Q18/10000</f>
        <v>5.53</v>
      </c>
      <c r="R18" s="3457">
        <f>'[5]凯迪拉克（含分摊）'!R18/10000</f>
        <v>0</v>
      </c>
      <c r="S18" s="3457">
        <f>'[5]凯迪拉克（含分摊）'!S18/10000</f>
        <v>-1.5342979999999999</v>
      </c>
      <c r="T18" s="3457">
        <f>'[5]凯迪拉克（含分摊）'!T18/10000</f>
        <v>162.073666</v>
      </c>
      <c r="U18" s="3457">
        <f>'[5]凯迪拉克（含分摊）'!U18/10000</f>
        <v>4.3271550000000003</v>
      </c>
      <c r="V18" s="3457">
        <f>'[5]凯迪拉克（含分摊）'!V18/10000</f>
        <v>0</v>
      </c>
      <c r="W18" s="3457">
        <f>'[5]凯迪拉克（含分摊）'!W18/10000</f>
        <v>111.68999699999999</v>
      </c>
      <c r="X18" s="3457">
        <f>'[5]凯迪拉克（含分摊）'!X18/10000</f>
        <v>42.672857</v>
      </c>
      <c r="Y18" s="3457">
        <f>'[5]凯迪拉克（含分摊）'!Y18/10000</f>
        <v>4.7437469999999999</v>
      </c>
      <c r="Z18" s="3457">
        <f>'[5]凯迪拉克（含分摊）'!Z18/10000</f>
        <v>111.31513899999999</v>
      </c>
      <c r="AA18" s="3457">
        <f>'[5]凯迪拉克（含分摊）'!AA18/10000</f>
        <v>370.569569</v>
      </c>
      <c r="AB18" s="3457">
        <f t="shared" si="1"/>
        <v>782.90585399999998</v>
      </c>
      <c r="AC18" s="3457">
        <f>'[5]凯迪拉克（含分摊）'!AC18/10000</f>
        <v>0</v>
      </c>
      <c r="AD18" s="3457">
        <f>'[5]凯迪拉克（含分摊）'!AD18/10000</f>
        <v>0</v>
      </c>
      <c r="AE18" s="3457">
        <f>'[5]凯迪拉克（含分摊）'!AE18/10000</f>
        <v>0</v>
      </c>
      <c r="AF18" s="3457">
        <f>'[5]凯迪拉克（含分摊）'!AF18/10000</f>
        <v>0</v>
      </c>
      <c r="AG18" s="3457">
        <f>'[5]凯迪拉克（含分摊）'!AG18/10000</f>
        <v>0</v>
      </c>
      <c r="AH18" s="3457">
        <f>'[5]凯迪拉克（含分摊）'!AH18/10000</f>
        <v>0</v>
      </c>
      <c r="AI18" s="3457">
        <f>'[5]凯迪拉克（含分摊）'!AI18/10000</f>
        <v>25.137905</v>
      </c>
      <c r="AJ18" s="3457">
        <f>'[5]凯迪拉克（含分摊）'!AJ18/10000</f>
        <v>8.9280089999999994</v>
      </c>
      <c r="AK18" s="3457">
        <f>'[5]凯迪拉克（含分摊）'!AK18/10000</f>
        <v>0</v>
      </c>
      <c r="AL18" s="3457">
        <f>'[5]凯迪拉克（含分摊）'!AL18/10000</f>
        <v>52.47</v>
      </c>
      <c r="AM18" s="3457">
        <f>'[5]凯迪拉克（含分摊）'!AM18/10000</f>
        <v>-1.3207549999999999</v>
      </c>
      <c r="AN18" s="3457">
        <f>'[5]凯迪拉克（含分摊）'!AN18/10000</f>
        <v>44.15204</v>
      </c>
      <c r="AO18" s="3457">
        <f t="shared" si="2"/>
        <v>129.36719899999997</v>
      </c>
      <c r="AP18" s="3457">
        <f>'[5]凯迪拉克（含分摊）'!AP18/10000</f>
        <v>-2.970002</v>
      </c>
      <c r="AQ18" s="3457">
        <f>'[5]凯迪拉克（含分摊）'!AQ18/10000</f>
        <v>0</v>
      </c>
      <c r="AR18" s="3457">
        <f>'[5]凯迪拉克（含分摊）'!AR18/10000</f>
        <v>-6.0142530000000001</v>
      </c>
      <c r="AS18" s="3457">
        <f>'[5]凯迪拉克（含分摊）'!AS18/10000</f>
        <v>0</v>
      </c>
      <c r="AT18" s="3457">
        <f>'[5]凯迪拉克（含分摊）'!AT18/10000</f>
        <v>25.345970000000001</v>
      </c>
      <c r="AU18" s="3457">
        <f>'[5]凯迪拉克（含分摊）'!AU18/10000</f>
        <v>35.011233000000004</v>
      </c>
      <c r="AV18" s="3457">
        <f>'[5]凯迪拉克（含分摊）'!AV18/10000</f>
        <v>0</v>
      </c>
      <c r="AW18" s="3457">
        <f>'[5]凯迪拉克（含分摊）'!AW18/10000</f>
        <v>0</v>
      </c>
      <c r="AX18" s="3457">
        <f>'[5]凯迪拉克（含分摊）'!AX18/10000</f>
        <v>0</v>
      </c>
      <c r="AY18" s="3457">
        <f>'[5]凯迪拉克（含分摊）'!AY18/10000</f>
        <v>0</v>
      </c>
      <c r="AZ18" s="3457">
        <f>'[5]凯迪拉克（含分摊）'!AZ18/10000</f>
        <v>0</v>
      </c>
      <c r="BA18" s="3457">
        <f>'[5]凯迪拉克（含分摊）'!BA18/10000</f>
        <v>0</v>
      </c>
      <c r="BB18" s="3457">
        <f t="shared" si="3"/>
        <v>51.372948000000008</v>
      </c>
      <c r="BC18" s="3457">
        <f>'[5]凯迪拉克（含分摊）'!BC18/10000</f>
        <v>0</v>
      </c>
      <c r="BD18" s="3457">
        <f>'[5]凯迪拉克（含分摊）'!BD18/10000</f>
        <v>0</v>
      </c>
      <c r="BE18" s="3457">
        <f>'[5]凯迪拉克（含分摊）'!BE18/10000</f>
        <v>0</v>
      </c>
      <c r="BF18" s="3457">
        <f>'[5]凯迪拉克（含分摊）'!BF18/10000</f>
        <v>0</v>
      </c>
      <c r="BG18" s="3457">
        <f>'[5]凯迪拉克（含分摊）'!BG18/10000</f>
        <v>0</v>
      </c>
      <c r="BH18" s="3457">
        <f>'[5]凯迪拉克（含分摊）'!BH18/10000</f>
        <v>0</v>
      </c>
      <c r="BI18" s="3457">
        <f>'[5]凯迪拉克（含分摊）'!BI18/10000</f>
        <v>0</v>
      </c>
      <c r="BJ18" s="3457">
        <f>'[5]凯迪拉克（含分摊）'!BJ18/10000</f>
        <v>0</v>
      </c>
      <c r="BK18" s="3457">
        <f>'[5]凯迪拉克（含分摊）'!BK18/10000</f>
        <v>0</v>
      </c>
      <c r="BL18" s="3457">
        <f>'[5]凯迪拉克（含分摊）'!BL18/10000</f>
        <v>0</v>
      </c>
      <c r="BM18" s="3457">
        <f>'[5]凯迪拉克（含分摊）'!BM18/10000</f>
        <v>0</v>
      </c>
      <c r="BN18" s="3457">
        <f>'[5]凯迪拉克（含分摊）'!BN18/10000</f>
        <v>0</v>
      </c>
      <c r="BO18" s="3457">
        <f t="shared" si="4"/>
        <v>0</v>
      </c>
      <c r="BP18" s="3457">
        <f>'[5]凯迪拉克（含分摊）'!BP18/10000</f>
        <v>0</v>
      </c>
      <c r="BQ18" s="3457">
        <f>'[5]凯迪拉克（含分摊）'!BQ18/10000</f>
        <v>0</v>
      </c>
      <c r="BR18" s="3457">
        <f>'[5]凯迪拉克（含分摊）'!BR18/10000</f>
        <v>0</v>
      </c>
      <c r="BS18" s="3457">
        <f>'[5]凯迪拉克（含分摊）'!BS18/10000</f>
        <v>2.6539200000000003</v>
      </c>
      <c r="BT18" s="3457">
        <f>'[5]凯迪拉克（含分摊）'!BT18/10000</f>
        <v>3.9719000000000002</v>
      </c>
      <c r="BU18" s="3457">
        <f>'[5]凯迪拉克（含分摊）'!BU18/10000</f>
        <v>0</v>
      </c>
      <c r="BV18" s="3457">
        <f>'[5]凯迪拉克（含分摊）'!BV18/10000</f>
        <v>0</v>
      </c>
      <c r="BW18" s="3457">
        <f>'[5]凯迪拉克（含分摊）'!BW18/10000</f>
        <v>4.1254280000000003</v>
      </c>
      <c r="BX18" s="3457">
        <f>'[5]凯迪拉克（含分摊）'!BX18/10000</f>
        <v>0</v>
      </c>
      <c r="BY18" s="3457">
        <f>'[5]凯迪拉克（含分摊）'!BY18/10000</f>
        <v>0</v>
      </c>
      <c r="BZ18" s="3457">
        <f>'[5]凯迪拉克（含分摊）'!BZ18/10000</f>
        <v>18.571428000000001</v>
      </c>
      <c r="CA18" s="3457">
        <f>'[5]凯迪拉克（含分摊）'!CA18/10000</f>
        <v>146.19036399999999</v>
      </c>
      <c r="CB18" s="3457">
        <f t="shared" si="5"/>
        <v>175.51303999999999</v>
      </c>
    </row>
    <row r="19" spans="1:80">
      <c r="A19" s="3476"/>
      <c r="B19" s="3456" t="s">
        <v>3489</v>
      </c>
      <c r="C19" s="3457">
        <f>'[5]凯迪拉克（含分摊）'!C19/10000</f>
        <v>47.119149999999998</v>
      </c>
      <c r="D19" s="3457">
        <f>'[5]凯迪拉克（含分摊）'!D19/10000</f>
        <v>45.691175999999999</v>
      </c>
      <c r="E19" s="3457">
        <f>'[5]凯迪拉克（含分摊）'!E19/10000</f>
        <v>47.204349000000001</v>
      </c>
      <c r="F19" s="3457">
        <f>'[5]凯迪拉克（含分摊）'!F19/10000</f>
        <v>50.353487000000001</v>
      </c>
      <c r="G19" s="3457">
        <f>'[5]凯迪拉克（含分摊）'!G19/10000</f>
        <v>47.599916</v>
      </c>
      <c r="H19" s="3457">
        <f>'[5]凯迪拉克（含分摊）'!H19/10000</f>
        <v>48.098692</v>
      </c>
      <c r="I19" s="3457">
        <f>'[5]凯迪拉克（含分摊）'!I19/10000</f>
        <v>47.933638000000002</v>
      </c>
      <c r="J19" s="3457">
        <f>'[5]凯迪拉克（含分摊）'!J19/10000</f>
        <v>130.17133100000001</v>
      </c>
      <c r="K19" s="3457">
        <f>'[5]凯迪拉克（含分摊）'!K19/10000</f>
        <v>85.606199000000004</v>
      </c>
      <c r="L19" s="3457">
        <f>'[5]凯迪拉克（含分摊）'!L19/10000</f>
        <v>79.560493999999991</v>
      </c>
      <c r="M19" s="3457">
        <f>'[5]凯迪拉克（含分摊）'!M19/10000</f>
        <v>63.007061999999998</v>
      </c>
      <c r="N19" s="3457">
        <f>'[5]凯迪拉克（含分摊）'!N19/10000</f>
        <v>81.436981000000003</v>
      </c>
      <c r="O19" s="3457">
        <f t="shared" si="0"/>
        <v>773.78247499999998</v>
      </c>
      <c r="P19" s="3457">
        <f>'[5]凯迪拉克（含分摊）'!P19/10000</f>
        <v>50.543644</v>
      </c>
      <c r="Q19" s="3457">
        <f>'[5]凯迪拉克（含分摊）'!Q19/10000</f>
        <v>46.982697999999999</v>
      </c>
      <c r="R19" s="3457">
        <f>'[5]凯迪拉克（含分摊）'!R19/10000</f>
        <v>65.589030000000008</v>
      </c>
      <c r="S19" s="3457">
        <f>'[5]凯迪拉克（含分摊）'!S19/10000</f>
        <v>46.282178999999999</v>
      </c>
      <c r="T19" s="3457">
        <f>'[5]凯迪拉克（含分摊）'!T19/10000</f>
        <v>89.10233199999999</v>
      </c>
      <c r="U19" s="3457">
        <f>'[5]凯迪拉克（含分摊）'!U19/10000</f>
        <v>49.478485999999997</v>
      </c>
      <c r="V19" s="3457">
        <f>'[5]凯迪拉克（含分摊）'!V19/10000</f>
        <v>87.077658999999997</v>
      </c>
      <c r="W19" s="3457">
        <f>'[5]凯迪拉克（含分摊）'!W19/10000</f>
        <v>51.736933000000001</v>
      </c>
      <c r="X19" s="3457">
        <f>'[5]凯迪拉克（含分摊）'!X19/10000</f>
        <v>-511.55033399999996</v>
      </c>
      <c r="Y19" s="3457">
        <f>'[5]凯迪拉克（含分摊）'!Y19/10000</f>
        <v>52.336309</v>
      </c>
      <c r="Z19" s="3457">
        <f>'[5]凯迪拉克（含分摊）'!Z19/10000</f>
        <v>107.519127</v>
      </c>
      <c r="AA19" s="3457">
        <f>'[5]凯迪拉克（含分摊）'!AA19/10000</f>
        <v>66.819383000000002</v>
      </c>
      <c r="AB19" s="3457">
        <f t="shared" si="1"/>
        <v>201.91744600000004</v>
      </c>
      <c r="AC19" s="3457">
        <f>'[5]凯迪拉克（含分摊）'!AC19/10000</f>
        <v>46.167566000000001</v>
      </c>
      <c r="AD19" s="3457">
        <f>'[5]凯迪拉克（含分摊）'!AD19/10000</f>
        <v>43.124982000000003</v>
      </c>
      <c r="AE19" s="3457">
        <f>'[5]凯迪拉克（含分摊）'!AE19/10000</f>
        <v>44.173058000000005</v>
      </c>
      <c r="AF19" s="3457">
        <f>'[5]凯迪拉克（含分摊）'!AF19/10000</f>
        <v>62.849038</v>
      </c>
      <c r="AG19" s="3457">
        <f>'[5]凯迪拉克（含分摊）'!AG19/10000</f>
        <v>43.143809000000005</v>
      </c>
      <c r="AH19" s="3457">
        <f>'[5]凯迪拉克（含分摊）'!AH19/10000</f>
        <v>43.523254000000001</v>
      </c>
      <c r="AI19" s="3457">
        <f>'[5]凯迪拉克（含分摊）'!AI19/10000</f>
        <v>43.124982000000003</v>
      </c>
      <c r="AJ19" s="3457">
        <f>'[5]凯迪拉克（含分摊）'!AJ19/10000</f>
        <v>36.667417</v>
      </c>
      <c r="AK19" s="3457">
        <f>'[5]凯迪拉克（含分摊）'!AK19/10000</f>
        <v>43.741956999999999</v>
      </c>
      <c r="AL19" s="3457">
        <f>'[5]凯迪拉克（含分摊）'!AL19/10000</f>
        <v>43.999020999999999</v>
      </c>
      <c r="AM19" s="3457">
        <f>'[5]凯迪拉克（含分摊）'!AM19/10000</f>
        <v>48.456206000000002</v>
      </c>
      <c r="AN19" s="3457">
        <f>'[5]凯迪拉克（含分摊）'!AN19/10000</f>
        <v>-571.81950300000005</v>
      </c>
      <c r="AO19" s="3457">
        <f t="shared" si="2"/>
        <v>-72.848213000000044</v>
      </c>
      <c r="AP19" s="3457">
        <f>'[5]凯迪拉克（含分摊）'!AP19/10000</f>
        <v>89.157655000000005</v>
      </c>
      <c r="AQ19" s="3457">
        <f>'[5]凯迪拉克（含分摊）'!AQ19/10000</f>
        <v>86.249964000000006</v>
      </c>
      <c r="AR19" s="3457">
        <f>'[5]凯迪拉克（含分摊）'!AR19/10000</f>
        <v>86.249964000000006</v>
      </c>
      <c r="AS19" s="3457">
        <f>'[5]凯迪拉克（含分摊）'!AS19/10000</f>
        <v>86.249964000000006</v>
      </c>
      <c r="AT19" s="3457">
        <f>'[5]凯迪拉克（含分摊）'!AT19/10000</f>
        <v>86.249964000000006</v>
      </c>
      <c r="AU19" s="3457">
        <f>'[5]凯迪拉克（含分摊）'!AU19/10000</f>
        <v>86.249964000000006</v>
      </c>
      <c r="AV19" s="3457">
        <f>'[5]凯迪拉克（含分摊）'!AV19/10000</f>
        <v>86.249964000000006</v>
      </c>
      <c r="AW19" s="3457">
        <f>'[5]凯迪拉克（含分摊）'!AW19/10000</f>
        <v>-124.75690700000001</v>
      </c>
      <c r="AX19" s="3457">
        <f>'[5]凯迪拉克（含分摊）'!AX19/10000</f>
        <v>-843.51877200000001</v>
      </c>
      <c r="AY19" s="3457">
        <f>'[5]凯迪拉克（含分摊）'!AY19/10000</f>
        <v>0</v>
      </c>
      <c r="AZ19" s="3457">
        <f>'[5]凯迪拉克（含分摊）'!AZ19/10000</f>
        <v>0</v>
      </c>
      <c r="BA19" s="3457">
        <f>'[5]凯迪拉克（含分摊）'!BA19/10000</f>
        <v>153.51906</v>
      </c>
      <c r="BB19" s="3457">
        <f t="shared" si="3"/>
        <v>-208.09918000000008</v>
      </c>
      <c r="BC19" s="3457">
        <f>'[5]凯迪拉克（含分摊）'!BC19/10000</f>
        <v>0.178287</v>
      </c>
      <c r="BD19" s="3457">
        <f>'[5]凯迪拉克（含分摊）'!BD19/10000</f>
        <v>0.36685699999999999</v>
      </c>
      <c r="BE19" s="3457">
        <f>'[5]凯迪拉克（含分摊）'!BE19/10000</f>
        <v>944.58762799999988</v>
      </c>
      <c r="BF19" s="3457">
        <f>'[5]凯迪拉克（含分摊）'!BF19/10000</f>
        <v>1031.112284</v>
      </c>
      <c r="BG19" s="3457">
        <f>'[5]凯迪拉克（含分摊）'!BG19/10000</f>
        <v>89.836081000000007</v>
      </c>
      <c r="BH19" s="3457">
        <f>'[5]凯迪拉克（含分摊）'!BH19/10000</f>
        <v>90</v>
      </c>
      <c r="BI19" s="3457">
        <f>'[5]凯迪拉克（含分摊）'!BI19/10000</f>
        <v>97.250439999999998</v>
      </c>
      <c r="BJ19" s="3457">
        <f>'[5]凯迪拉克（含分摊）'!BJ19/10000</f>
        <v>90.136678000000003</v>
      </c>
      <c r="BK19" s="3457">
        <f>'[5]凯迪拉克（含分摊）'!BK19/10000</f>
        <v>90.442166</v>
      </c>
      <c r="BL19" s="3457">
        <f>'[5]凯迪拉克（含分摊）'!BL19/10000</f>
        <v>93.543908999999999</v>
      </c>
      <c r="BM19" s="3457">
        <f>'[5]凯迪拉克（含分摊）'!BM19/10000</f>
        <v>89.679963999999998</v>
      </c>
      <c r="BN19" s="3457">
        <f>'[5]凯迪拉克（含分摊）'!BN19/10000</f>
        <v>88.432344000000001</v>
      </c>
      <c r="BO19" s="3457">
        <f t="shared" si="4"/>
        <v>2705.5666379999993</v>
      </c>
      <c r="BP19" s="3457">
        <f>'[5]凯迪拉克（含分摊）'!BP19/10000</f>
        <v>56.600679000000007</v>
      </c>
      <c r="BQ19" s="3457">
        <f>'[5]凯迪拉克（含分摊）'!BQ19/10000</f>
        <v>37.434907000000003</v>
      </c>
      <c r="BR19" s="3457">
        <f>'[5]凯迪拉克（含分摊）'!BR19/10000</f>
        <v>47.651491</v>
      </c>
      <c r="BS19" s="3457">
        <f>'[5]凯迪拉克（含分摊）'!BS19/10000</f>
        <v>50.118938</v>
      </c>
      <c r="BT19" s="3457">
        <f>'[5]凯迪拉克（含分摊）'!BT19/10000</f>
        <v>51.645555000000002</v>
      </c>
      <c r="BU19" s="3457">
        <f>'[5]凯迪拉克（含分摊）'!BU19/10000</f>
        <v>54.635554000000006</v>
      </c>
      <c r="BV19" s="3457">
        <f>'[5]凯迪拉克（含分摊）'!BV19/10000</f>
        <v>54.401018999999991</v>
      </c>
      <c r="BW19" s="3457">
        <f>'[5]凯迪拉克（含分摊）'!BW19/10000</f>
        <v>49.216481000000002</v>
      </c>
      <c r="BX19" s="3457">
        <f>'[5]凯迪拉克（含分摊）'!BX19/10000</f>
        <v>57.391418999999992</v>
      </c>
      <c r="BY19" s="3457">
        <f>'[5]凯迪拉克（含分摊）'!BY19/10000</f>
        <v>60.647342000000002</v>
      </c>
      <c r="BZ19" s="3457">
        <f>'[5]凯迪拉克（含分摊）'!BZ19/10000</f>
        <v>60.746673999999999</v>
      </c>
      <c r="CA19" s="3457">
        <f>'[5]凯迪拉克（含分摊）'!CA19/10000</f>
        <v>169.457958108779</v>
      </c>
      <c r="CB19" s="3457">
        <f t="shared" si="5"/>
        <v>749.94801710877891</v>
      </c>
    </row>
    <row r="20" spans="1:80">
      <c r="A20" s="3476"/>
      <c r="B20" s="3456" t="s">
        <v>3490</v>
      </c>
      <c r="C20" s="3457">
        <f>'[5]凯迪拉克（含分摊）'!C20/10000</f>
        <v>0</v>
      </c>
      <c r="D20" s="3457">
        <f>'[5]凯迪拉克（含分摊）'!D20/10000</f>
        <v>0</v>
      </c>
      <c r="E20" s="3457">
        <f>'[5]凯迪拉克（含分摊）'!E20/10000</f>
        <v>0</v>
      </c>
      <c r="F20" s="3457">
        <f>'[5]凯迪拉克（含分摊）'!F20/10000</f>
        <v>0</v>
      </c>
      <c r="G20" s="3457">
        <f>'[5]凯迪拉克（含分摊）'!G20/10000</f>
        <v>0</v>
      </c>
      <c r="H20" s="3457">
        <f>'[5]凯迪拉克（含分摊）'!H20/10000</f>
        <v>0</v>
      </c>
      <c r="I20" s="3457">
        <f>'[5]凯迪拉克（含分摊）'!I20/10000</f>
        <v>0</v>
      </c>
      <c r="J20" s="3457">
        <f>'[5]凯迪拉克（含分摊）'!J20/10000</f>
        <v>0</v>
      </c>
      <c r="K20" s="3457">
        <f>'[5]凯迪拉克（含分摊）'!K20/10000</f>
        <v>0</v>
      </c>
      <c r="L20" s="3457">
        <f>'[5]凯迪拉克（含分摊）'!L20/10000</f>
        <v>0</v>
      </c>
      <c r="M20" s="3457">
        <f>'[5]凯迪拉克（含分摊）'!M20/10000</f>
        <v>0</v>
      </c>
      <c r="N20" s="3457">
        <f>'[5]凯迪拉克（含分摊）'!N20/10000</f>
        <v>0</v>
      </c>
      <c r="O20" s="3457">
        <f t="shared" si="0"/>
        <v>0</v>
      </c>
      <c r="P20" s="3457">
        <f>'[5]凯迪拉克（含分摊）'!P20/10000</f>
        <v>0</v>
      </c>
      <c r="Q20" s="3457">
        <f>'[5]凯迪拉克（含分摊）'!Q20/10000</f>
        <v>0</v>
      </c>
      <c r="R20" s="3457">
        <f>'[5]凯迪拉克（含分摊）'!R20/10000</f>
        <v>0</v>
      </c>
      <c r="S20" s="3457">
        <f>'[5]凯迪拉克（含分摊）'!S20/10000</f>
        <v>0</v>
      </c>
      <c r="T20" s="3457">
        <f>'[5]凯迪拉克（含分摊）'!T20/10000</f>
        <v>0</v>
      </c>
      <c r="U20" s="3457">
        <f>'[5]凯迪拉克（含分摊）'!U20/10000</f>
        <v>0</v>
      </c>
      <c r="V20" s="3457">
        <f>'[5]凯迪拉克（含分摊）'!V20/10000</f>
        <v>0</v>
      </c>
      <c r="W20" s="3457">
        <f>'[5]凯迪拉克（含分摊）'!W20/10000</f>
        <v>0</v>
      </c>
      <c r="X20" s="3457">
        <f>'[5]凯迪拉克（含分摊）'!X20/10000</f>
        <v>0</v>
      </c>
      <c r="Y20" s="3457">
        <f>'[5]凯迪拉克（含分摊）'!Y20/10000</f>
        <v>0</v>
      </c>
      <c r="Z20" s="3457">
        <f>'[5]凯迪拉克（含分摊）'!Z20/10000</f>
        <v>0</v>
      </c>
      <c r="AA20" s="3457">
        <f>'[5]凯迪拉克（含分摊）'!AA20/10000</f>
        <v>0</v>
      </c>
      <c r="AB20" s="3457">
        <f t="shared" si="1"/>
        <v>0</v>
      </c>
      <c r="AC20" s="3457">
        <f>'[5]凯迪拉克（含分摊）'!AC20/10000</f>
        <v>0</v>
      </c>
      <c r="AD20" s="3457">
        <f>'[5]凯迪拉克（含分摊）'!AD20/10000</f>
        <v>0</v>
      </c>
      <c r="AE20" s="3457">
        <f>'[5]凯迪拉克（含分摊）'!AE20/10000</f>
        <v>0</v>
      </c>
      <c r="AF20" s="3457">
        <f>'[5]凯迪拉克（含分摊）'!AF20/10000</f>
        <v>0</v>
      </c>
      <c r="AG20" s="3457">
        <f>'[5]凯迪拉克（含分摊）'!AG20/10000</f>
        <v>0</v>
      </c>
      <c r="AH20" s="3457">
        <f>'[5]凯迪拉克（含分摊）'!AH20/10000</f>
        <v>0</v>
      </c>
      <c r="AI20" s="3457">
        <f>'[5]凯迪拉克（含分摊）'!AI20/10000</f>
        <v>0</v>
      </c>
      <c r="AJ20" s="3457">
        <f>'[5]凯迪拉克（含分摊）'!AJ20/10000</f>
        <v>0</v>
      </c>
      <c r="AK20" s="3457">
        <f>'[5]凯迪拉克（含分摊）'!AK20/10000</f>
        <v>0</v>
      </c>
      <c r="AL20" s="3457">
        <f>'[5]凯迪拉克（含分摊）'!AL20/10000</f>
        <v>0</v>
      </c>
      <c r="AM20" s="3457">
        <f>'[5]凯迪拉克（含分摊）'!AM20/10000</f>
        <v>0</v>
      </c>
      <c r="AN20" s="3457">
        <f>'[5]凯迪拉克（含分摊）'!AN20/10000</f>
        <v>0</v>
      </c>
      <c r="AO20" s="3457">
        <f t="shared" si="2"/>
        <v>0</v>
      </c>
      <c r="AP20" s="3457">
        <f>'[5]凯迪拉克（含分摊）'!AP20/10000</f>
        <v>0</v>
      </c>
      <c r="AQ20" s="3457">
        <f>'[5]凯迪拉克（含分摊）'!AQ20/10000</f>
        <v>0</v>
      </c>
      <c r="AR20" s="3457">
        <f>'[5]凯迪拉克（含分摊）'!AR20/10000</f>
        <v>0</v>
      </c>
      <c r="AS20" s="3457">
        <f>'[5]凯迪拉克（含分摊）'!AS20/10000</f>
        <v>0</v>
      </c>
      <c r="AT20" s="3457">
        <f>'[5]凯迪拉克（含分摊）'!AT20/10000</f>
        <v>0</v>
      </c>
      <c r="AU20" s="3457">
        <f>'[5]凯迪拉克（含分摊）'!AU20/10000</f>
        <v>0</v>
      </c>
      <c r="AV20" s="3457">
        <f>'[5]凯迪拉克（含分摊）'!AV20/10000</f>
        <v>0</v>
      </c>
      <c r="AW20" s="3457">
        <f>'[5]凯迪拉克（含分摊）'!AW20/10000</f>
        <v>0</v>
      </c>
      <c r="AX20" s="3457">
        <f>'[5]凯迪拉克（含分摊）'!AX20/10000</f>
        <v>0</v>
      </c>
      <c r="AY20" s="3457">
        <f>'[5]凯迪拉克（含分摊）'!AY20/10000</f>
        <v>0</v>
      </c>
      <c r="AZ20" s="3457">
        <f>'[5]凯迪拉克（含分摊）'!AZ20/10000</f>
        <v>0</v>
      </c>
      <c r="BA20" s="3457">
        <f>'[5]凯迪拉克（含分摊）'!BA20/10000</f>
        <v>0</v>
      </c>
      <c r="BB20" s="3457">
        <f t="shared" si="3"/>
        <v>0</v>
      </c>
      <c r="BC20" s="3457">
        <f>'[5]凯迪拉克（含分摊）'!BC20/10000</f>
        <v>0</v>
      </c>
      <c r="BD20" s="3457">
        <f>'[5]凯迪拉克（含分摊）'!BD20/10000</f>
        <v>0</v>
      </c>
      <c r="BE20" s="3457">
        <f>'[5]凯迪拉克（含分摊）'!BE20/10000</f>
        <v>0</v>
      </c>
      <c r="BF20" s="3457">
        <f>'[5]凯迪拉克（含分摊）'!BF20/10000</f>
        <v>0</v>
      </c>
      <c r="BG20" s="3457">
        <f>'[5]凯迪拉克（含分摊）'!BG20/10000</f>
        <v>0</v>
      </c>
      <c r="BH20" s="3457">
        <f>'[5]凯迪拉克（含分摊）'!BH20/10000</f>
        <v>0</v>
      </c>
      <c r="BI20" s="3457">
        <f>'[5]凯迪拉克（含分摊）'!BI20/10000</f>
        <v>0</v>
      </c>
      <c r="BJ20" s="3457">
        <f>'[5]凯迪拉克（含分摊）'!BJ20/10000</f>
        <v>0</v>
      </c>
      <c r="BK20" s="3457">
        <f>'[5]凯迪拉克（含分摊）'!BK20/10000</f>
        <v>0</v>
      </c>
      <c r="BL20" s="3457">
        <f>'[5]凯迪拉克（含分摊）'!BL20/10000</f>
        <v>0</v>
      </c>
      <c r="BM20" s="3457">
        <f>'[5]凯迪拉克（含分摊）'!BM20/10000</f>
        <v>0</v>
      </c>
      <c r="BN20" s="3457">
        <f>'[5]凯迪拉克（含分摊）'!BN20/10000</f>
        <v>0</v>
      </c>
      <c r="BO20" s="3457">
        <f t="shared" si="4"/>
        <v>0</v>
      </c>
      <c r="BP20" s="3457">
        <f>'[5]凯迪拉克（含分摊）'!BP20/10000</f>
        <v>0</v>
      </c>
      <c r="BQ20" s="3457">
        <f>'[5]凯迪拉克（含分摊）'!BQ20/10000</f>
        <v>0</v>
      </c>
      <c r="BR20" s="3457">
        <f>'[5]凯迪拉克（含分摊）'!BR20/10000</f>
        <v>0</v>
      </c>
      <c r="BS20" s="3457">
        <f>'[5]凯迪拉克（含分摊）'!BS20/10000</f>
        <v>0</v>
      </c>
      <c r="BT20" s="3457">
        <f>'[5]凯迪拉克（含分摊）'!BT20/10000</f>
        <v>0</v>
      </c>
      <c r="BU20" s="3457">
        <f>'[5]凯迪拉克（含分摊）'!BU20/10000</f>
        <v>0</v>
      </c>
      <c r="BV20" s="3457">
        <f>'[5]凯迪拉克（含分摊）'!BV20/10000</f>
        <v>0</v>
      </c>
      <c r="BW20" s="3457">
        <f>'[5]凯迪拉克（含分摊）'!BW20/10000</f>
        <v>0</v>
      </c>
      <c r="BX20" s="3457">
        <f>'[5]凯迪拉克（含分摊）'!BX20/10000</f>
        <v>0</v>
      </c>
      <c r="BY20" s="3457">
        <f>'[5]凯迪拉克（含分摊）'!BY20/10000</f>
        <v>0</v>
      </c>
      <c r="BZ20" s="3457">
        <f>'[5]凯迪拉克（含分摊）'!BZ20/10000</f>
        <v>0</v>
      </c>
      <c r="CA20" s="3457">
        <f>'[5]凯迪拉克（含分摊）'!CA20/10000</f>
        <v>0</v>
      </c>
      <c r="CB20" s="3457">
        <f t="shared" si="5"/>
        <v>0</v>
      </c>
    </row>
    <row r="21" spans="1:80">
      <c r="A21" s="3476"/>
      <c r="B21" s="3456" t="s">
        <v>3491</v>
      </c>
      <c r="C21" s="3457">
        <f>'[5]凯迪拉克（含分摊）'!C21/10000</f>
        <v>0</v>
      </c>
      <c r="D21" s="3457">
        <f>'[5]凯迪拉克（含分摊）'!D21/10000</f>
        <v>0</v>
      </c>
      <c r="E21" s="3457">
        <f>'[5]凯迪拉克（含分摊）'!E21/10000</f>
        <v>0.36752800000000002</v>
      </c>
      <c r="F21" s="3457">
        <f>'[5]凯迪拉克（含分摊）'!F21/10000</f>
        <v>13.419</v>
      </c>
      <c r="G21" s="3457">
        <f>'[5]凯迪拉克（含分摊）'!G21/10000</f>
        <v>18.8</v>
      </c>
      <c r="H21" s="3457">
        <f>'[5]凯迪拉克（含分摊）'!H21/10000</f>
        <v>0.65</v>
      </c>
      <c r="I21" s="3457">
        <f>'[5]凯迪拉克（含分摊）'!I21/10000</f>
        <v>-1.6157589999999999</v>
      </c>
      <c r="J21" s="3457">
        <f>'[5]凯迪拉克（含分摊）'!J21/10000</f>
        <v>9.4889320000000001</v>
      </c>
      <c r="K21" s="3457">
        <f>'[5]凯迪拉克（含分摊）'!K21/10000</f>
        <v>0</v>
      </c>
      <c r="L21" s="3457">
        <f>'[5]凯迪拉克（含分摊）'!L21/10000</f>
        <v>0</v>
      </c>
      <c r="M21" s="3457">
        <f>'[5]凯迪拉克（含分摊）'!M21/10000</f>
        <v>34.683238000000003</v>
      </c>
      <c r="N21" s="3457">
        <f>'[5]凯迪拉克（含分摊）'!N21/10000</f>
        <v>7.166428999999999</v>
      </c>
      <c r="O21" s="3457">
        <f t="shared" si="0"/>
        <v>82.959367999999998</v>
      </c>
      <c r="P21" s="3457">
        <f>'[5]凯迪拉克（含分摊）'!P21/10000</f>
        <v>-1.1037999999999999E-2</v>
      </c>
      <c r="Q21" s="3457">
        <f>'[5]凯迪拉克（含分摊）'!Q21/10000</f>
        <v>0</v>
      </c>
      <c r="R21" s="3457">
        <f>'[5]凯迪拉克（含分摊）'!R21/10000</f>
        <v>-2.2233299999999998</v>
      </c>
      <c r="S21" s="3457">
        <f>'[5]凯迪拉克（含分摊）'!S21/10000</f>
        <v>4.3914999999999997</v>
      </c>
      <c r="T21" s="3457">
        <f>'[5]凯迪拉克（含分摊）'!T21/10000</f>
        <v>2.2169819999999998</v>
      </c>
      <c r="U21" s="3457">
        <f>'[5]凯迪拉克（含分摊）'!U21/10000</f>
        <v>-1.8534119999999998</v>
      </c>
      <c r="V21" s="3457">
        <f>'[5]凯迪拉克（含分摊）'!V21/10000</f>
        <v>-8.7380000000000096E-3</v>
      </c>
      <c r="W21" s="3457">
        <f>'[5]凯迪拉克（含分摊）'!W21/10000</f>
        <v>-2.6238000000000001</v>
      </c>
      <c r="X21" s="3457">
        <f>'[5]凯迪拉克（含分摊）'!X21/10000</f>
        <v>0</v>
      </c>
      <c r="Y21" s="3457">
        <f>'[5]凯迪拉克（含分摊）'!Y21/10000</f>
        <v>0</v>
      </c>
      <c r="Z21" s="3457">
        <f>'[5]凯迪拉克（含分摊）'!Z21/10000</f>
        <v>15.21618</v>
      </c>
      <c r="AA21" s="3457">
        <f>'[5]凯迪拉克（含分摊）'!AA21/10000</f>
        <v>23.635204999999999</v>
      </c>
      <c r="AB21" s="3457">
        <f t="shared" si="1"/>
        <v>38.739548999999997</v>
      </c>
      <c r="AC21" s="3457">
        <f>'[5]凯迪拉克（含分摊）'!AC21/10000</f>
        <v>0</v>
      </c>
      <c r="AD21" s="3457">
        <f>'[5]凯迪拉克（含分摊）'!AD21/10000</f>
        <v>0</v>
      </c>
      <c r="AE21" s="3457">
        <f>'[5]凯迪拉克（含分摊）'!AE21/10000</f>
        <v>0</v>
      </c>
      <c r="AF21" s="3457">
        <f>'[5]凯迪拉克（含分摊）'!AF21/10000</f>
        <v>0</v>
      </c>
      <c r="AG21" s="3457">
        <f>'[5]凯迪拉克（含分摊）'!AG21/10000</f>
        <v>-1.240116</v>
      </c>
      <c r="AH21" s="3457">
        <f>'[5]凯迪拉克（含分摊）'!AH21/10000</f>
        <v>8.8496000000000005E-2</v>
      </c>
      <c r="AI21" s="3457">
        <f>'[5]凯迪拉克（含分摊）'!AI21/10000</f>
        <v>0</v>
      </c>
      <c r="AJ21" s="3457">
        <f>'[5]凯迪拉克（含分摊）'!AJ21/10000</f>
        <v>0</v>
      </c>
      <c r="AK21" s="3457">
        <f>'[5]凯迪拉克（含分摊）'!AK21/10000</f>
        <v>0</v>
      </c>
      <c r="AL21" s="3457">
        <f>'[5]凯迪拉克（含分摊）'!AL21/10000</f>
        <v>0</v>
      </c>
      <c r="AM21" s="3457">
        <f>'[5]凯迪拉克（含分摊）'!AM21/10000</f>
        <v>0</v>
      </c>
      <c r="AN21" s="3457">
        <f>'[5]凯迪拉克（含分摊）'!AN21/10000</f>
        <v>17.140236999999999</v>
      </c>
      <c r="AO21" s="3457">
        <f t="shared" si="2"/>
        <v>15.988617</v>
      </c>
      <c r="AP21" s="3457">
        <f>'[5]凯迪拉克（含分摊）'!AP21/10000</f>
        <v>-0.24551999999999999</v>
      </c>
      <c r="AQ21" s="3457">
        <f>'[5]凯迪拉克（含分摊）'!AQ21/10000</f>
        <v>0</v>
      </c>
      <c r="AR21" s="3457">
        <f>'[5]凯迪拉克（含分摊）'!AR21/10000</f>
        <v>0</v>
      </c>
      <c r="AS21" s="3457">
        <f>'[5]凯迪拉克（含分摊）'!AS21/10000</f>
        <v>0</v>
      </c>
      <c r="AT21" s="3457">
        <f>'[5]凯迪拉克（含分摊）'!AT21/10000</f>
        <v>0.37</v>
      </c>
      <c r="AU21" s="3457">
        <f>'[5]凯迪拉克（含分摊）'!AU21/10000</f>
        <v>0.76</v>
      </c>
      <c r="AV21" s="3457">
        <f>'[5]凯迪拉克（含分摊）'!AV21/10000</f>
        <v>0</v>
      </c>
      <c r="AW21" s="3457">
        <f>'[5]凯迪拉克（含分摊）'!AW21/10000</f>
        <v>0</v>
      </c>
      <c r="AX21" s="3457">
        <f>'[5]凯迪拉克（含分摊）'!AX21/10000</f>
        <v>12.941836</v>
      </c>
      <c r="AY21" s="3457">
        <f>'[5]凯迪拉克（含分摊）'!AY21/10000</f>
        <v>7.0941559999999999</v>
      </c>
      <c r="AZ21" s="3457">
        <f>'[5]凯迪拉克（含分摊）'!AZ21/10000</f>
        <v>0</v>
      </c>
      <c r="BA21" s="3457">
        <f>'[5]凯迪拉克（含分摊）'!BA21/10000</f>
        <v>0</v>
      </c>
      <c r="BB21" s="3457">
        <f t="shared" si="3"/>
        <v>20.920472</v>
      </c>
      <c r="BC21" s="3457">
        <f>'[5]凯迪拉克（含分摊）'!BC21/10000</f>
        <v>0</v>
      </c>
      <c r="BD21" s="3457">
        <f>'[5]凯迪拉克（含分摊）'!BD21/10000</f>
        <v>0</v>
      </c>
      <c r="BE21" s="3457">
        <f>'[5]凯迪拉克（含分摊）'!BE21/10000</f>
        <v>0</v>
      </c>
      <c r="BF21" s="3457">
        <f>'[5]凯迪拉克（含分摊）'!BF21/10000</f>
        <v>0</v>
      </c>
      <c r="BG21" s="3457">
        <f>'[5]凯迪拉克（含分摊）'!BG21/10000</f>
        <v>0</v>
      </c>
      <c r="BH21" s="3457">
        <f>'[5]凯迪拉克（含分摊）'!BH21/10000</f>
        <v>0</v>
      </c>
      <c r="BI21" s="3457">
        <f>'[5]凯迪拉克（含分摊）'!BI21/10000</f>
        <v>0</v>
      </c>
      <c r="BJ21" s="3457">
        <f>'[5]凯迪拉克（含分摊）'!BJ21/10000</f>
        <v>0</v>
      </c>
      <c r="BK21" s="3457">
        <f>'[5]凯迪拉克（含分摊）'!BK21/10000</f>
        <v>0</v>
      </c>
      <c r="BL21" s="3457">
        <f>'[5]凯迪拉克（含分摊）'!BL21/10000</f>
        <v>0</v>
      </c>
      <c r="BM21" s="3457">
        <f>'[5]凯迪拉克（含分摊）'!BM21/10000</f>
        <v>0</v>
      </c>
      <c r="BN21" s="3457">
        <f>'[5]凯迪拉克（含分摊）'!BN21/10000</f>
        <v>0</v>
      </c>
      <c r="BO21" s="3457">
        <f t="shared" si="4"/>
        <v>0</v>
      </c>
      <c r="BP21" s="3457">
        <f>'[5]凯迪拉克（含分摊）'!BP21/10000</f>
        <v>0</v>
      </c>
      <c r="BQ21" s="3457">
        <f>'[5]凯迪拉克（含分摊）'!BQ21/10000</f>
        <v>0</v>
      </c>
      <c r="BR21" s="3457">
        <f>'[5]凯迪拉克（含分摊）'!BR21/10000</f>
        <v>0</v>
      </c>
      <c r="BS21" s="3457">
        <f>'[5]凯迪拉克（含分摊）'!BS21/10000</f>
        <v>0</v>
      </c>
      <c r="BT21" s="3457">
        <f>'[5]凯迪拉克（含分摊）'!BT21/10000</f>
        <v>0</v>
      </c>
      <c r="BU21" s="3457">
        <f>'[5]凯迪拉克（含分摊）'!BU21/10000</f>
        <v>0</v>
      </c>
      <c r="BV21" s="3457">
        <f>'[5]凯迪拉克（含分摊）'!BV21/10000</f>
        <v>0</v>
      </c>
      <c r="BW21" s="3457">
        <f>'[5]凯迪拉克（含分摊）'!BW21/10000</f>
        <v>0</v>
      </c>
      <c r="BX21" s="3457">
        <f>'[5]凯迪拉克（含分摊）'!BX21/10000</f>
        <v>0</v>
      </c>
      <c r="BY21" s="3457">
        <f>'[5]凯迪拉克（含分摊）'!BY21/10000</f>
        <v>0</v>
      </c>
      <c r="BZ21" s="3457">
        <f>'[5]凯迪拉克（含分摊）'!BZ21/10000</f>
        <v>0</v>
      </c>
      <c r="CA21" s="3457">
        <f>'[5]凯迪拉克（含分摊）'!CA21/10000</f>
        <v>0</v>
      </c>
      <c r="CB21" s="3457">
        <f t="shared" si="5"/>
        <v>0</v>
      </c>
    </row>
    <row r="22" spans="1:80">
      <c r="A22" s="3476"/>
      <c r="B22" s="3456" t="s">
        <v>3492</v>
      </c>
      <c r="C22" s="3457">
        <f>'[5]凯迪拉克（含分摊）'!C22/10000</f>
        <v>0</v>
      </c>
      <c r="D22" s="3457">
        <f>'[5]凯迪拉克（含分摊）'!D22/10000</f>
        <v>0</v>
      </c>
      <c r="E22" s="3457">
        <f>'[5]凯迪拉克（含分摊）'!E22/10000</f>
        <v>0</v>
      </c>
      <c r="F22" s="3457">
        <f>'[5]凯迪拉克（含分摊）'!F22/10000</f>
        <v>0</v>
      </c>
      <c r="G22" s="3457">
        <f>'[5]凯迪拉克（含分摊）'!G22/10000</f>
        <v>0</v>
      </c>
      <c r="H22" s="3457">
        <f>'[5]凯迪拉克（含分摊）'!H22/10000</f>
        <v>0</v>
      </c>
      <c r="I22" s="3457">
        <f>'[5]凯迪拉克（含分摊）'!I22/10000</f>
        <v>0</v>
      </c>
      <c r="J22" s="3457">
        <f>'[5]凯迪拉克（含分摊）'!J22/10000</f>
        <v>0</v>
      </c>
      <c r="K22" s="3457">
        <f>'[5]凯迪拉克（含分摊）'!K22/10000</f>
        <v>0</v>
      </c>
      <c r="L22" s="3457">
        <f>'[5]凯迪拉克（含分摊）'!L22/10000</f>
        <v>0</v>
      </c>
      <c r="M22" s="3457">
        <f>'[5]凯迪拉克（含分摊）'!M22/10000</f>
        <v>0</v>
      </c>
      <c r="N22" s="3457">
        <f>'[5]凯迪拉克（含分摊）'!N22/10000</f>
        <v>0</v>
      </c>
      <c r="O22" s="3457">
        <f t="shared" si="0"/>
        <v>0</v>
      </c>
      <c r="P22" s="3457">
        <f>'[5]凯迪拉克（含分摊）'!P22/10000</f>
        <v>0</v>
      </c>
      <c r="Q22" s="3457">
        <f>'[5]凯迪拉克（含分摊）'!Q22/10000</f>
        <v>0</v>
      </c>
      <c r="R22" s="3457">
        <f>'[5]凯迪拉克（含分摊）'!R22/10000</f>
        <v>0</v>
      </c>
      <c r="S22" s="3457">
        <f>'[5]凯迪拉克（含分摊）'!S22/10000</f>
        <v>0</v>
      </c>
      <c r="T22" s="3457">
        <f>'[5]凯迪拉克（含分摊）'!T22/10000</f>
        <v>0</v>
      </c>
      <c r="U22" s="3457">
        <f>'[5]凯迪拉克（含分摊）'!U22/10000</f>
        <v>0</v>
      </c>
      <c r="V22" s="3457">
        <f>'[5]凯迪拉克（含分摊）'!V22/10000</f>
        <v>0</v>
      </c>
      <c r="W22" s="3457">
        <f>'[5]凯迪拉克（含分摊）'!W22/10000</f>
        <v>0</v>
      </c>
      <c r="X22" s="3457">
        <f>'[5]凯迪拉克（含分摊）'!X22/10000</f>
        <v>0</v>
      </c>
      <c r="Y22" s="3457">
        <f>'[5]凯迪拉克（含分摊）'!Y22/10000</f>
        <v>0</v>
      </c>
      <c r="Z22" s="3457">
        <f>'[5]凯迪拉克（含分摊）'!Z22/10000</f>
        <v>0</v>
      </c>
      <c r="AA22" s="3457">
        <f>'[5]凯迪拉克（含分摊）'!AA22/10000</f>
        <v>0</v>
      </c>
      <c r="AB22" s="3457">
        <f t="shared" si="1"/>
        <v>0</v>
      </c>
      <c r="AC22" s="3457">
        <f>'[5]凯迪拉克（含分摊）'!AC22/10000</f>
        <v>0</v>
      </c>
      <c r="AD22" s="3457">
        <f>'[5]凯迪拉克（含分摊）'!AD22/10000</f>
        <v>0</v>
      </c>
      <c r="AE22" s="3457">
        <f>'[5]凯迪拉克（含分摊）'!AE22/10000</f>
        <v>0</v>
      </c>
      <c r="AF22" s="3457">
        <f>'[5]凯迪拉克（含分摊）'!AF22/10000</f>
        <v>0</v>
      </c>
      <c r="AG22" s="3457">
        <f>'[5]凯迪拉克（含分摊）'!AG22/10000</f>
        <v>0</v>
      </c>
      <c r="AH22" s="3457">
        <f>'[5]凯迪拉克（含分摊）'!AH22/10000</f>
        <v>0</v>
      </c>
      <c r="AI22" s="3457">
        <f>'[5]凯迪拉克（含分摊）'!AI22/10000</f>
        <v>0</v>
      </c>
      <c r="AJ22" s="3457">
        <f>'[5]凯迪拉克（含分摊）'!AJ22/10000</f>
        <v>0</v>
      </c>
      <c r="AK22" s="3457">
        <f>'[5]凯迪拉克（含分摊）'!AK22/10000</f>
        <v>0</v>
      </c>
      <c r="AL22" s="3457">
        <f>'[5]凯迪拉克（含分摊）'!AL22/10000</f>
        <v>0</v>
      </c>
      <c r="AM22" s="3457">
        <f>'[5]凯迪拉克（含分摊）'!AM22/10000</f>
        <v>0</v>
      </c>
      <c r="AN22" s="3457">
        <f>'[5]凯迪拉克（含分摊）'!AN22/10000</f>
        <v>0</v>
      </c>
      <c r="AO22" s="3457">
        <f t="shared" si="2"/>
        <v>0</v>
      </c>
      <c r="AP22" s="3457">
        <f>'[5]凯迪拉克（含分摊）'!AP22/10000</f>
        <v>0</v>
      </c>
      <c r="AQ22" s="3457">
        <f>'[5]凯迪拉克（含分摊）'!AQ22/10000</f>
        <v>0</v>
      </c>
      <c r="AR22" s="3457">
        <f>'[5]凯迪拉克（含分摊）'!AR22/10000</f>
        <v>0</v>
      </c>
      <c r="AS22" s="3457">
        <f>'[5]凯迪拉克（含分摊）'!AS22/10000</f>
        <v>0</v>
      </c>
      <c r="AT22" s="3457">
        <f>'[5]凯迪拉克（含分摊）'!AT22/10000</f>
        <v>0</v>
      </c>
      <c r="AU22" s="3457">
        <f>'[5]凯迪拉克（含分摊）'!AU22/10000</f>
        <v>0</v>
      </c>
      <c r="AV22" s="3457">
        <f>'[5]凯迪拉克（含分摊）'!AV22/10000</f>
        <v>0</v>
      </c>
      <c r="AW22" s="3457">
        <f>'[5]凯迪拉克（含分摊）'!AW22/10000</f>
        <v>0</v>
      </c>
      <c r="AX22" s="3457">
        <f>'[5]凯迪拉克（含分摊）'!AX22/10000</f>
        <v>0</v>
      </c>
      <c r="AY22" s="3457">
        <f>'[5]凯迪拉克（含分摊）'!AY22/10000</f>
        <v>0</v>
      </c>
      <c r="AZ22" s="3457">
        <f>'[5]凯迪拉克（含分摊）'!AZ22/10000</f>
        <v>0</v>
      </c>
      <c r="BA22" s="3457">
        <f>'[5]凯迪拉克（含分摊）'!BA22/10000</f>
        <v>0</v>
      </c>
      <c r="BB22" s="3457">
        <f t="shared" si="3"/>
        <v>0</v>
      </c>
      <c r="BC22" s="3457">
        <f>'[5]凯迪拉克（含分摊）'!BC22/10000</f>
        <v>0</v>
      </c>
      <c r="BD22" s="3457">
        <f>'[5]凯迪拉克（含分摊）'!BD22/10000</f>
        <v>0</v>
      </c>
      <c r="BE22" s="3457">
        <f>'[5]凯迪拉克（含分摊）'!BE22/10000</f>
        <v>0</v>
      </c>
      <c r="BF22" s="3457">
        <f>'[5]凯迪拉克（含分摊）'!BF22/10000</f>
        <v>0</v>
      </c>
      <c r="BG22" s="3457">
        <f>'[5]凯迪拉克（含分摊）'!BG22/10000</f>
        <v>0</v>
      </c>
      <c r="BH22" s="3457">
        <f>'[5]凯迪拉克（含分摊）'!BH22/10000</f>
        <v>0</v>
      </c>
      <c r="BI22" s="3457">
        <f>'[5]凯迪拉克（含分摊）'!BI22/10000</f>
        <v>0</v>
      </c>
      <c r="BJ22" s="3457">
        <f>'[5]凯迪拉克（含分摊）'!BJ22/10000</f>
        <v>0</v>
      </c>
      <c r="BK22" s="3457">
        <f>'[5]凯迪拉克（含分摊）'!BK22/10000</f>
        <v>0</v>
      </c>
      <c r="BL22" s="3457">
        <f>'[5]凯迪拉克（含分摊）'!BL22/10000</f>
        <v>0</v>
      </c>
      <c r="BM22" s="3457">
        <f>'[5]凯迪拉克（含分摊）'!BM22/10000</f>
        <v>0</v>
      </c>
      <c r="BN22" s="3457">
        <f>'[5]凯迪拉克（含分摊）'!BN22/10000</f>
        <v>0</v>
      </c>
      <c r="BO22" s="3457">
        <f t="shared" si="4"/>
        <v>0</v>
      </c>
      <c r="BP22" s="3457">
        <f>'[5]凯迪拉克（含分摊）'!BP22/10000</f>
        <v>0</v>
      </c>
      <c r="BQ22" s="3457">
        <f>'[5]凯迪拉克（含分摊）'!BQ22/10000</f>
        <v>0</v>
      </c>
      <c r="BR22" s="3457">
        <f>'[5]凯迪拉克（含分摊）'!BR22/10000</f>
        <v>0</v>
      </c>
      <c r="BS22" s="3457">
        <f>'[5]凯迪拉克（含分摊）'!BS22/10000</f>
        <v>0</v>
      </c>
      <c r="BT22" s="3457">
        <f>'[5]凯迪拉克（含分摊）'!BT22/10000</f>
        <v>0</v>
      </c>
      <c r="BU22" s="3457">
        <f>'[5]凯迪拉克（含分摊）'!BU22/10000</f>
        <v>0</v>
      </c>
      <c r="BV22" s="3457">
        <f>'[5]凯迪拉克（含分摊）'!BV22/10000</f>
        <v>0</v>
      </c>
      <c r="BW22" s="3457">
        <f>'[5]凯迪拉克（含分摊）'!BW22/10000</f>
        <v>0</v>
      </c>
      <c r="BX22" s="3457">
        <f>'[5]凯迪拉克（含分摊）'!BX22/10000</f>
        <v>0</v>
      </c>
      <c r="BY22" s="3457">
        <f>'[5]凯迪拉克（含分摊）'!BY22/10000</f>
        <v>0</v>
      </c>
      <c r="BZ22" s="3457">
        <f>'[5]凯迪拉克（含分摊）'!BZ22/10000</f>
        <v>0</v>
      </c>
      <c r="CA22" s="3457">
        <f>'[5]凯迪拉克（含分摊）'!CA22/10000</f>
        <v>0</v>
      </c>
      <c r="CB22" s="3457">
        <f t="shared" si="5"/>
        <v>0</v>
      </c>
    </row>
    <row r="23" spans="1:80">
      <c r="A23" s="3476"/>
      <c r="B23" s="3456" t="s">
        <v>3493</v>
      </c>
      <c r="C23" s="3457">
        <f>'[5]凯迪拉克（含分摊）'!C23/10000</f>
        <v>0</v>
      </c>
      <c r="D23" s="3457">
        <f>'[5]凯迪拉克（含分摊）'!D23/10000</f>
        <v>0</v>
      </c>
      <c r="E23" s="3457">
        <f>'[5]凯迪拉克（含分摊）'!E23/10000</f>
        <v>1.04</v>
      </c>
      <c r="F23" s="3457">
        <f>'[5]凯迪拉克（含分摊）'!F23/10000</f>
        <v>1.04</v>
      </c>
      <c r="G23" s="3457">
        <f>'[5]凯迪拉克（含分摊）'!G23/10000</f>
        <v>1.82</v>
      </c>
      <c r="H23" s="3457">
        <f>'[5]凯迪拉克（含分摊）'!H23/10000</f>
        <v>1.04</v>
      </c>
      <c r="I23" s="3457">
        <f>'[5]凯迪拉克（含分摊）'!I23/10000</f>
        <v>1.1933860000000001</v>
      </c>
      <c r="J23" s="3457">
        <f>'[5]凯迪拉克（含分摊）'!J23/10000</f>
        <v>6.3910499999999999</v>
      </c>
      <c r="K23" s="3457">
        <f>'[5]凯迪拉克（含分摊）'!K23/10000</f>
        <v>1.3826000000000001</v>
      </c>
      <c r="L23" s="3457">
        <f>'[5]凯迪拉克（含分摊）'!L23/10000</f>
        <v>2.2557999999999998</v>
      </c>
      <c r="M23" s="3457">
        <f>'[5]凯迪拉克（含分摊）'!M23/10000</f>
        <v>1.770386</v>
      </c>
      <c r="N23" s="3457">
        <f>'[5]凯迪拉克（含分摊）'!N23/10000</f>
        <v>13.590314000000001</v>
      </c>
      <c r="O23" s="3457">
        <f t="shared" si="0"/>
        <v>31.523536</v>
      </c>
      <c r="P23" s="3457">
        <f>'[5]凯迪拉克（含分摊）'!P23/10000</f>
        <v>0.26</v>
      </c>
      <c r="Q23" s="3457">
        <f>'[5]凯迪拉克（含分摊）'!Q23/10000</f>
        <v>0.26</v>
      </c>
      <c r="R23" s="3457">
        <f>'[5]凯迪拉克（含分摊）'!R23/10000</f>
        <v>0</v>
      </c>
      <c r="S23" s="3457">
        <f>'[5]凯迪拉克（含分摊）'!S23/10000</f>
        <v>3.0901890000000001</v>
      </c>
      <c r="T23" s="3457">
        <f>'[5]凯迪拉克（含分摊）'!T23/10000</f>
        <v>1.04</v>
      </c>
      <c r="U23" s="3457">
        <f>'[5]凯迪拉克（含分摊）'!U23/10000</f>
        <v>1.04</v>
      </c>
      <c r="V23" s="3457">
        <f>'[5]凯迪拉克（含分摊）'!V23/10000</f>
        <v>2.08</v>
      </c>
      <c r="W23" s="3457">
        <f>'[5]凯迪拉克（含分摊）'!W23/10000</f>
        <v>1.56</v>
      </c>
      <c r="X23" s="3457">
        <f>'[5]凯迪拉克（含分摊）'!X23/10000</f>
        <v>0</v>
      </c>
      <c r="Y23" s="3457">
        <f>'[5]凯迪拉克（含分摊）'!Y23/10000</f>
        <v>0.52</v>
      </c>
      <c r="Z23" s="3457">
        <f>'[5]凯迪拉克（含分摊）'!Z23/10000</f>
        <v>0.78</v>
      </c>
      <c r="AA23" s="3457">
        <f>'[5]凯迪拉克（含分摊）'!AA23/10000</f>
        <v>0.78</v>
      </c>
      <c r="AB23" s="3457">
        <f t="shared" si="1"/>
        <v>11.410188999999999</v>
      </c>
      <c r="AC23" s="3457">
        <f>'[5]凯迪拉克（含分摊）'!AC23/10000</f>
        <v>0</v>
      </c>
      <c r="AD23" s="3457">
        <f>'[5]凯迪拉克（含分摊）'!AD23/10000</f>
        <v>0</v>
      </c>
      <c r="AE23" s="3457">
        <f>'[5]凯迪拉克（含分摊）'!AE23/10000</f>
        <v>0</v>
      </c>
      <c r="AF23" s="3457">
        <f>'[5]凯迪拉克（含分摊）'!AF23/10000</f>
        <v>0</v>
      </c>
      <c r="AG23" s="3457">
        <f>'[5]凯迪拉克（含分摊）'!AG23/10000</f>
        <v>0</v>
      </c>
      <c r="AH23" s="3457">
        <f>'[5]凯迪拉克（含分摊）'!AH23/10000</f>
        <v>0</v>
      </c>
      <c r="AI23" s="3457">
        <f>'[5]凯迪拉克（含分摊）'!AI23/10000</f>
        <v>0</v>
      </c>
      <c r="AJ23" s="3457">
        <f>'[5]凯迪拉克（含分摊）'!AJ23/10000</f>
        <v>0</v>
      </c>
      <c r="AK23" s="3457">
        <f>'[5]凯迪拉克（含分摊）'!AK23/10000</f>
        <v>0</v>
      </c>
      <c r="AL23" s="3457">
        <f>'[5]凯迪拉克（含分摊）'!AL23/10000</f>
        <v>0</v>
      </c>
      <c r="AM23" s="3457">
        <f>'[5]凯迪拉克（含分摊）'!AM23/10000</f>
        <v>0</v>
      </c>
      <c r="AN23" s="3457">
        <f>'[5]凯迪拉克（含分摊）'!AN23/10000</f>
        <v>0</v>
      </c>
      <c r="AO23" s="3457">
        <f t="shared" si="2"/>
        <v>0</v>
      </c>
      <c r="AP23" s="3457">
        <f>'[5]凯迪拉克（含分摊）'!AP23/10000</f>
        <v>0</v>
      </c>
      <c r="AQ23" s="3457">
        <f>'[5]凯迪拉克（含分摊）'!AQ23/10000</f>
        <v>0</v>
      </c>
      <c r="AR23" s="3457">
        <f>'[5]凯迪拉克（含分摊）'!AR23/10000</f>
        <v>0</v>
      </c>
      <c r="AS23" s="3457">
        <f>'[5]凯迪拉克（含分摊）'!AS23/10000</f>
        <v>0</v>
      </c>
      <c r="AT23" s="3457">
        <f>'[5]凯迪拉克（含分摊）'!AT23/10000</f>
        <v>0</v>
      </c>
      <c r="AU23" s="3457">
        <f>'[5]凯迪拉克（含分摊）'!AU23/10000</f>
        <v>0</v>
      </c>
      <c r="AV23" s="3457">
        <f>'[5]凯迪拉克（含分摊）'!AV23/10000</f>
        <v>0</v>
      </c>
      <c r="AW23" s="3457">
        <f>'[5]凯迪拉克（含分摊）'!AW23/10000</f>
        <v>0</v>
      </c>
      <c r="AX23" s="3457">
        <f>'[5]凯迪拉克（含分摊）'!AX23/10000</f>
        <v>0</v>
      </c>
      <c r="AY23" s="3457">
        <f>'[5]凯迪拉克（含分摊）'!AY23/10000</f>
        <v>0</v>
      </c>
      <c r="AZ23" s="3457">
        <f>'[5]凯迪拉克（含分摊）'!AZ23/10000</f>
        <v>0</v>
      </c>
      <c r="BA23" s="3457">
        <f>'[5]凯迪拉克（含分摊）'!BA23/10000</f>
        <v>0</v>
      </c>
      <c r="BB23" s="3457">
        <f t="shared" si="3"/>
        <v>0</v>
      </c>
      <c r="BC23" s="3457">
        <f>'[5]凯迪拉克（含分摊）'!BC23/10000</f>
        <v>0</v>
      </c>
      <c r="BD23" s="3457">
        <f>'[5]凯迪拉克（含分摊）'!BD23/10000</f>
        <v>0</v>
      </c>
      <c r="BE23" s="3457">
        <f>'[5]凯迪拉克（含分摊）'!BE23/10000</f>
        <v>0</v>
      </c>
      <c r="BF23" s="3457">
        <f>'[5]凯迪拉克（含分摊）'!BF23/10000</f>
        <v>0</v>
      </c>
      <c r="BG23" s="3457">
        <f>'[5]凯迪拉克（含分摊）'!BG23/10000</f>
        <v>0</v>
      </c>
      <c r="BH23" s="3457">
        <f>'[5]凯迪拉克（含分摊）'!BH23/10000</f>
        <v>0</v>
      </c>
      <c r="BI23" s="3457">
        <f>'[5]凯迪拉克（含分摊）'!BI23/10000</f>
        <v>0</v>
      </c>
      <c r="BJ23" s="3457">
        <f>'[5]凯迪拉克（含分摊）'!BJ23/10000</f>
        <v>0</v>
      </c>
      <c r="BK23" s="3457">
        <f>'[5]凯迪拉克（含分摊）'!BK23/10000</f>
        <v>0</v>
      </c>
      <c r="BL23" s="3457">
        <f>'[5]凯迪拉克（含分摊）'!BL23/10000</f>
        <v>0</v>
      </c>
      <c r="BM23" s="3457">
        <f>'[5]凯迪拉克（含分摊）'!BM23/10000</f>
        <v>0</v>
      </c>
      <c r="BN23" s="3457">
        <f>'[5]凯迪拉克（含分摊）'!BN23/10000</f>
        <v>0</v>
      </c>
      <c r="BO23" s="3457">
        <f t="shared" si="4"/>
        <v>0</v>
      </c>
      <c r="BP23" s="3457">
        <f>'[5]凯迪拉克（含分摊）'!BP23/10000</f>
        <v>0</v>
      </c>
      <c r="BQ23" s="3457">
        <f>'[5]凯迪拉克（含分摊）'!BQ23/10000</f>
        <v>0</v>
      </c>
      <c r="BR23" s="3457">
        <f>'[5]凯迪拉克（含分摊）'!BR23/10000</f>
        <v>0</v>
      </c>
      <c r="BS23" s="3457">
        <f>'[5]凯迪拉克（含分摊）'!BS23/10000</f>
        <v>0</v>
      </c>
      <c r="BT23" s="3457">
        <f>'[5]凯迪拉克（含分摊）'!BT23/10000</f>
        <v>0</v>
      </c>
      <c r="BU23" s="3457">
        <f>'[5]凯迪拉克（含分摊）'!BU23/10000</f>
        <v>0</v>
      </c>
      <c r="BV23" s="3457">
        <f>'[5]凯迪拉克（含分摊）'!BV23/10000</f>
        <v>0</v>
      </c>
      <c r="BW23" s="3457">
        <f>'[5]凯迪拉克（含分摊）'!BW23/10000</f>
        <v>0</v>
      </c>
      <c r="BX23" s="3457">
        <f>'[5]凯迪拉克（含分摊）'!BX23/10000</f>
        <v>0</v>
      </c>
      <c r="BY23" s="3457">
        <f>'[5]凯迪拉克（含分摊）'!BY23/10000</f>
        <v>0</v>
      </c>
      <c r="BZ23" s="3457">
        <f>'[5]凯迪拉克（含分摊）'!BZ23/10000</f>
        <v>0</v>
      </c>
      <c r="CA23" s="3457">
        <f>'[5]凯迪拉克（含分摊）'!CA23/10000</f>
        <v>0</v>
      </c>
      <c r="CB23" s="3457">
        <f t="shared" si="5"/>
        <v>0</v>
      </c>
    </row>
    <row r="24" spans="1:80">
      <c r="A24" s="3477"/>
      <c r="B24" s="3478" t="s">
        <v>3494</v>
      </c>
      <c r="C24" s="3457">
        <f>'[5]凯迪拉克（含分摊）'!C24/10000</f>
        <v>0</v>
      </c>
      <c r="D24" s="3457">
        <f>'[5]凯迪拉克（含分摊）'!D24/10000</f>
        <v>0</v>
      </c>
      <c r="E24" s="3457">
        <f>'[5]凯迪拉克（含分摊）'!E24/10000</f>
        <v>47.954415000000004</v>
      </c>
      <c r="F24" s="3457">
        <f>'[5]凯迪拉克（含分摊）'!F24/10000</f>
        <v>2.2532000000000001</v>
      </c>
      <c r="G24" s="3457">
        <f>'[5]凯迪拉克（含分摊）'!G24/10000</f>
        <v>13.4498</v>
      </c>
      <c r="H24" s="3457">
        <f>'[5]凯迪拉克（含分摊）'!H24/10000</f>
        <v>16.462676999999999</v>
      </c>
      <c r="I24" s="3457">
        <f>'[5]凯迪拉克（含分摊）'!I24/10000</f>
        <v>14.457758999999999</v>
      </c>
      <c r="J24" s="3457">
        <f>'[5]凯迪拉克（含分摊）'!J24/10000</f>
        <v>8.6593320000000009</v>
      </c>
      <c r="K24" s="3457">
        <f>'[5]凯迪拉克（含分摊）'!K24/10000</f>
        <v>26.215361999999999</v>
      </c>
      <c r="L24" s="3457">
        <f>'[5]凯迪拉克（含分摊）'!L24/10000</f>
        <v>-28.9922</v>
      </c>
      <c r="M24" s="3457">
        <f>'[5]凯迪拉克（含分摊）'!M24/10000</f>
        <v>-2.899092</v>
      </c>
      <c r="N24" s="3457">
        <f>'[5]凯迪拉克（含分摊）'!N24/10000</f>
        <v>172.336657</v>
      </c>
      <c r="O24" s="3457">
        <f t="shared" si="0"/>
        <v>269.89791000000002</v>
      </c>
      <c r="P24" s="3457">
        <f>'[5]凯迪拉克（含分摊）'!P24/10000</f>
        <v>39.068455</v>
      </c>
      <c r="Q24" s="3457">
        <f>'[5]凯迪拉克（含分摊）'!Q24/10000</f>
        <v>10.847382000000001</v>
      </c>
      <c r="R24" s="3457">
        <f>'[5]凯迪拉克（含分摊）'!R24/10000</f>
        <v>26.756134000000003</v>
      </c>
      <c r="S24" s="3457">
        <f>'[5]凯迪拉克（含分摊）'!S24/10000</f>
        <v>16.142712</v>
      </c>
      <c r="T24" s="3457">
        <f>'[5]凯迪拉克（含分摊）'!T24/10000</f>
        <v>21.293934</v>
      </c>
      <c r="U24" s="3457">
        <f>'[5]凯迪拉克（含分摊）'!U24/10000</f>
        <v>27.399182</v>
      </c>
      <c r="V24" s="3457">
        <f>'[5]凯迪拉克（含分摊）'!V24/10000</f>
        <v>30.306334000000003</v>
      </c>
      <c r="W24" s="3457">
        <f>'[5]凯迪拉克（含分摊）'!W24/10000</f>
        <v>29.232271000000001</v>
      </c>
      <c r="X24" s="3457">
        <f>'[5]凯迪拉克（含分摊）'!X24/10000</f>
        <v>9.8632910000000003</v>
      </c>
      <c r="Y24" s="3457">
        <f>'[5]凯迪拉克（含分摊）'!Y24/10000</f>
        <v>17.095706</v>
      </c>
      <c r="Z24" s="3457">
        <f>'[5]凯迪拉克（含分摊）'!Z24/10000</f>
        <v>47.410284000000004</v>
      </c>
      <c r="AA24" s="3457">
        <f>'[5]凯迪拉克（含分摊）'!AA24/10000</f>
        <v>58.390345999999994</v>
      </c>
      <c r="AB24" s="3457">
        <f t="shared" si="1"/>
        <v>333.80603099999996</v>
      </c>
      <c r="AC24" s="3457">
        <f>'[5]凯迪拉克（含分摊）'!AC24/10000</f>
        <v>20.510161624999999</v>
      </c>
      <c r="AD24" s="3457">
        <f>'[5]凯迪拉克（含分摊）'!AD24/10000</f>
        <v>0.23202100000000001</v>
      </c>
      <c r="AE24" s="3457">
        <f>'[5]凯迪拉克（含分摊）'!AE24/10000</f>
        <v>0.23202199999999998</v>
      </c>
      <c r="AF24" s="3457">
        <f>'[5]凯迪拉克（含分摊）'!AF24/10000</f>
        <v>0.190855</v>
      </c>
      <c r="AG24" s="3457">
        <f>'[5]凯迪拉克（含分摊）'!AG24/10000</f>
        <v>-0.44206599999999996</v>
      </c>
      <c r="AH24" s="3457">
        <f>'[5]凯迪拉克（含分摊）'!AH24/10000</f>
        <v>0.88600599999999996</v>
      </c>
      <c r="AI24" s="3457">
        <f>'[5]凯迪拉克（含分摊）'!AI24/10000</f>
        <v>0.12020699999999999</v>
      </c>
      <c r="AJ24" s="3457">
        <f>'[5]凯迪拉克（含分摊）'!AJ24/10000</f>
        <v>6.6972570000000005</v>
      </c>
      <c r="AK24" s="3457">
        <f>'[5]凯迪拉克（含分摊）'!AK24/10000</f>
        <v>8.3790000000000003E-2</v>
      </c>
      <c r="AL24" s="3457">
        <f>'[5]凯迪拉克（含分摊）'!AL24/10000</f>
        <v>9.9001900000000003</v>
      </c>
      <c r="AM24" s="3457">
        <f>'[5]凯迪拉克（含分摊）'!AM24/10000</f>
        <v>7.970091</v>
      </c>
      <c r="AN24" s="3457">
        <f>'[5]凯迪拉克（含分摊）'!AN24/10000</f>
        <v>19.164254999999997</v>
      </c>
      <c r="AO24" s="3457">
        <f t="shared" si="2"/>
        <v>65.544789624999993</v>
      </c>
      <c r="AP24" s="3457">
        <f>'[5]凯迪拉克（含分摊）'!AP24/10000</f>
        <v>8.3790000000000003E-2</v>
      </c>
      <c r="AQ24" s="3457">
        <f>'[5]凯迪拉克（含分摊）'!AQ24/10000</f>
        <v>3.8239919999999996</v>
      </c>
      <c r="AR24" s="3457">
        <f>'[5]凯迪拉克（含分摊）'!AR24/10000</f>
        <v>8.3790000000000003E-2</v>
      </c>
      <c r="AS24" s="3457">
        <f>'[5]凯迪拉克（含分摊）'!AS24/10000</f>
        <v>0</v>
      </c>
      <c r="AT24" s="3457">
        <f>'[5]凯迪拉克（含分摊）'!AT24/10000</f>
        <v>0</v>
      </c>
      <c r="AU24" s="3457">
        <f>'[5]凯迪拉克（含分摊）'!AU24/10000</f>
        <v>0</v>
      </c>
      <c r="AV24" s="3457">
        <f>'[5]凯迪拉克（含分摊）'!AV24/10000</f>
        <v>12.428957</v>
      </c>
      <c r="AW24" s="3457">
        <f>'[5]凯迪拉克（含分摊）'!AW24/10000</f>
        <v>5.5657740000000002</v>
      </c>
      <c r="AX24" s="3457">
        <f>'[5]凯迪拉克（含分摊）'!AX24/10000</f>
        <v>0.22900000000000001</v>
      </c>
      <c r="AY24" s="3457">
        <f>'[5]凯迪拉克（含分摊）'!AY24/10000</f>
        <v>0.123655</v>
      </c>
      <c r="AZ24" s="3457">
        <f>'[5]凯迪拉克（含分摊）'!AZ24/10000</f>
        <v>0</v>
      </c>
      <c r="BA24" s="3457">
        <f>'[5]凯迪拉克（含分摊）'!BA24/10000</f>
        <v>18.477585000000001</v>
      </c>
      <c r="BB24" s="3457">
        <f t="shared" si="3"/>
        <v>40.816543000000003</v>
      </c>
      <c r="BC24" s="3457">
        <f>'[5]凯迪拉克（含分摊）'!BC24/10000</f>
        <v>-0.16405400000000001</v>
      </c>
      <c r="BD24" s="3457">
        <f>'[5]凯迪拉克（含分摊）'!BD24/10000</f>
        <v>0</v>
      </c>
      <c r="BE24" s="3457">
        <f>'[5]凯迪拉克（含分摊）'!BE24/10000</f>
        <v>0</v>
      </c>
      <c r="BF24" s="3457">
        <f>'[5]凯迪拉克（含分摊）'!BF24/10000</f>
        <v>0</v>
      </c>
      <c r="BG24" s="3457">
        <f>'[5]凯迪拉克（含分摊）'!BG24/10000</f>
        <v>0</v>
      </c>
      <c r="BH24" s="3457">
        <f>'[5]凯迪拉克（含分摊）'!BH24/10000</f>
        <v>0</v>
      </c>
      <c r="BI24" s="3457">
        <f>'[5]凯迪拉克（含分摊）'!BI24/10000</f>
        <v>0</v>
      </c>
      <c r="BJ24" s="3457">
        <f>'[5]凯迪拉克（含分摊）'!BJ24/10000</f>
        <v>0</v>
      </c>
      <c r="BK24" s="3457">
        <f>'[5]凯迪拉克（含分摊）'!BK24/10000</f>
        <v>0</v>
      </c>
      <c r="BL24" s="3457">
        <f>'[5]凯迪拉克（含分摊）'!BL24/10000</f>
        <v>0</v>
      </c>
      <c r="BM24" s="3457">
        <f>'[5]凯迪拉克（含分摊）'!BM24/10000</f>
        <v>0</v>
      </c>
      <c r="BN24" s="3457">
        <f>'[5]凯迪拉克（含分摊）'!BN24/10000</f>
        <v>0</v>
      </c>
      <c r="BO24" s="3457">
        <f t="shared" si="4"/>
        <v>-0.16405400000000001</v>
      </c>
      <c r="BP24" s="3457">
        <f>'[5]凯迪拉克（含分摊）'!BP24/10000</f>
        <v>0</v>
      </c>
      <c r="BQ24" s="3457">
        <f>'[5]凯迪拉克（含分摊）'!BQ24/10000</f>
        <v>0</v>
      </c>
      <c r="BR24" s="3457">
        <f>'[5]凯迪拉克（含分摊）'!BR24/10000</f>
        <v>0</v>
      </c>
      <c r="BS24" s="3457">
        <f>'[5]凯迪拉克（含分摊）'!BS24/10000</f>
        <v>15.121720999999999</v>
      </c>
      <c r="BT24" s="3457">
        <f>'[5]凯迪拉克（含分摊）'!BT24/10000</f>
        <v>33.822429999999997</v>
      </c>
      <c r="BU24" s="3457">
        <f>'[5]凯迪拉克（含分摊）'!BU24/10000</f>
        <v>27.833295</v>
      </c>
      <c r="BV24" s="3457">
        <f>'[5]凯迪拉克（含分摊）'!BV24/10000</f>
        <v>35.949259999999995</v>
      </c>
      <c r="BW24" s="3457">
        <f>'[5]凯迪拉克（含分摊）'!BW24/10000</f>
        <v>23.302629999999997</v>
      </c>
      <c r="BX24" s="3457">
        <f>'[5]凯迪拉克（含分摊）'!BX24/10000</f>
        <v>15.709250000000001</v>
      </c>
      <c r="BY24" s="3457">
        <f>'[5]凯迪拉克（含分摊）'!BY24/10000</f>
        <v>3.060924</v>
      </c>
      <c r="BZ24" s="3457">
        <f>'[5]凯迪拉克（含分摊）'!BZ24/10000</f>
        <v>8.6331830000000007</v>
      </c>
      <c r="CA24" s="3457">
        <f>'[5]凯迪拉克（含分摊）'!CA24/10000</f>
        <v>15.357439999999999</v>
      </c>
      <c r="CB24" s="3457">
        <f t="shared" si="5"/>
        <v>178.790133</v>
      </c>
    </row>
    <row r="25" spans="1:80">
      <c r="A25" s="3477"/>
      <c r="B25" s="3478" t="s">
        <v>3495</v>
      </c>
      <c r="C25" s="3457">
        <f>'[5]凯迪拉克（含分摊）'!C25/10000</f>
        <v>0</v>
      </c>
      <c r="D25" s="3457">
        <f>'[5]凯迪拉克（含分摊）'!D25/10000</f>
        <v>0</v>
      </c>
      <c r="E25" s="3457">
        <f>'[5]凯迪拉克（含分摊）'!E25/10000</f>
        <v>438.38908300000003</v>
      </c>
      <c r="F25" s="3457">
        <f>'[5]凯迪拉克（含分摊）'!F25/10000</f>
        <v>47.357546999999997</v>
      </c>
      <c r="G25" s="3457">
        <f>'[5]凯迪拉克（含分摊）'!G25/10000</f>
        <v>-77.577175999999994</v>
      </c>
      <c r="H25" s="3457">
        <f>'[5]凯迪拉克（含分摊）'!H25/10000</f>
        <v>66.531564000000003</v>
      </c>
      <c r="I25" s="3457">
        <f>'[5]凯迪拉克（含分摊）'!I25/10000</f>
        <v>1.6553869999999999</v>
      </c>
      <c r="J25" s="3457">
        <f>'[5]凯迪拉克（含分摊）'!J25/10000</f>
        <v>12.241056</v>
      </c>
      <c r="K25" s="3457">
        <f>'[5]凯迪拉克（含分摊）'!K25/10000</f>
        <v>10.2001565</v>
      </c>
      <c r="L25" s="3457">
        <f>'[5]凯迪拉克（含分摊）'!L25/10000</f>
        <v>79.409191000000007</v>
      </c>
      <c r="M25" s="3457">
        <f>'[5]凯迪拉克（含分摊）'!M25/10000</f>
        <v>167.20899</v>
      </c>
      <c r="N25" s="3457">
        <f>'[5]凯迪拉克（含分摊）'!N25/10000</f>
        <v>219.516717</v>
      </c>
      <c r="O25" s="3457">
        <f t="shared" si="0"/>
        <v>964.93251550000002</v>
      </c>
      <c r="P25" s="3457">
        <f>'[5]凯迪拉克（含分摊）'!P25/10000</f>
        <v>311.96801499999998</v>
      </c>
      <c r="Q25" s="3457">
        <f>'[5]凯迪拉克（含分摊）'!Q25/10000</f>
        <v>33.001077000000002</v>
      </c>
      <c r="R25" s="3457">
        <f>'[5]凯迪拉克（含分摊）'!R25/10000</f>
        <v>243.21287999999998</v>
      </c>
      <c r="S25" s="3457">
        <f>'[5]凯迪拉克（含分摊）'!S25/10000</f>
        <v>110.18852800000001</v>
      </c>
      <c r="T25" s="3457">
        <f>'[5]凯迪拉克（含分摊）'!T25/10000</f>
        <v>33.138948999999997</v>
      </c>
      <c r="U25" s="3457">
        <f>'[5]凯迪拉克（含分摊）'!U25/10000</f>
        <v>38.125</v>
      </c>
      <c r="V25" s="3457">
        <f>'[5]凯迪拉克（含分摊）'!V25/10000</f>
        <v>-20.708496</v>
      </c>
      <c r="W25" s="3457">
        <f>'[5]凯迪拉克（含分摊）'!W25/10000</f>
        <v>11.060628999999999</v>
      </c>
      <c r="X25" s="3457">
        <f>'[5]凯迪拉克（含分摊）'!X25/10000</f>
        <v>43.220999999999997</v>
      </c>
      <c r="Y25" s="3457">
        <f>'[5]凯迪拉克（含分摊）'!Y25/10000</f>
        <v>63.548200000000001</v>
      </c>
      <c r="Z25" s="3457">
        <f>'[5]凯迪拉克（含分摊）'!Z25/10000</f>
        <v>317.22503999999998</v>
      </c>
      <c r="AA25" s="3457">
        <f>'[5]凯迪拉克（含分摊）'!AA25/10000</f>
        <v>492.20213600000005</v>
      </c>
      <c r="AB25" s="3457">
        <f t="shared" si="1"/>
        <v>1676.1829580000001</v>
      </c>
      <c r="AC25" s="3457">
        <f>'[5]凯迪拉克（含分摊）'!AC25/10000</f>
        <v>4.2816304374999996</v>
      </c>
      <c r="AD25" s="3457">
        <f>'[5]凯迪拉克（含分摊）'!AD25/10000</f>
        <v>4.2816304374999996</v>
      </c>
      <c r="AE25" s="3457">
        <f>'[5]凯迪拉克（含分摊）'!AE25/10000</f>
        <v>4.2816304374999996</v>
      </c>
      <c r="AF25" s="3457">
        <f>'[5]凯迪拉克（含分摊）'!AF25/10000</f>
        <v>4.2816304374999996</v>
      </c>
      <c r="AG25" s="3457">
        <f>'[5]凯迪拉克（含分摊）'!AG25/10000</f>
        <v>4.2816304374999996</v>
      </c>
      <c r="AH25" s="3457">
        <f>'[5]凯迪拉克（含分摊）'!AH25/10000</f>
        <v>4.2816304374999996</v>
      </c>
      <c r="AI25" s="3457">
        <f>'[5]凯迪拉克（含分摊）'!AI25/10000</f>
        <v>4.2816304374999996</v>
      </c>
      <c r="AJ25" s="3457">
        <f>'[5]凯迪拉克（含分摊）'!AJ25/10000</f>
        <v>4.2816304374999996</v>
      </c>
      <c r="AK25" s="3457">
        <f>'[5]凯迪拉克（含分摊）'!AK25/10000</f>
        <v>4.2816304374999996</v>
      </c>
      <c r="AL25" s="3457">
        <f>'[5]凯迪拉克（含分摊）'!AL25/10000</f>
        <v>4.2816304374999996</v>
      </c>
      <c r="AM25" s="3457">
        <f>'[5]凯迪拉克（含分摊）'!AM25/10000</f>
        <v>4.2816304374999996</v>
      </c>
      <c r="AN25" s="3457">
        <f>'[5]凯迪拉克（含分摊）'!AN25/10000</f>
        <v>4.2816304374999996</v>
      </c>
      <c r="AO25" s="3457">
        <f t="shared" si="2"/>
        <v>51.379565249999992</v>
      </c>
      <c r="AP25" s="3457">
        <f>'[5]凯迪拉克（含分摊）'!AP25/10000</f>
        <v>0</v>
      </c>
      <c r="AQ25" s="3457">
        <f>'[5]凯迪拉克（含分摊）'!AQ25/10000</f>
        <v>0</v>
      </c>
      <c r="AR25" s="3457">
        <f>'[5]凯迪拉克（含分摊）'!AR25/10000</f>
        <v>0</v>
      </c>
      <c r="AS25" s="3457">
        <f>'[5]凯迪拉克（含分摊）'!AS25/10000</f>
        <v>0</v>
      </c>
      <c r="AT25" s="3457">
        <f>'[5]凯迪拉克（含分摊）'!AT25/10000</f>
        <v>0</v>
      </c>
      <c r="AU25" s="3457">
        <f>'[5]凯迪拉克（含分摊）'!AU25/10000</f>
        <v>0</v>
      </c>
      <c r="AV25" s="3457">
        <f>'[5]凯迪拉克（含分摊）'!AV25/10000</f>
        <v>0</v>
      </c>
      <c r="AW25" s="3457">
        <f>'[5]凯迪拉克（含分摊）'!AW25/10000</f>
        <v>0</v>
      </c>
      <c r="AX25" s="3457">
        <f>'[5]凯迪拉克（含分摊）'!AX25/10000</f>
        <v>0</v>
      </c>
      <c r="AY25" s="3457">
        <f>'[5]凯迪拉克（含分摊）'!AY25/10000</f>
        <v>0</v>
      </c>
      <c r="AZ25" s="3457">
        <f>'[5]凯迪拉克（含分摊）'!AZ25/10000</f>
        <v>3.3239999999999998</v>
      </c>
      <c r="BA25" s="3457">
        <f>'[5]凯迪拉克（含分摊）'!BA25/10000</f>
        <v>13.078569</v>
      </c>
      <c r="BB25" s="3457">
        <f t="shared" si="3"/>
        <v>16.402569</v>
      </c>
      <c r="BC25" s="3457">
        <f>'[5]凯迪拉克（含分摊）'!BC25/10000</f>
        <v>0</v>
      </c>
      <c r="BD25" s="3457">
        <f>'[5]凯迪拉克（含分摊）'!BD25/10000</f>
        <v>0</v>
      </c>
      <c r="BE25" s="3457">
        <f>'[5]凯迪拉克（含分摊）'!BE25/10000</f>
        <v>0</v>
      </c>
      <c r="BF25" s="3457">
        <f>'[5]凯迪拉克（含分摊）'!BF25/10000</f>
        <v>0</v>
      </c>
      <c r="BG25" s="3457">
        <f>'[5]凯迪拉克（含分摊）'!BG25/10000</f>
        <v>0</v>
      </c>
      <c r="BH25" s="3457">
        <f>'[5]凯迪拉克（含分摊）'!BH25/10000</f>
        <v>0</v>
      </c>
      <c r="BI25" s="3457">
        <f>'[5]凯迪拉克（含分摊）'!BI25/10000</f>
        <v>0</v>
      </c>
      <c r="BJ25" s="3457">
        <f>'[5]凯迪拉克（含分摊）'!BJ25/10000</f>
        <v>0</v>
      </c>
      <c r="BK25" s="3457">
        <f>'[5]凯迪拉克（含分摊）'!BK25/10000</f>
        <v>0</v>
      </c>
      <c r="BL25" s="3457">
        <f>'[5]凯迪拉克（含分摊）'!BL25/10000</f>
        <v>0</v>
      </c>
      <c r="BM25" s="3457">
        <f>'[5]凯迪拉克（含分摊）'!BM25/10000</f>
        <v>56.603771999999999</v>
      </c>
      <c r="BN25" s="3457">
        <f>'[5]凯迪拉克（含分摊）'!BN25/10000</f>
        <v>0</v>
      </c>
      <c r="BO25" s="3457">
        <f t="shared" si="4"/>
        <v>56.603771999999999</v>
      </c>
      <c r="BP25" s="3457">
        <f>'[5]凯迪拉克（含分摊）'!BP25/10000</f>
        <v>0</v>
      </c>
      <c r="BQ25" s="3457">
        <f>'[5]凯迪拉克（含分摊）'!BQ25/10000</f>
        <v>13.809173999999999</v>
      </c>
      <c r="BR25" s="3457">
        <f>'[5]凯迪拉克（含分摊）'!BR25/10000</f>
        <v>100.466752</v>
      </c>
      <c r="BS25" s="3457">
        <f>'[5]凯迪拉克（含分摊）'!BS25/10000</f>
        <v>78.917199999999994</v>
      </c>
      <c r="BT25" s="3457">
        <f>'[5]凯迪拉克（含分摊）'!BT25/10000</f>
        <v>-0.71830000000000005</v>
      </c>
      <c r="BU25" s="3457">
        <f>'[5]凯迪拉克（含分摊）'!BU25/10000</f>
        <v>-0.39252100000000001</v>
      </c>
      <c r="BV25" s="3457">
        <f>'[5]凯迪拉克（含分摊）'!BV25/10000</f>
        <v>6.4693949999999996</v>
      </c>
      <c r="BW25" s="3457">
        <f>'[5]凯迪拉克（含分摊）'!BW25/10000</f>
        <v>10.725664</v>
      </c>
      <c r="BX25" s="3457">
        <f>'[5]凯迪拉克（含分摊）'!BX25/10000</f>
        <v>0</v>
      </c>
      <c r="BY25" s="3457">
        <f>'[5]凯迪拉克（含分摊）'!BY25/10000</f>
        <v>11.959516000000001</v>
      </c>
      <c r="BZ25" s="3457">
        <f>'[5]凯迪拉克（含分摊）'!BZ25/10000</f>
        <v>93.726294999999993</v>
      </c>
      <c r="CA25" s="3457">
        <f>'[5]凯迪拉克（含分摊）'!CA25/10000</f>
        <v>141.297304</v>
      </c>
      <c r="CB25" s="3457">
        <f t="shared" si="5"/>
        <v>456.26047899999998</v>
      </c>
    </row>
    <row r="26" spans="1:80">
      <c r="A26" s="3477"/>
      <c r="B26" s="3478" t="s">
        <v>3496</v>
      </c>
      <c r="C26" s="3457">
        <f>'[5]凯迪拉克（含分摊）'!C26/10000</f>
        <v>0</v>
      </c>
      <c r="D26" s="3457">
        <f>'[5]凯迪拉克（含分摊）'!D26/10000</f>
        <v>0</v>
      </c>
      <c r="E26" s="3457">
        <f>'[5]凯迪拉克（含分摊）'!E26/10000</f>
        <v>0</v>
      </c>
      <c r="F26" s="3457">
        <f>'[5]凯迪拉克（含分摊）'!F26/10000</f>
        <v>0</v>
      </c>
      <c r="G26" s="3457">
        <f>'[5]凯迪拉克（含分摊）'!G26/10000</f>
        <v>0</v>
      </c>
      <c r="H26" s="3457">
        <f>'[5]凯迪拉克（含分摊）'!H26/10000</f>
        <v>0</v>
      </c>
      <c r="I26" s="3457">
        <f>'[5]凯迪拉克（含分摊）'!I26/10000</f>
        <v>0</v>
      </c>
      <c r="J26" s="3457">
        <f>'[5]凯迪拉克（含分摊）'!J26/10000</f>
        <v>0</v>
      </c>
      <c r="K26" s="3457">
        <f>'[5]凯迪拉克（含分摊）'!K26/10000</f>
        <v>0</v>
      </c>
      <c r="L26" s="3457">
        <f>'[5]凯迪拉克（含分摊）'!L26/10000</f>
        <v>0</v>
      </c>
      <c r="M26" s="3457">
        <f>'[5]凯迪拉克（含分摊）'!M26/10000</f>
        <v>0</v>
      </c>
      <c r="N26" s="3457">
        <f>'[5]凯迪拉克（含分摊）'!N26/10000</f>
        <v>0</v>
      </c>
      <c r="O26" s="3457">
        <f t="shared" si="0"/>
        <v>0</v>
      </c>
      <c r="P26" s="3457">
        <f>'[5]凯迪拉克（含分摊）'!P26/10000</f>
        <v>0</v>
      </c>
      <c r="Q26" s="3457">
        <f>'[5]凯迪拉克（含分摊）'!Q26/10000</f>
        <v>0</v>
      </c>
      <c r="R26" s="3457">
        <f>'[5]凯迪拉克（含分摊）'!R26/10000</f>
        <v>0</v>
      </c>
      <c r="S26" s="3457">
        <f>'[5]凯迪拉克（含分摊）'!S26/10000</f>
        <v>0</v>
      </c>
      <c r="T26" s="3457">
        <f>'[5]凯迪拉克（含分摊）'!T26/10000</f>
        <v>0</v>
      </c>
      <c r="U26" s="3457">
        <f>'[5]凯迪拉克（含分摊）'!U26/10000</f>
        <v>0</v>
      </c>
      <c r="V26" s="3457">
        <f>'[5]凯迪拉克（含分摊）'!V26/10000</f>
        <v>0</v>
      </c>
      <c r="W26" s="3457">
        <f>'[5]凯迪拉克（含分摊）'!W26/10000</f>
        <v>0</v>
      </c>
      <c r="X26" s="3457">
        <f>'[5]凯迪拉克（含分摊）'!X26/10000</f>
        <v>0</v>
      </c>
      <c r="Y26" s="3457">
        <f>'[5]凯迪拉克（含分摊）'!Y26/10000</f>
        <v>0</v>
      </c>
      <c r="Z26" s="3457">
        <f>'[5]凯迪拉克（含分摊）'!Z26/10000</f>
        <v>0</v>
      </c>
      <c r="AA26" s="3457">
        <f>'[5]凯迪拉克（含分摊）'!AA26/10000</f>
        <v>0</v>
      </c>
      <c r="AB26" s="3457">
        <f t="shared" si="1"/>
        <v>0</v>
      </c>
      <c r="AC26" s="3457">
        <f>'[5]凯迪拉克（含分摊）'!AC26/10000</f>
        <v>0</v>
      </c>
      <c r="AD26" s="3457">
        <f>'[5]凯迪拉克（含分摊）'!AD26/10000</f>
        <v>0</v>
      </c>
      <c r="AE26" s="3457">
        <f>'[5]凯迪拉克（含分摊）'!AE26/10000</f>
        <v>0</v>
      </c>
      <c r="AF26" s="3457">
        <f>'[5]凯迪拉克（含分摊）'!AF26/10000</f>
        <v>0</v>
      </c>
      <c r="AG26" s="3457">
        <f>'[5]凯迪拉克（含分摊）'!AG26/10000</f>
        <v>0</v>
      </c>
      <c r="AH26" s="3457">
        <f>'[5]凯迪拉克（含分摊）'!AH26/10000</f>
        <v>0</v>
      </c>
      <c r="AI26" s="3457">
        <f>'[5]凯迪拉克（含分摊）'!AI26/10000</f>
        <v>0</v>
      </c>
      <c r="AJ26" s="3457">
        <f>'[5]凯迪拉克（含分摊）'!AJ26/10000</f>
        <v>0</v>
      </c>
      <c r="AK26" s="3457">
        <f>'[5]凯迪拉克（含分摊）'!AK26/10000</f>
        <v>0</v>
      </c>
      <c r="AL26" s="3457">
        <f>'[5]凯迪拉克（含分摊）'!AL26/10000</f>
        <v>0</v>
      </c>
      <c r="AM26" s="3457">
        <f>'[5]凯迪拉克（含分摊）'!AM26/10000</f>
        <v>0</v>
      </c>
      <c r="AN26" s="3457">
        <f>'[5]凯迪拉克（含分摊）'!AN26/10000</f>
        <v>0</v>
      </c>
      <c r="AO26" s="3457">
        <f t="shared" si="2"/>
        <v>0</v>
      </c>
      <c r="AP26" s="3457">
        <f>'[5]凯迪拉克（含分摊）'!AP26/10000</f>
        <v>0</v>
      </c>
      <c r="AQ26" s="3457">
        <f>'[5]凯迪拉克（含分摊）'!AQ26/10000</f>
        <v>0</v>
      </c>
      <c r="AR26" s="3457">
        <f>'[5]凯迪拉克（含分摊）'!AR26/10000</f>
        <v>0</v>
      </c>
      <c r="AS26" s="3457">
        <f>'[5]凯迪拉克（含分摊）'!AS26/10000</f>
        <v>0</v>
      </c>
      <c r="AT26" s="3457">
        <f>'[5]凯迪拉克（含分摊）'!AT26/10000</f>
        <v>0</v>
      </c>
      <c r="AU26" s="3457">
        <f>'[5]凯迪拉克（含分摊）'!AU26/10000</f>
        <v>0</v>
      </c>
      <c r="AV26" s="3457">
        <f>'[5]凯迪拉克（含分摊）'!AV26/10000</f>
        <v>0</v>
      </c>
      <c r="AW26" s="3457">
        <f>'[5]凯迪拉克（含分摊）'!AW26/10000</f>
        <v>0</v>
      </c>
      <c r="AX26" s="3457">
        <f>'[5]凯迪拉克（含分摊）'!AX26/10000</f>
        <v>0</v>
      </c>
      <c r="AY26" s="3457">
        <f>'[5]凯迪拉克（含分摊）'!AY26/10000</f>
        <v>0</v>
      </c>
      <c r="AZ26" s="3457">
        <f>'[5]凯迪拉克（含分摊）'!AZ26/10000</f>
        <v>0</v>
      </c>
      <c r="BA26" s="3457">
        <f>'[5]凯迪拉克（含分摊）'!BA26/10000</f>
        <v>0</v>
      </c>
      <c r="BB26" s="3457">
        <f t="shared" si="3"/>
        <v>0</v>
      </c>
      <c r="BC26" s="3457">
        <f>'[5]凯迪拉克（含分摊）'!BC26/10000</f>
        <v>0</v>
      </c>
      <c r="BD26" s="3457">
        <f>'[5]凯迪拉克（含分摊）'!BD26/10000</f>
        <v>0</v>
      </c>
      <c r="BE26" s="3457">
        <f>'[5]凯迪拉克（含分摊）'!BE26/10000</f>
        <v>0</v>
      </c>
      <c r="BF26" s="3457">
        <f>'[5]凯迪拉克（含分摊）'!BF26/10000</f>
        <v>0</v>
      </c>
      <c r="BG26" s="3457">
        <f>'[5]凯迪拉克（含分摊）'!BG26/10000</f>
        <v>0</v>
      </c>
      <c r="BH26" s="3457">
        <f>'[5]凯迪拉克（含分摊）'!BH26/10000</f>
        <v>0</v>
      </c>
      <c r="BI26" s="3457">
        <f>'[5]凯迪拉克（含分摊）'!BI26/10000</f>
        <v>0</v>
      </c>
      <c r="BJ26" s="3457">
        <f>'[5]凯迪拉克（含分摊）'!BJ26/10000</f>
        <v>0</v>
      </c>
      <c r="BK26" s="3457">
        <f>'[5]凯迪拉克（含分摊）'!BK26/10000</f>
        <v>0</v>
      </c>
      <c r="BL26" s="3457">
        <f>'[5]凯迪拉克（含分摊）'!BL26/10000</f>
        <v>0</v>
      </c>
      <c r="BM26" s="3457">
        <f>'[5]凯迪拉克（含分摊）'!BM26/10000</f>
        <v>0</v>
      </c>
      <c r="BN26" s="3457">
        <f>'[5]凯迪拉克（含分摊）'!BN26/10000</f>
        <v>0</v>
      </c>
      <c r="BO26" s="3457">
        <f t="shared" si="4"/>
        <v>0</v>
      </c>
      <c r="BP26" s="3457">
        <f>'[5]凯迪拉克（含分摊）'!BP26/10000</f>
        <v>0</v>
      </c>
      <c r="BQ26" s="3457">
        <f>'[5]凯迪拉克（含分摊）'!BQ26/10000</f>
        <v>0</v>
      </c>
      <c r="BR26" s="3457">
        <f>'[5]凯迪拉克（含分摊）'!BR26/10000</f>
        <v>0</v>
      </c>
      <c r="BS26" s="3457">
        <f>'[5]凯迪拉克（含分摊）'!BS26/10000</f>
        <v>0</v>
      </c>
      <c r="BT26" s="3457">
        <f>'[5]凯迪拉克（含分摊）'!BT26/10000</f>
        <v>0</v>
      </c>
      <c r="BU26" s="3457">
        <f>'[5]凯迪拉克（含分摊）'!BU26/10000</f>
        <v>0</v>
      </c>
      <c r="BV26" s="3457">
        <f>'[5]凯迪拉克（含分摊）'!BV26/10000</f>
        <v>0</v>
      </c>
      <c r="BW26" s="3457">
        <f>'[5]凯迪拉克（含分摊）'!BW26/10000</f>
        <v>0</v>
      </c>
      <c r="BX26" s="3457">
        <f>'[5]凯迪拉克（含分摊）'!BX26/10000</f>
        <v>0</v>
      </c>
      <c r="BY26" s="3457">
        <f>'[5]凯迪拉克（含分摊）'!BY26/10000</f>
        <v>0</v>
      </c>
      <c r="BZ26" s="3457">
        <f>'[5]凯迪拉克（含分摊）'!BZ26/10000</f>
        <v>0</v>
      </c>
      <c r="CA26" s="3457">
        <f>'[5]凯迪拉克（含分摊）'!CA26/10000</f>
        <v>0</v>
      </c>
      <c r="CB26" s="3457">
        <f t="shared" si="5"/>
        <v>0</v>
      </c>
    </row>
    <row r="27" spans="1:80" ht="14.25" thickBot="1">
      <c r="A27" s="3479"/>
      <c r="B27" s="3480" t="s">
        <v>3497</v>
      </c>
      <c r="C27" s="3481">
        <f>'[5]凯迪拉克（含分摊）'!C27/10000</f>
        <v>0</v>
      </c>
      <c r="D27" s="3481">
        <f>'[5]凯迪拉克（含分摊）'!D27/10000</f>
        <v>0</v>
      </c>
      <c r="E27" s="3481">
        <f>'[5]凯迪拉克（含分摊）'!E27/10000</f>
        <v>18.5671845</v>
      </c>
      <c r="F27" s="3481">
        <f>'[5]凯迪拉克（含分摊）'!F27/10000</f>
        <v>6.1958859999999998</v>
      </c>
      <c r="G27" s="3481">
        <f>'[5]凯迪拉克（含分摊）'!G27/10000</f>
        <v>2.68322825</v>
      </c>
      <c r="H27" s="3481">
        <f>'[5]凯迪拉克（含分摊）'!H27/10000</f>
        <v>4.5070510000000006</v>
      </c>
      <c r="I27" s="3481">
        <f>'[5]凯迪拉克（含分摊）'!I27/10000</f>
        <v>2.6623947499999998</v>
      </c>
      <c r="J27" s="3481">
        <f>'[5]凯迪拉克（含分摊）'!J27/10000</f>
        <v>2.6327052500000003</v>
      </c>
      <c r="K27" s="3481">
        <f>'[5]凯迪拉克（含分摊）'!K27/10000</f>
        <v>2.7238974999999996</v>
      </c>
      <c r="L27" s="3481">
        <f>'[5]凯迪拉克（含分摊）'!L27/10000</f>
        <v>2.8124884999999997</v>
      </c>
      <c r="M27" s="3481">
        <f>'[5]凯迪拉克（含分摊）'!M27/10000</f>
        <v>2.9042767500000002</v>
      </c>
      <c r="N27" s="3481">
        <f>'[5]凯迪拉克（含分摊）'!N27/10000</f>
        <v>3.6162370000000004</v>
      </c>
      <c r="O27" s="3481">
        <f t="shared" si="0"/>
        <v>49.305349499999998</v>
      </c>
      <c r="P27" s="3481">
        <f>'[5]凯迪拉克（含分摊）'!P27/10000</f>
        <v>284.23645699999997</v>
      </c>
      <c r="Q27" s="3481">
        <f>'[5]凯迪拉克（含分摊）'!Q27/10000</f>
        <v>284.23647200000005</v>
      </c>
      <c r="R27" s="3481">
        <f>'[5]凯迪拉克（含分摊）'!R27/10000</f>
        <v>284.23645699999997</v>
      </c>
      <c r="S27" s="3481">
        <f>'[5]凯迪拉克（含分摊）'!S27/10000</f>
        <v>282.72977099999997</v>
      </c>
      <c r="T27" s="3481">
        <f>'[5]凯迪拉克（含分摊）'!T27/10000</f>
        <v>282.72975700000001</v>
      </c>
      <c r="U27" s="3481">
        <f>'[5]凯迪拉克（含分摊）'!U27/10000</f>
        <v>281.78871499999997</v>
      </c>
      <c r="V27" s="3481">
        <f>'[5]凯迪拉克（含分摊）'!V27/10000</f>
        <v>279.35949900000003</v>
      </c>
      <c r="W27" s="3481">
        <f>'[5]凯迪拉克（含分摊）'!W27/10000</f>
        <v>277.503918</v>
      </c>
      <c r="X27" s="3481">
        <f>'[5]凯迪拉克（含分摊）'!X27/10000</f>
        <v>276.17549700000001</v>
      </c>
      <c r="Y27" s="3481">
        <f>'[5]凯迪拉克（含分摊）'!Y27/10000</f>
        <v>272.83546000000001</v>
      </c>
      <c r="Z27" s="3481">
        <f>'[5]凯迪拉克（含分摊）'!Z27/10000</f>
        <v>272.83545600000002</v>
      </c>
      <c r="AA27" s="3481">
        <f>'[5]凯迪拉克（含分摊）'!AA27/10000</f>
        <v>272.50401899999997</v>
      </c>
      <c r="AB27" s="3481">
        <f t="shared" si="1"/>
        <v>3351.1714780000002</v>
      </c>
      <c r="AC27" s="3481">
        <f>'[5]凯迪拉克（含分摊）'!AC27/10000</f>
        <v>269.79968199999996</v>
      </c>
      <c r="AD27" s="3481">
        <f>'[5]凯迪拉克（含分摊）'!AD27/10000</f>
        <v>269.79968300000002</v>
      </c>
      <c r="AE27" s="3481">
        <f>'[5]凯迪拉克（含分摊）'!AE27/10000</f>
        <v>271.68159700000001</v>
      </c>
      <c r="AF27" s="3481">
        <f>'[5]凯迪拉克（含分摊）'!AF27/10000</f>
        <v>271.68159800000001</v>
      </c>
      <c r="AG27" s="3481">
        <f>'[5]凯迪拉克（含分摊）'!AG27/10000</f>
        <v>271.68159700000001</v>
      </c>
      <c r="AH27" s="3481">
        <f>'[5]凯迪拉克（含分摊）'!AH27/10000</f>
        <v>271.68159800000001</v>
      </c>
      <c r="AI27" s="3481">
        <f>'[5]凯迪拉克（含分摊）'!AI27/10000</f>
        <v>359.080198</v>
      </c>
      <c r="AJ27" s="3481">
        <f>'[5]凯迪拉克（含分摊）'!AJ27/10000</f>
        <v>202.453879</v>
      </c>
      <c r="AK27" s="3481">
        <f>'[5]凯迪拉克（含分摊）'!AK27/10000</f>
        <v>202.453879</v>
      </c>
      <c r="AL27" s="3481">
        <f>'[5]凯迪拉克（含分摊）'!AL27/10000</f>
        <v>202.453879</v>
      </c>
      <c r="AM27" s="3481">
        <f>'[5]凯迪拉克（含分摊）'!AM27/10000</f>
        <v>202.453879</v>
      </c>
      <c r="AN27" s="3481">
        <f>'[5]凯迪拉克（含分摊）'!AN27/10000</f>
        <v>202.453879</v>
      </c>
      <c r="AO27" s="3481">
        <f t="shared" si="2"/>
        <v>2997.6753480000007</v>
      </c>
      <c r="AP27" s="3481">
        <f>'[5]凯迪拉克（含分摊）'!AP27/10000</f>
        <v>202.453879</v>
      </c>
      <c r="AQ27" s="3481">
        <f>'[5]凯迪拉克（含分摊）'!AQ27/10000</f>
        <v>202.453879</v>
      </c>
      <c r="AR27" s="3481">
        <f>'[5]凯迪拉克（含分摊）'!AR27/10000</f>
        <v>202.453879</v>
      </c>
      <c r="AS27" s="3481">
        <f>'[5]凯迪拉克（含分摊）'!AS27/10000</f>
        <v>202.453879</v>
      </c>
      <c r="AT27" s="3481">
        <f>'[5]凯迪拉克（含分摊）'!AT27/10000</f>
        <v>202.453879</v>
      </c>
      <c r="AU27" s="3481">
        <f>'[5]凯迪拉克（含分摊）'!AU27/10000</f>
        <v>202.453879</v>
      </c>
      <c r="AV27" s="3481">
        <f>'[5]凯迪拉克（含分摊）'!AV27/10000</f>
        <v>202.453879</v>
      </c>
      <c r="AW27" s="3481">
        <f>'[5]凯迪拉克（含分摊）'!AW27/10000</f>
        <v>202.453879</v>
      </c>
      <c r="AX27" s="3481">
        <f>'[5]凯迪拉克（含分摊）'!AX27/10000</f>
        <v>202.453879</v>
      </c>
      <c r="AY27" s="3481">
        <f>'[5]凯迪拉克（含分摊）'!AY27/10000</f>
        <v>202.453879</v>
      </c>
      <c r="AZ27" s="3481">
        <f>'[5]凯迪拉克（含分摊）'!AZ27/10000</f>
        <v>202.453879</v>
      </c>
      <c r="BA27" s="3481">
        <f>'[5]凯迪拉克（含分摊）'!BA27/10000</f>
        <v>202.453879</v>
      </c>
      <c r="BB27" s="3481">
        <f t="shared" si="3"/>
        <v>2429.4465479999999</v>
      </c>
      <c r="BC27" s="3481">
        <f>'[5]凯迪拉克（含分摊）'!BC27/10000</f>
        <v>202.453879</v>
      </c>
      <c r="BD27" s="3481">
        <f>'[5]凯迪拉克（含分摊）'!BD27/10000</f>
        <v>202.453879</v>
      </c>
      <c r="BE27" s="3481">
        <f>'[5]凯迪拉克（含分摊）'!BE27/10000</f>
        <v>202.453879</v>
      </c>
      <c r="BF27" s="3481">
        <f>'[5]凯迪拉克（含分摊）'!BF27/10000</f>
        <v>202.453879</v>
      </c>
      <c r="BG27" s="3481">
        <f>'[5]凯迪拉克（含分摊）'!BG27/10000</f>
        <v>202.453879</v>
      </c>
      <c r="BH27" s="3481">
        <f>'[5]凯迪拉克（含分摊）'!BH27/10000</f>
        <v>202.453879</v>
      </c>
      <c r="BI27" s="3481">
        <f>'[5]凯迪拉克（含分摊）'!BI27/10000</f>
        <v>202.453879</v>
      </c>
      <c r="BJ27" s="3481">
        <f>'[5]凯迪拉克（含分摊）'!BJ27/10000</f>
        <v>202.453879</v>
      </c>
      <c r="BK27" s="3481">
        <f>'[5]凯迪拉克（含分摊）'!BK27/10000</f>
        <v>202.453879</v>
      </c>
      <c r="BL27" s="3481">
        <f>'[5]凯迪拉克（含分摊）'!BL27/10000</f>
        <v>202.453879</v>
      </c>
      <c r="BM27" s="3481">
        <f>'[5]凯迪拉克（含分摊）'!BM27/10000</f>
        <v>213.679779</v>
      </c>
      <c r="BN27" s="3481">
        <f>'[5]凯迪拉克（含分摊）'!BN27/10000</f>
        <v>226.305331</v>
      </c>
      <c r="BO27" s="3481">
        <f t="shared" si="4"/>
        <v>2464.5238999999997</v>
      </c>
      <c r="BP27" s="3481">
        <f>'[5]凯迪拉克（含分摊）'!BP27/10000</f>
        <v>204.44149999999999</v>
      </c>
      <c r="BQ27" s="3481">
        <f>'[5]凯迪拉克（含分摊）'!BQ27/10000</f>
        <v>204.44149999999999</v>
      </c>
      <c r="BR27" s="3481">
        <f>'[5]凯迪拉克（含分摊）'!BR27/10000</f>
        <v>204.44149999999999</v>
      </c>
      <c r="BS27" s="3481">
        <f>'[5]凯迪拉克（含分摊）'!BS27/10000</f>
        <v>204.44149999999999</v>
      </c>
      <c r="BT27" s="3481">
        <f>'[5]凯迪拉克（含分摊）'!BT27/10000</f>
        <v>204.44149999999999</v>
      </c>
      <c r="BU27" s="3481">
        <f>'[5]凯迪拉克（含分摊）'!BU27/10000</f>
        <v>204.44149999999999</v>
      </c>
      <c r="BV27" s="3481">
        <f>'[5]凯迪拉克（含分摊）'!BV27/10000</f>
        <v>204.44149999999999</v>
      </c>
      <c r="BW27" s="3481">
        <f>'[5]凯迪拉克（含分摊）'!BW27/10000</f>
        <v>204.44149999999999</v>
      </c>
      <c r="BX27" s="3481">
        <f>'[5]凯迪拉克（含分摊）'!BX27/10000</f>
        <v>204.44149999999999</v>
      </c>
      <c r="BY27" s="3481">
        <f>'[5]凯迪拉克（含分摊）'!BY27/10000</f>
        <v>204.44149999999999</v>
      </c>
      <c r="BZ27" s="3481">
        <f>'[5]凯迪拉克（含分摊）'!BZ27/10000</f>
        <v>204.44149999999999</v>
      </c>
      <c r="CA27" s="3481">
        <f>'[5]凯迪拉克（含分摊）'!CA27/10000</f>
        <v>204.44149999999999</v>
      </c>
      <c r="CB27" s="3481">
        <f t="shared" si="5"/>
        <v>2453.2979999999993</v>
      </c>
    </row>
    <row r="28" spans="1:80">
      <c r="B28" s="3454" t="s">
        <v>3498</v>
      </c>
      <c r="C28" s="3482">
        <f>C9+C10-C8</f>
        <v>0</v>
      </c>
      <c r="D28" s="3482">
        <f t="shared" ref="D28:AU28" si="6">D9+D10-D8</f>
        <v>0</v>
      </c>
      <c r="E28" s="3482">
        <f t="shared" si="6"/>
        <v>0</v>
      </c>
      <c r="F28" s="3482">
        <f t="shared" si="6"/>
        <v>0</v>
      </c>
      <c r="G28" s="3482">
        <f t="shared" si="6"/>
        <v>0</v>
      </c>
      <c r="H28" s="3482">
        <f t="shared" si="6"/>
        <v>0</v>
      </c>
      <c r="I28" s="3482">
        <f t="shared" si="6"/>
        <v>0</v>
      </c>
      <c r="J28" s="3482">
        <f t="shared" si="6"/>
        <v>0</v>
      </c>
      <c r="K28" s="3482">
        <f t="shared" si="6"/>
        <v>0</v>
      </c>
      <c r="L28" s="3482">
        <f t="shared" si="6"/>
        <v>0</v>
      </c>
      <c r="M28" s="3482">
        <f t="shared" si="6"/>
        <v>0</v>
      </c>
      <c r="N28" s="3482">
        <f t="shared" si="6"/>
        <v>0</v>
      </c>
      <c r="O28" s="3482">
        <f t="shared" si="6"/>
        <v>0</v>
      </c>
      <c r="P28" s="3482">
        <f t="shared" si="6"/>
        <v>0</v>
      </c>
      <c r="Q28" s="3482">
        <f t="shared" si="6"/>
        <v>0</v>
      </c>
      <c r="R28" s="3482">
        <f t="shared" si="6"/>
        <v>0</v>
      </c>
      <c r="S28" s="3482">
        <f t="shared" si="6"/>
        <v>0</v>
      </c>
      <c r="T28" s="3482">
        <f t="shared" si="6"/>
        <v>0</v>
      </c>
      <c r="U28" s="3482">
        <f t="shared" si="6"/>
        <v>0</v>
      </c>
      <c r="V28" s="3482">
        <f t="shared" si="6"/>
        <v>0</v>
      </c>
      <c r="W28" s="3482">
        <f t="shared" si="6"/>
        <v>0</v>
      </c>
      <c r="X28" s="3482">
        <f t="shared" si="6"/>
        <v>0</v>
      </c>
      <c r="Y28" s="3482">
        <f t="shared" si="6"/>
        <v>0</v>
      </c>
      <c r="Z28" s="3482">
        <f t="shared" si="6"/>
        <v>0</v>
      </c>
      <c r="AA28" s="3482">
        <f t="shared" si="6"/>
        <v>0</v>
      </c>
      <c r="AB28" s="3482">
        <f t="shared" si="6"/>
        <v>0</v>
      </c>
      <c r="AC28" s="3482">
        <f t="shared" si="6"/>
        <v>0</v>
      </c>
      <c r="AD28" s="3482">
        <f t="shared" si="6"/>
        <v>0</v>
      </c>
      <c r="AE28" s="3482">
        <f t="shared" si="6"/>
        <v>0</v>
      </c>
      <c r="AF28" s="3482">
        <f t="shared" si="6"/>
        <v>0</v>
      </c>
      <c r="AG28" s="3482">
        <f t="shared" si="6"/>
        <v>0</v>
      </c>
      <c r="AH28" s="3482">
        <f t="shared" si="6"/>
        <v>0</v>
      </c>
      <c r="AI28" s="3482">
        <f t="shared" si="6"/>
        <v>0</v>
      </c>
      <c r="AJ28" s="3482">
        <f t="shared" si="6"/>
        <v>0</v>
      </c>
      <c r="AK28" s="3482">
        <f t="shared" si="6"/>
        <v>0</v>
      </c>
      <c r="AL28" s="3482">
        <f t="shared" si="6"/>
        <v>0</v>
      </c>
      <c r="AM28" s="3482">
        <f t="shared" si="6"/>
        <v>0</v>
      </c>
      <c r="AN28" s="3482">
        <f t="shared" si="6"/>
        <v>0</v>
      </c>
      <c r="AO28" s="3482">
        <f t="shared" si="6"/>
        <v>0</v>
      </c>
      <c r="AP28" s="3482">
        <f t="shared" si="6"/>
        <v>0</v>
      </c>
      <c r="AQ28" s="3482">
        <f t="shared" si="6"/>
        <v>0</v>
      </c>
      <c r="AR28" s="3482">
        <f t="shared" si="6"/>
        <v>0</v>
      </c>
      <c r="AS28" s="3482">
        <f t="shared" si="6"/>
        <v>0</v>
      </c>
      <c r="AT28" s="3482">
        <f t="shared" si="6"/>
        <v>0</v>
      </c>
      <c r="AU28" s="3482">
        <f t="shared" si="6"/>
        <v>0</v>
      </c>
      <c r="AV28" s="3482"/>
      <c r="AW28" s="3482"/>
      <c r="AX28" s="3482"/>
      <c r="AY28" s="3482"/>
      <c r="AZ28" s="3482"/>
      <c r="BA28" s="3482"/>
      <c r="BB28" s="3482"/>
      <c r="BC28" s="3482"/>
      <c r="BD28" s="3482"/>
      <c r="BE28" s="3482"/>
      <c r="BF28" s="3482"/>
      <c r="BG28" s="3482"/>
      <c r="BH28" s="3482"/>
      <c r="BI28" s="3482"/>
      <c r="BJ28" s="3482"/>
      <c r="BK28" s="3482"/>
      <c r="BL28" s="3482"/>
      <c r="BM28" s="3482"/>
      <c r="BN28" s="3482"/>
      <c r="BO28" s="3482"/>
      <c r="BP28" s="3483"/>
      <c r="BQ28" s="3483"/>
      <c r="BR28" s="3483"/>
      <c r="BS28" s="3483"/>
      <c r="BT28" s="3483"/>
      <c r="BU28" s="3483"/>
      <c r="BV28" s="3483"/>
      <c r="BW28" s="3483"/>
      <c r="BX28" s="3483"/>
      <c r="BY28" s="3483"/>
      <c r="BZ28" s="3483"/>
      <c r="CA28" s="3483"/>
      <c r="CB28" s="3483"/>
    </row>
    <row r="29" spans="1:80">
      <c r="A29" s="3454" t="s">
        <v>3499</v>
      </c>
      <c r="B29" s="3454" t="s">
        <v>3500</v>
      </c>
      <c r="O29" s="3482">
        <f>O5-'[5]凯迪拉克（含分摊）'!O5/10000</f>
        <v>0</v>
      </c>
      <c r="AB29" s="3482">
        <f>AB5-'[5]凯迪拉克（含分摊）'!AB5/10000</f>
        <v>0</v>
      </c>
      <c r="AO29" s="3482">
        <f>AO5-'[5]凯迪拉克（含分摊）'!AO5/10000</f>
        <v>0</v>
      </c>
      <c r="BB29" s="3482">
        <f>BB5-'[5]凯迪拉克（含分摊）'!BB5/10000</f>
        <v>0</v>
      </c>
      <c r="BO29" s="3482">
        <f>BO5-'[5]凯迪拉克（含分摊）'!BO5/10000</f>
        <v>0</v>
      </c>
      <c r="CB29" s="3482">
        <f>CB5-'[5]凯迪拉克（含分摊）'!CB5/10000</f>
        <v>0</v>
      </c>
    </row>
    <row r="30" spans="1:80">
      <c r="O30" s="3482">
        <f>O15-'[5]凯迪拉克（含分摊）'!O15/10000</f>
        <v>0</v>
      </c>
      <c r="AB30" s="3482">
        <f>AB15-'[5]凯迪拉克（含分摊）'!AB15/10000</f>
        <v>0</v>
      </c>
      <c r="AO30" s="3482">
        <f>AO15-'[5]凯迪拉克（含分摊）'!AO15/10000</f>
        <v>0</v>
      </c>
      <c r="BB30" s="3482">
        <f>BB15-'[5]凯迪拉克（含分摊）'!BB15/10000</f>
        <v>0</v>
      </c>
      <c r="BO30" s="3482">
        <f>BO15-'[5]凯迪拉克（含分摊）'!BO15/10000</f>
        <v>0</v>
      </c>
      <c r="CB30" s="3482">
        <f>CB15-'[5]凯迪拉克（含分摊）'!CB15/10000</f>
        <v>0</v>
      </c>
    </row>
    <row r="31" spans="1:80">
      <c r="A31" s="3454" t="s">
        <v>3501</v>
      </c>
      <c r="C31" s="3482"/>
      <c r="D31" s="3482"/>
      <c r="E31" s="3482"/>
      <c r="F31" s="3482"/>
      <c r="G31" s="3482"/>
      <c r="H31" s="3482"/>
      <c r="I31" s="3482"/>
      <c r="J31" s="3482"/>
      <c r="K31" s="3482"/>
      <c r="L31" s="3482"/>
      <c r="M31" s="3482"/>
      <c r="N31" s="3482"/>
      <c r="O31" s="3482"/>
      <c r="P31" s="3482"/>
      <c r="Q31" s="3482"/>
      <c r="R31" s="3482"/>
      <c r="S31" s="3482"/>
      <c r="T31" s="3482"/>
      <c r="U31" s="3482"/>
      <c r="V31" s="3482"/>
      <c r="W31" s="3482"/>
      <c r="X31" s="3482"/>
      <c r="Y31" s="3482"/>
      <c r="Z31" s="3482"/>
      <c r="AA31" s="3482"/>
      <c r="AB31" s="3482"/>
      <c r="AP31" s="3482"/>
      <c r="AQ31" s="3482"/>
      <c r="AR31" s="3482"/>
      <c r="AS31" s="3482"/>
      <c r="AT31" s="3482"/>
      <c r="AU31" s="3482"/>
      <c r="AV31" s="3482"/>
      <c r="AW31" s="3482"/>
      <c r="AX31" s="3482"/>
      <c r="AY31" s="3482"/>
      <c r="AZ31" s="3482"/>
      <c r="BA31" s="3482"/>
      <c r="BB31" s="3482"/>
      <c r="BP31" s="3482"/>
      <c r="BQ31" s="3482"/>
      <c r="BR31" s="3482"/>
      <c r="BS31" s="3482"/>
      <c r="BT31" s="3482"/>
      <c r="BU31" s="3482"/>
      <c r="BV31" s="3482"/>
      <c r="BW31" s="3482"/>
      <c r="BX31" s="3482"/>
      <c r="BY31" s="3482"/>
      <c r="BZ31" s="3482"/>
      <c r="CA31" s="3482"/>
      <c r="CB31" s="3482"/>
    </row>
    <row r="32" spans="1:80">
      <c r="A32" s="3454" t="s">
        <v>3502</v>
      </c>
    </row>
    <row r="33" spans="1:80">
      <c r="A33" s="3454" t="s">
        <v>3503</v>
      </c>
      <c r="AP33" s="3482"/>
      <c r="AQ33" s="3482"/>
      <c r="AR33" s="3482"/>
      <c r="AS33" s="3482"/>
      <c r="AT33" s="3482"/>
      <c r="AU33" s="3482"/>
      <c r="AV33" s="3482"/>
      <c r="AW33" s="3482"/>
      <c r="AX33" s="3482"/>
      <c r="AY33" s="3482"/>
      <c r="AZ33" s="3482"/>
      <c r="BA33" s="3482"/>
      <c r="BB33" s="3482"/>
      <c r="BP33" s="3482"/>
      <c r="BQ33" s="3482"/>
      <c r="BR33" s="3482"/>
      <c r="BS33" s="3482"/>
      <c r="BT33" s="3482"/>
      <c r="BU33" s="3482"/>
      <c r="BV33" s="3482"/>
      <c r="BW33" s="3482"/>
      <c r="BX33" s="3482"/>
      <c r="BY33" s="3482"/>
      <c r="BZ33" s="3482"/>
      <c r="CA33" s="3482"/>
      <c r="CB33" s="3482"/>
    </row>
    <row r="34" spans="1:80">
      <c r="A34" s="3454" t="s">
        <v>3504</v>
      </c>
    </row>
  </sheetData>
  <phoneticPr fontId="134" type="noConversion"/>
  <pageMargins left="0.69930555555555596" right="0.69930555555555596"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23" t="s">
        <v>2827</v>
      </c>
      <c r="B1" s="3823"/>
      <c r="C1" s="3823"/>
      <c r="D1" s="3823"/>
      <c r="E1" s="3823"/>
      <c r="F1" s="3823"/>
      <c r="G1" s="3824"/>
      <c r="I1" s="3218" t="s">
        <v>2828</v>
      </c>
      <c r="J1" s="3219" t="s">
        <v>2829</v>
      </c>
      <c r="K1" s="3219" t="s">
        <v>2830</v>
      </c>
      <c r="L1" s="3219" t="s">
        <v>2831</v>
      </c>
      <c r="M1" s="3219" t="s">
        <v>2832</v>
      </c>
      <c r="N1" s="3219" t="s">
        <v>2833</v>
      </c>
      <c r="O1" s="3219" t="s">
        <v>2834</v>
      </c>
      <c r="P1" s="3219" t="s">
        <v>2835</v>
      </c>
      <c r="Q1" s="3219" t="s">
        <v>2836</v>
      </c>
      <c r="R1" s="3219" t="s">
        <v>2837</v>
      </c>
      <c r="S1" s="3219" t="s">
        <v>2838</v>
      </c>
      <c r="T1" s="3220" t="s">
        <v>2839</v>
      </c>
    </row>
    <row r="2" spans="1:20" ht="12" thickBot="1">
      <c r="A2" s="3222" t="s">
        <v>2840</v>
      </c>
      <c r="B2" s="3222"/>
      <c r="C2" s="3222"/>
      <c r="D2" s="3222"/>
      <c r="E2" s="3222"/>
      <c r="F2" s="3222"/>
      <c r="G2" s="3223" t="s">
        <v>2841</v>
      </c>
      <c r="I2" s="3224" t="s">
        <v>2842</v>
      </c>
      <c r="J2" s="3224" t="s">
        <v>2843</v>
      </c>
      <c r="K2" s="3224" t="s">
        <v>2844</v>
      </c>
      <c r="L2" s="3224" t="s">
        <v>2845</v>
      </c>
      <c r="M2" s="3224" t="s">
        <v>2846</v>
      </c>
      <c r="N2" s="3224" t="s">
        <v>2847</v>
      </c>
      <c r="O2" s="3224" t="s">
        <v>2848</v>
      </c>
      <c r="P2" s="3224" t="s">
        <v>2849</v>
      </c>
      <c r="Q2" s="3224" t="s">
        <v>2850</v>
      </c>
      <c r="R2" s="3224" t="s">
        <v>2851</v>
      </c>
      <c r="S2" s="3224" t="s">
        <v>2852</v>
      </c>
      <c r="T2" s="3224" t="s">
        <v>2853</v>
      </c>
    </row>
    <row r="3" spans="1:20" s="3230" customFormat="1">
      <c r="A3" s="3821" t="s">
        <v>2854</v>
      </c>
      <c r="B3" s="3225"/>
      <c r="C3" s="3226" t="s">
        <v>2799</v>
      </c>
      <c r="D3" s="3226" t="s">
        <v>2855</v>
      </c>
      <c r="E3" s="3226" t="s">
        <v>2801</v>
      </c>
      <c r="F3" s="3226" t="s">
        <v>2856</v>
      </c>
      <c r="G3" s="3226" t="s">
        <v>2619</v>
      </c>
      <c r="H3" s="3227"/>
      <c r="I3" s="3228" t="s">
        <v>2857</v>
      </c>
      <c r="J3" s="3229" t="s">
        <v>128</v>
      </c>
      <c r="K3" s="3229" t="s">
        <v>129</v>
      </c>
      <c r="L3" s="3228" t="s">
        <v>130</v>
      </c>
      <c r="M3" s="3228" t="s">
        <v>131</v>
      </c>
      <c r="N3" s="3228" t="s">
        <v>132</v>
      </c>
      <c r="O3" s="3228" t="s">
        <v>133</v>
      </c>
      <c r="P3" s="3228" t="s">
        <v>134</v>
      </c>
      <c r="Q3" s="3228" t="s">
        <v>135</v>
      </c>
      <c r="R3" s="3228" t="s">
        <v>136</v>
      </c>
      <c r="S3" s="3228" t="s">
        <v>2858</v>
      </c>
      <c r="T3" s="3228" t="s">
        <v>2859</v>
      </c>
    </row>
    <row r="4" spans="1:20" s="3230" customFormat="1" ht="12" thickBot="1">
      <c r="A4" s="3822"/>
      <c r="B4" s="3231" t="s">
        <v>2860</v>
      </c>
      <c r="C4" s="3231" t="s">
        <v>2861</v>
      </c>
      <c r="D4" s="3231" t="s">
        <v>2861</v>
      </c>
      <c r="E4" s="3231" t="s">
        <v>2861</v>
      </c>
      <c r="F4" s="3232" t="s">
        <v>2861</v>
      </c>
      <c r="G4" s="3232" t="s">
        <v>2861</v>
      </c>
      <c r="H4" s="3227"/>
      <c r="I4" s="3229" t="s">
        <v>137</v>
      </c>
      <c r="J4" s="3229" t="s">
        <v>111</v>
      </c>
      <c r="K4" s="3229" t="s">
        <v>138</v>
      </c>
      <c r="L4" s="3228" t="s">
        <v>139</v>
      </c>
      <c r="M4" s="3228" t="s">
        <v>140</v>
      </c>
      <c r="N4" s="3228" t="s">
        <v>141</v>
      </c>
      <c r="O4" s="3228" t="s">
        <v>142</v>
      </c>
      <c r="P4" s="3228" t="s">
        <v>143</v>
      </c>
      <c r="Q4" s="3228" t="s">
        <v>2862</v>
      </c>
      <c r="R4" s="3228" t="s">
        <v>2863</v>
      </c>
      <c r="S4" s="3228" t="s">
        <v>2864</v>
      </c>
      <c r="T4" s="3228" t="s">
        <v>2865</v>
      </c>
    </row>
    <row r="5" spans="1:20">
      <c r="A5" s="3233" t="s">
        <v>2828</v>
      </c>
      <c r="B5" s="3224" t="s">
        <v>2842</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2866</v>
      </c>
      <c r="R5" s="3228" t="s">
        <v>2867</v>
      </c>
      <c r="S5" s="3228" t="s">
        <v>153</v>
      </c>
      <c r="T5" s="3228" t="s">
        <v>2868</v>
      </c>
    </row>
    <row r="6" spans="1:20" ht="12" thickBot="1">
      <c r="A6" s="3228" t="s">
        <v>144</v>
      </c>
      <c r="B6" s="3228" t="s">
        <v>2857</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2869</v>
      </c>
      <c r="Q6" s="3228" t="s">
        <v>2870</v>
      </c>
      <c r="R6" s="3228" t="s">
        <v>161</v>
      </c>
      <c r="S6" s="3228" t="s">
        <v>2871</v>
      </c>
      <c r="T6" s="3228" t="s">
        <v>2872</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2873</v>
      </c>
      <c r="Q7" s="3228" t="s">
        <v>2874</v>
      </c>
      <c r="R7" s="3228" t="s">
        <v>2875</v>
      </c>
      <c r="S7" s="3228" t="s">
        <v>2876</v>
      </c>
      <c r="T7" s="3228" t="s">
        <v>2877</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2878</v>
      </c>
      <c r="Q8" s="3228" t="s">
        <v>174</v>
      </c>
      <c r="R8" s="3228" t="s">
        <v>2879</v>
      </c>
      <c r="S8" s="3228" t="s">
        <v>2880</v>
      </c>
      <c r="T8" s="3235" t="s">
        <v>2881</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2882</v>
      </c>
      <c r="Q9" s="3228" t="s">
        <v>182</v>
      </c>
      <c r="R9" s="3228" t="s">
        <v>183</v>
      </c>
      <c r="S9" s="3228" t="s">
        <v>200</v>
      </c>
    </row>
    <row r="10" spans="1:20">
      <c r="A10" s="3233" t="s">
        <v>184</v>
      </c>
      <c r="B10" s="3224" t="s">
        <v>2843</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2883</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2884</v>
      </c>
      <c r="P11" s="3228" t="s">
        <v>191</v>
      </c>
      <c r="Q11" s="3228" t="s">
        <v>199</v>
      </c>
      <c r="R11" s="3228" t="s">
        <v>2885</v>
      </c>
      <c r="S11" s="3228" t="s">
        <v>2886</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2887</v>
      </c>
      <c r="P12" s="3228" t="s">
        <v>2888</v>
      </c>
      <c r="Q12" s="3228" t="s">
        <v>2889</v>
      </c>
      <c r="R12" s="3228" t="s">
        <v>2890</v>
      </c>
      <c r="S12" s="3228" t="s">
        <v>2891</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2892</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2893</v>
      </c>
      <c r="K14" s="3229" t="s">
        <v>215</v>
      </c>
      <c r="L14" s="3228" t="s">
        <v>216</v>
      </c>
      <c r="M14" s="3228" t="s">
        <v>217</v>
      </c>
      <c r="N14" s="3228" t="s">
        <v>218</v>
      </c>
      <c r="O14" s="3228" t="s">
        <v>240</v>
      </c>
      <c r="P14" s="3228" t="s">
        <v>213</v>
      </c>
      <c r="Q14" s="3228" t="s">
        <v>2894</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2895</v>
      </c>
      <c r="P15" s="3228" t="s">
        <v>2896</v>
      </c>
      <c r="Q15" s="3228" t="s">
        <v>242</v>
      </c>
      <c r="R15" s="3228" t="s">
        <v>2897</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2898</v>
      </c>
      <c r="P16" s="3228" t="s">
        <v>227</v>
      </c>
      <c r="Q16" s="3228" t="s">
        <v>250</v>
      </c>
      <c r="R16" s="3228" t="s">
        <v>207</v>
      </c>
      <c r="S16" s="3228" t="s">
        <v>2899</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2900</v>
      </c>
      <c r="P17" s="3228" t="s">
        <v>2901</v>
      </c>
      <c r="Q17" s="3228" t="s">
        <v>256</v>
      </c>
      <c r="R17" s="3228" t="s">
        <v>2902</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2903</v>
      </c>
      <c r="P18" s="3228" t="s">
        <v>241</v>
      </c>
      <c r="Q18" s="3228" t="s">
        <v>2904</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2905</v>
      </c>
      <c r="P19" s="3228" t="s">
        <v>249</v>
      </c>
      <c r="Q19" s="3228" t="s">
        <v>2906</v>
      </c>
      <c r="R19" s="3228" t="s">
        <v>265</v>
      </c>
      <c r="S19" s="3228" t="s">
        <v>2907</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2908</v>
      </c>
      <c r="P20" s="3228" t="s">
        <v>2909</v>
      </c>
      <c r="Q20" s="3228" t="s">
        <v>290</v>
      </c>
      <c r="R20" s="3228" t="s">
        <v>2910</v>
      </c>
      <c r="S20" s="3228" t="s">
        <v>277</v>
      </c>
    </row>
    <row r="21" spans="1:19" ht="14.25" customHeight="1" thickBot="1">
      <c r="A21" s="3228" t="s">
        <v>184</v>
      </c>
      <c r="B21" s="3229" t="s">
        <v>208</v>
      </c>
      <c r="C21" s="3228">
        <v>32370</v>
      </c>
      <c r="D21" s="3228">
        <v>26730</v>
      </c>
      <c r="E21" s="3228">
        <v>26640</v>
      </c>
      <c r="F21" s="3228"/>
      <c r="G21" s="3228">
        <v>19440</v>
      </c>
      <c r="J21" s="3235" t="s">
        <v>2911</v>
      </c>
      <c r="K21" s="3229" t="s">
        <v>267</v>
      </c>
      <c r="L21" s="3228" t="s">
        <v>268</v>
      </c>
      <c r="M21" s="3228" t="s">
        <v>269</v>
      </c>
      <c r="N21" s="3228" t="s">
        <v>270</v>
      </c>
      <c r="O21" s="3228" t="s">
        <v>264</v>
      </c>
      <c r="P21" s="3228" t="s">
        <v>283</v>
      </c>
      <c r="Q21" s="3228" t="s">
        <v>293</v>
      </c>
      <c r="R21" s="3228" t="s">
        <v>2912</v>
      </c>
      <c r="S21" s="3235" t="s">
        <v>2913</v>
      </c>
    </row>
    <row r="22" spans="1:19" ht="14.25" customHeight="1">
      <c r="A22" s="3228" t="s">
        <v>184</v>
      </c>
      <c r="B22" s="3229" t="s">
        <v>2893</v>
      </c>
      <c r="C22" s="3228">
        <v>29830</v>
      </c>
      <c r="D22" s="3228">
        <v>27600</v>
      </c>
      <c r="E22" s="3228">
        <v>28150</v>
      </c>
      <c r="F22" s="3228"/>
      <c r="G22" s="3228">
        <v>20080</v>
      </c>
      <c r="K22" s="3229" t="s">
        <v>2914</v>
      </c>
      <c r="L22" s="3228" t="s">
        <v>272</v>
      </c>
      <c r="M22" s="3228" t="s">
        <v>273</v>
      </c>
      <c r="N22" s="3228" t="s">
        <v>274</v>
      </c>
      <c r="O22" s="3228" t="s">
        <v>2915</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2916</v>
      </c>
      <c r="L23" s="3228" t="s">
        <v>278</v>
      </c>
      <c r="M23" s="3228" t="s">
        <v>279</v>
      </c>
      <c r="N23" s="3228" t="s">
        <v>2917</v>
      </c>
      <c r="O23" s="3228" t="s">
        <v>2918</v>
      </c>
      <c r="P23" s="3228" t="s">
        <v>289</v>
      </c>
      <c r="Q23" s="3228" t="s">
        <v>298</v>
      </c>
      <c r="R23" s="3228" t="s">
        <v>2919</v>
      </c>
    </row>
    <row r="24" spans="1:19" ht="14.25" customHeight="1">
      <c r="A24" s="3228" t="s">
        <v>184</v>
      </c>
      <c r="B24" s="3229" t="s">
        <v>230</v>
      </c>
      <c r="C24" s="3228">
        <v>27930</v>
      </c>
      <c r="D24" s="3228">
        <v>32260</v>
      </c>
      <c r="E24" s="3228">
        <v>32120</v>
      </c>
      <c r="F24" s="3228"/>
      <c r="G24" s="3228">
        <v>23470</v>
      </c>
      <c r="K24" s="3229" t="s">
        <v>2920</v>
      </c>
      <c r="L24" s="3228" t="s">
        <v>281</v>
      </c>
      <c r="M24" s="3228" t="s">
        <v>282</v>
      </c>
      <c r="N24" s="3228" t="s">
        <v>2921</v>
      </c>
      <c r="O24" s="3228" t="s">
        <v>285</v>
      </c>
      <c r="P24" s="3228" t="s">
        <v>2922</v>
      </c>
      <c r="Q24" s="3237" t="s">
        <v>2923</v>
      </c>
      <c r="R24" s="3228" t="s">
        <v>2924</v>
      </c>
    </row>
    <row r="25" spans="1:19" ht="14.25" customHeight="1">
      <c r="A25" s="3228" t="s">
        <v>184</v>
      </c>
      <c r="B25" s="3229" t="s">
        <v>235</v>
      </c>
      <c r="C25" s="3228">
        <v>32230</v>
      </c>
      <c r="D25" s="3228">
        <v>29640</v>
      </c>
      <c r="E25" s="3228">
        <v>29510</v>
      </c>
      <c r="F25" s="3228"/>
      <c r="G25" s="3228">
        <v>21560</v>
      </c>
      <c r="K25" s="3229" t="s">
        <v>2925</v>
      </c>
      <c r="L25" s="3228" t="s">
        <v>2926</v>
      </c>
      <c r="M25" s="3228" t="s">
        <v>284</v>
      </c>
      <c r="N25" s="3228" t="s">
        <v>292</v>
      </c>
      <c r="O25" s="3228" t="s">
        <v>288</v>
      </c>
      <c r="P25" s="3228" t="s">
        <v>275</v>
      </c>
      <c r="Q25" s="3237" t="s">
        <v>271</v>
      </c>
      <c r="R25" s="3228" t="s">
        <v>2927</v>
      </c>
    </row>
    <row r="26" spans="1:19" ht="14.25" customHeight="1" thickBot="1">
      <c r="A26" s="3228" t="s">
        <v>184</v>
      </c>
      <c r="B26" s="3229" t="s">
        <v>244</v>
      </c>
      <c r="C26" s="3228">
        <v>31690</v>
      </c>
      <c r="D26" s="3228">
        <v>27650</v>
      </c>
      <c r="E26" s="3228">
        <v>28200</v>
      </c>
      <c r="F26" s="3228"/>
      <c r="G26" s="3228">
        <v>20110</v>
      </c>
      <c r="K26" s="3234" t="s">
        <v>2928</v>
      </c>
      <c r="L26" s="3228" t="s">
        <v>2929</v>
      </c>
      <c r="M26" s="3228" t="s">
        <v>287</v>
      </c>
      <c r="N26" s="3228" t="s">
        <v>294</v>
      </c>
      <c r="O26" s="3228" t="s">
        <v>2930</v>
      </c>
      <c r="P26" s="3228" t="s">
        <v>2931</v>
      </c>
      <c r="Q26" s="3237" t="s">
        <v>276</v>
      </c>
      <c r="R26" s="3228" t="s">
        <v>2932</v>
      </c>
    </row>
    <row r="27" spans="1:19" ht="14.25" customHeight="1">
      <c r="A27" s="3228" t="s">
        <v>184</v>
      </c>
      <c r="B27" s="3229" t="s">
        <v>251</v>
      </c>
      <c r="C27" s="3228">
        <v>29610</v>
      </c>
      <c r="D27" s="3228">
        <v>27770</v>
      </c>
      <c r="E27" s="3228">
        <v>28300</v>
      </c>
      <c r="F27" s="3228"/>
      <c r="G27" s="3228">
        <v>20210</v>
      </c>
      <c r="L27" s="3228" t="s">
        <v>2933</v>
      </c>
      <c r="M27" s="3228" t="s">
        <v>291</v>
      </c>
      <c r="N27" s="3228" t="s">
        <v>297</v>
      </c>
      <c r="O27" s="3228" t="s">
        <v>2934</v>
      </c>
      <c r="P27" s="3228" t="s">
        <v>2935</v>
      </c>
      <c r="Q27" s="3228" t="s">
        <v>2936</v>
      </c>
      <c r="R27" s="3228" t="s">
        <v>2937</v>
      </c>
    </row>
    <row r="28" spans="1:19" ht="14.25" customHeight="1">
      <c r="A28" s="3228" t="s">
        <v>184</v>
      </c>
      <c r="B28" s="3229" t="s">
        <v>259</v>
      </c>
      <c r="C28" s="3228"/>
      <c r="D28" s="3228">
        <v>31520</v>
      </c>
      <c r="E28" s="3228">
        <v>31410</v>
      </c>
      <c r="F28" s="3228"/>
      <c r="G28" s="3228">
        <v>22940</v>
      </c>
      <c r="L28" s="3228" t="s">
        <v>2938</v>
      </c>
      <c r="M28" s="3228" t="s">
        <v>2939</v>
      </c>
      <c r="N28" s="3228" t="s">
        <v>2940</v>
      </c>
      <c r="O28" s="3228" t="s">
        <v>2941</v>
      </c>
      <c r="P28" s="3228" t="s">
        <v>2942</v>
      </c>
      <c r="Q28" s="3228" t="s">
        <v>2943</v>
      </c>
      <c r="R28" s="3228" t="s">
        <v>2944</v>
      </c>
    </row>
    <row r="29" spans="1:19" ht="14.25" customHeight="1" thickBot="1">
      <c r="A29" s="3236" t="s">
        <v>184</v>
      </c>
      <c r="B29" s="3238" t="s">
        <v>2911</v>
      </c>
      <c r="C29" s="3239"/>
      <c r="D29" s="3239">
        <v>29460</v>
      </c>
      <c r="E29" s="3239">
        <v>28640</v>
      </c>
      <c r="F29" s="3239"/>
      <c r="G29" s="3239">
        <v>21430</v>
      </c>
      <c r="L29" s="3228" t="s">
        <v>2945</v>
      </c>
      <c r="M29" s="3228" t="s">
        <v>2946</v>
      </c>
      <c r="N29" s="3228" t="s">
        <v>2947</v>
      </c>
      <c r="O29" s="3228" t="s">
        <v>2948</v>
      </c>
      <c r="P29" s="3228" t="s">
        <v>2949</v>
      </c>
      <c r="Q29" s="3228" t="s">
        <v>2950</v>
      </c>
      <c r="R29" s="3228" t="s">
        <v>280</v>
      </c>
    </row>
    <row r="30" spans="1:19" ht="14.25" customHeight="1">
      <c r="A30" s="3233" t="s">
        <v>296</v>
      </c>
      <c r="B30" s="3224" t="s">
        <v>2844</v>
      </c>
      <c r="C30" s="3224">
        <v>26890</v>
      </c>
      <c r="D30" s="3224">
        <v>26770</v>
      </c>
      <c r="E30" s="3224">
        <v>25700</v>
      </c>
      <c r="F30" s="3224">
        <v>8180</v>
      </c>
      <c r="G30" s="3240">
        <v>18740</v>
      </c>
      <c r="L30" s="3228" t="s">
        <v>2951</v>
      </c>
      <c r="M30" s="3228" t="s">
        <v>2952</v>
      </c>
      <c r="N30" s="3228" t="s">
        <v>2953</v>
      </c>
      <c r="O30" s="3228" t="s">
        <v>2954</v>
      </c>
      <c r="P30" s="3228" t="s">
        <v>2955</v>
      </c>
      <c r="Q30" s="3228" t="s">
        <v>2956</v>
      </c>
      <c r="R30" s="3228" t="s">
        <v>2957</v>
      </c>
    </row>
    <row r="31" spans="1:19" ht="14.25" customHeight="1">
      <c r="A31" s="3228" t="s">
        <v>296</v>
      </c>
      <c r="B31" s="3229" t="s">
        <v>129</v>
      </c>
      <c r="C31" s="3228">
        <v>24550</v>
      </c>
      <c r="D31" s="3228">
        <v>23990</v>
      </c>
      <c r="E31" s="3228">
        <v>22930</v>
      </c>
      <c r="F31" s="3228">
        <v>7470</v>
      </c>
      <c r="G31" s="3241">
        <v>16790</v>
      </c>
      <c r="L31" s="3228" t="s">
        <v>2958</v>
      </c>
      <c r="M31" s="3228" t="s">
        <v>2959</v>
      </c>
      <c r="N31" s="3228" t="s">
        <v>2960</v>
      </c>
      <c r="O31" s="3228" t="s">
        <v>2961</v>
      </c>
      <c r="P31" s="3228" t="s">
        <v>2962</v>
      </c>
      <c r="Q31" s="3228" t="s">
        <v>2963</v>
      </c>
      <c r="R31" s="3228" t="s">
        <v>2964</v>
      </c>
    </row>
    <row r="32" spans="1:19" ht="14.25" customHeight="1" thickBot="1">
      <c r="A32" s="3228" t="s">
        <v>296</v>
      </c>
      <c r="B32" s="3229" t="s">
        <v>138</v>
      </c>
      <c r="C32" s="3228">
        <v>27210</v>
      </c>
      <c r="D32" s="3228">
        <v>23240</v>
      </c>
      <c r="E32" s="3228">
        <v>23260</v>
      </c>
      <c r="F32" s="3228">
        <v>7130</v>
      </c>
      <c r="G32" s="3241">
        <v>16270</v>
      </c>
      <c r="L32" s="3228" t="s">
        <v>2965</v>
      </c>
      <c r="M32" s="3228" t="s">
        <v>2966</v>
      </c>
      <c r="N32" s="3228" t="s">
        <v>300</v>
      </c>
      <c r="O32" s="3228" t="s">
        <v>2967</v>
      </c>
      <c r="P32" s="3228" t="s">
        <v>299</v>
      </c>
      <c r="Q32" s="3228" t="s">
        <v>2968</v>
      </c>
      <c r="R32" s="3235" t="s">
        <v>2969</v>
      </c>
    </row>
    <row r="33" spans="1:17" ht="14.25" customHeight="1" thickBot="1">
      <c r="A33" s="3228" t="s">
        <v>296</v>
      </c>
      <c r="B33" s="3229" t="s">
        <v>147</v>
      </c>
      <c r="C33" s="3228">
        <v>27300</v>
      </c>
      <c r="D33" s="3228">
        <v>22980</v>
      </c>
      <c r="E33" s="3228">
        <v>24260</v>
      </c>
      <c r="F33" s="3228">
        <v>5860</v>
      </c>
      <c r="G33" s="3241">
        <v>16090</v>
      </c>
      <c r="L33" s="3235" t="s">
        <v>2970</v>
      </c>
      <c r="M33" s="3228" t="s">
        <v>2971</v>
      </c>
      <c r="N33" s="3228" t="s">
        <v>301</v>
      </c>
      <c r="O33" s="3228" t="s">
        <v>2972</v>
      </c>
      <c r="P33" s="3228" t="s">
        <v>2973</v>
      </c>
      <c r="Q33" s="3228" t="s">
        <v>2974</v>
      </c>
    </row>
    <row r="34" spans="1:17" ht="14.25" customHeight="1">
      <c r="A34" s="3228" t="s">
        <v>296</v>
      </c>
      <c r="B34" s="3229" t="s">
        <v>156</v>
      </c>
      <c r="C34" s="3228">
        <v>23090</v>
      </c>
      <c r="D34" s="3228">
        <v>23390</v>
      </c>
      <c r="E34" s="3228">
        <v>23510</v>
      </c>
      <c r="F34" s="3228">
        <v>6700</v>
      </c>
      <c r="G34" s="3241">
        <v>16370</v>
      </c>
      <c r="M34" s="3228" t="s">
        <v>2975</v>
      </c>
      <c r="N34" s="3228" t="s">
        <v>302</v>
      </c>
      <c r="O34" s="3228" t="s">
        <v>2976</v>
      </c>
      <c r="P34" s="3228" t="s">
        <v>2977</v>
      </c>
      <c r="Q34" s="3228" t="s">
        <v>2978</v>
      </c>
    </row>
    <row r="35" spans="1:17" ht="14.25" customHeight="1">
      <c r="A35" s="3228" t="s">
        <v>296</v>
      </c>
      <c r="B35" s="3229" t="s">
        <v>163</v>
      </c>
      <c r="C35" s="3228">
        <v>27270</v>
      </c>
      <c r="D35" s="3228">
        <v>24270</v>
      </c>
      <c r="E35" s="3228">
        <v>24950</v>
      </c>
      <c r="F35" s="3228">
        <v>6600</v>
      </c>
      <c r="G35" s="3241">
        <v>16990</v>
      </c>
      <c r="M35" s="3228" t="s">
        <v>2979</v>
      </c>
      <c r="N35" s="3228" t="s">
        <v>2980</v>
      </c>
      <c r="O35" s="3228" t="s">
        <v>2981</v>
      </c>
      <c r="P35" s="3228" t="s">
        <v>2982</v>
      </c>
      <c r="Q35" s="3228" t="s">
        <v>2983</v>
      </c>
    </row>
    <row r="36" spans="1:17" ht="14.25" customHeight="1">
      <c r="A36" s="3228" t="s">
        <v>296</v>
      </c>
      <c r="B36" s="3229" t="s">
        <v>169</v>
      </c>
      <c r="C36" s="3228">
        <v>23490</v>
      </c>
      <c r="D36" s="3228">
        <v>23020</v>
      </c>
      <c r="E36" s="3228">
        <v>25230</v>
      </c>
      <c r="F36" s="3228">
        <v>6780</v>
      </c>
      <c r="G36" s="3241">
        <v>16120</v>
      </c>
      <c r="M36" s="3228" t="s">
        <v>2984</v>
      </c>
      <c r="N36" s="3228" t="s">
        <v>2985</v>
      </c>
      <c r="O36" s="3228" t="s">
        <v>2986</v>
      </c>
      <c r="P36" s="3228" t="s">
        <v>2987</v>
      </c>
      <c r="Q36" s="3228" t="s">
        <v>2988</v>
      </c>
    </row>
    <row r="37" spans="1:17" ht="14.25" customHeight="1">
      <c r="A37" s="3228" t="s">
        <v>296</v>
      </c>
      <c r="B37" s="3229" t="s">
        <v>176</v>
      </c>
      <c r="C37" s="3228">
        <v>24380</v>
      </c>
      <c r="D37" s="3228">
        <v>22240</v>
      </c>
      <c r="E37" s="3228">
        <v>25980</v>
      </c>
      <c r="F37" s="3228">
        <v>8160</v>
      </c>
      <c r="G37" s="3241">
        <v>15570</v>
      </c>
      <c r="M37" s="3228" t="s">
        <v>2989</v>
      </c>
      <c r="N37" s="3228" t="s">
        <v>2990</v>
      </c>
      <c r="O37" s="3228" t="s">
        <v>2991</v>
      </c>
      <c r="P37" s="3228" t="s">
        <v>2992</v>
      </c>
      <c r="Q37" s="3228" t="s">
        <v>2993</v>
      </c>
    </row>
    <row r="38" spans="1:17" ht="14.25" customHeight="1">
      <c r="A38" s="3228" t="s">
        <v>296</v>
      </c>
      <c r="B38" s="3229" t="s">
        <v>186</v>
      </c>
      <c r="C38" s="3228">
        <v>23120</v>
      </c>
      <c r="D38" s="3228">
        <v>24630</v>
      </c>
      <c r="E38" s="3228">
        <v>25030</v>
      </c>
      <c r="F38" s="3228">
        <v>7710</v>
      </c>
      <c r="G38" s="3241">
        <v>17240</v>
      </c>
      <c r="M38" s="3228" t="s">
        <v>2994</v>
      </c>
      <c r="N38" s="3228" t="s">
        <v>2995</v>
      </c>
      <c r="O38" s="3228" t="s">
        <v>2996</v>
      </c>
      <c r="P38" s="3228" t="s">
        <v>2997</v>
      </c>
      <c r="Q38" s="3228" t="s">
        <v>2998</v>
      </c>
    </row>
    <row r="39" spans="1:17" ht="14.25" customHeight="1">
      <c r="A39" s="3228" t="s">
        <v>296</v>
      </c>
      <c r="B39" s="3229" t="s">
        <v>195</v>
      </c>
      <c r="C39" s="3228">
        <v>22330</v>
      </c>
      <c r="D39" s="3228">
        <v>21140</v>
      </c>
      <c r="E39" s="3228">
        <v>23970</v>
      </c>
      <c r="F39" s="3228">
        <v>7940</v>
      </c>
      <c r="G39" s="3241">
        <v>14790</v>
      </c>
      <c r="M39" s="3228" t="s">
        <v>2999</v>
      </c>
      <c r="N39" s="3228" t="s">
        <v>3000</v>
      </c>
      <c r="O39" s="3228" t="s">
        <v>3001</v>
      </c>
      <c r="P39" s="3228" t="s">
        <v>3002</v>
      </c>
      <c r="Q39" s="3228" t="s">
        <v>3003</v>
      </c>
    </row>
    <row r="40" spans="1:17" ht="14.25" customHeight="1">
      <c r="A40" s="3228" t="s">
        <v>296</v>
      </c>
      <c r="B40" s="3229" t="s">
        <v>202</v>
      </c>
      <c r="C40" s="3228">
        <v>24740</v>
      </c>
      <c r="D40" s="3228">
        <v>24690</v>
      </c>
      <c r="E40" s="3228">
        <v>22610</v>
      </c>
      <c r="F40" s="3228"/>
      <c r="G40" s="3241">
        <v>17280</v>
      </c>
      <c r="M40" s="3228" t="s">
        <v>3004</v>
      </c>
      <c r="N40" s="3228" t="s">
        <v>3005</v>
      </c>
      <c r="O40" s="3228" t="s">
        <v>3006</v>
      </c>
      <c r="P40" s="3228" t="s">
        <v>3007</v>
      </c>
      <c r="Q40" s="3228" t="s">
        <v>3008</v>
      </c>
    </row>
    <row r="41" spans="1:17" ht="14.25" customHeight="1" thickBot="1">
      <c r="A41" s="3228" t="s">
        <v>296</v>
      </c>
      <c r="B41" s="3229" t="s">
        <v>209</v>
      </c>
      <c r="C41" s="3228">
        <v>21220</v>
      </c>
      <c r="D41" s="3228">
        <v>21120</v>
      </c>
      <c r="E41" s="3228">
        <v>22590</v>
      </c>
      <c r="F41" s="3228"/>
      <c r="G41" s="3241">
        <v>14780</v>
      </c>
      <c r="M41" s="3235" t="s">
        <v>3009</v>
      </c>
      <c r="N41" s="3228" t="s">
        <v>3010</v>
      </c>
      <c r="O41" s="3228" t="s">
        <v>3011</v>
      </c>
      <c r="P41" s="3228" t="s">
        <v>3012</v>
      </c>
      <c r="Q41" s="3228" t="s">
        <v>3013</v>
      </c>
    </row>
    <row r="42" spans="1:17" ht="14.25" customHeight="1">
      <c r="A42" s="3228" t="s">
        <v>296</v>
      </c>
      <c r="B42" s="3229" t="s">
        <v>215</v>
      </c>
      <c r="C42" s="3228">
        <v>24800</v>
      </c>
      <c r="D42" s="3228">
        <v>22280</v>
      </c>
      <c r="E42" s="3228">
        <v>24350</v>
      </c>
      <c r="F42" s="3228"/>
      <c r="G42" s="3241">
        <v>15590</v>
      </c>
      <c r="N42" s="3228" t="s">
        <v>3014</v>
      </c>
      <c r="O42" s="3228" t="s">
        <v>3015</v>
      </c>
      <c r="P42" s="3228" t="s">
        <v>3016</v>
      </c>
      <c r="Q42" s="3228" t="s">
        <v>3017</v>
      </c>
    </row>
    <row r="43" spans="1:17" ht="14.25" customHeight="1">
      <c r="A43" s="3228" t="s">
        <v>3018</v>
      </c>
      <c r="B43" s="3229" t="s">
        <v>223</v>
      </c>
      <c r="C43" s="3228">
        <v>21210</v>
      </c>
      <c r="D43" s="3228">
        <v>21160</v>
      </c>
      <c r="E43" s="3228">
        <v>22650</v>
      </c>
      <c r="F43" s="3228"/>
      <c r="G43" s="3241">
        <v>14800</v>
      </c>
      <c r="N43" s="3228" t="s">
        <v>3019</v>
      </c>
      <c r="O43" s="3228" t="s">
        <v>3020</v>
      </c>
      <c r="P43" s="3228" t="s">
        <v>3021</v>
      </c>
      <c r="Q43" s="3228" t="s">
        <v>3022</v>
      </c>
    </row>
    <row r="44" spans="1:17" ht="14.25" customHeight="1" thickBot="1">
      <c r="A44" s="3228" t="s">
        <v>296</v>
      </c>
      <c r="B44" s="3229" t="s">
        <v>231</v>
      </c>
      <c r="C44" s="3228">
        <v>22370</v>
      </c>
      <c r="D44" s="3228">
        <v>23140</v>
      </c>
      <c r="E44" s="3228">
        <v>25090</v>
      </c>
      <c r="F44" s="3228"/>
      <c r="G44" s="3241">
        <v>16190</v>
      </c>
      <c r="N44" s="3228" t="s">
        <v>3023</v>
      </c>
      <c r="O44" s="3228" t="s">
        <v>3024</v>
      </c>
      <c r="P44" s="3235" t="s">
        <v>3025</v>
      </c>
      <c r="Q44" s="3228" t="s">
        <v>3026</v>
      </c>
    </row>
    <row r="45" spans="1:17" ht="14.25" customHeight="1" thickBot="1">
      <c r="A45" s="3228" t="s">
        <v>296</v>
      </c>
      <c r="B45" s="3229" t="s">
        <v>236</v>
      </c>
      <c r="C45" s="3228">
        <v>21240</v>
      </c>
      <c r="D45" s="3228">
        <v>27050</v>
      </c>
      <c r="E45" s="3228">
        <v>28000</v>
      </c>
      <c r="F45" s="3228"/>
      <c r="G45" s="3241">
        <v>18940</v>
      </c>
      <c r="N45" s="3228" t="s">
        <v>3027</v>
      </c>
      <c r="O45" s="3235" t="s">
        <v>3028</v>
      </c>
      <c r="Q45" s="3228" t="s">
        <v>3029</v>
      </c>
    </row>
    <row r="46" spans="1:17" ht="14.25" customHeight="1">
      <c r="A46" s="3228" t="s">
        <v>296</v>
      </c>
      <c r="B46" s="3229" t="s">
        <v>245</v>
      </c>
      <c r="C46" s="3228">
        <v>23240</v>
      </c>
      <c r="D46" s="3228">
        <v>23000</v>
      </c>
      <c r="E46" s="3228">
        <v>24980</v>
      </c>
      <c r="F46" s="3228"/>
      <c r="G46" s="3241">
        <v>16100</v>
      </c>
      <c r="N46" s="3228" t="s">
        <v>3030</v>
      </c>
      <c r="Q46" s="3228" t="s">
        <v>3031</v>
      </c>
    </row>
    <row r="47" spans="1:17" ht="14.25" customHeight="1">
      <c r="A47" s="3228" t="s">
        <v>296</v>
      </c>
      <c r="B47" s="3229" t="s">
        <v>252</v>
      </c>
      <c r="C47" s="3228">
        <v>27150</v>
      </c>
      <c r="D47" s="3228">
        <v>23310</v>
      </c>
      <c r="E47" s="3228">
        <v>25150</v>
      </c>
      <c r="F47" s="3228"/>
      <c r="G47" s="3241">
        <v>16310</v>
      </c>
      <c r="N47" s="3228" t="s">
        <v>3032</v>
      </c>
      <c r="Q47" s="3228" t="s">
        <v>3033</v>
      </c>
    </row>
    <row r="48" spans="1:17" ht="14.25" customHeight="1">
      <c r="A48" s="3228" t="s">
        <v>296</v>
      </c>
      <c r="B48" s="3229" t="s">
        <v>260</v>
      </c>
      <c r="C48" s="3228">
        <v>23100</v>
      </c>
      <c r="D48" s="3228">
        <v>21110</v>
      </c>
      <c r="E48" s="3228">
        <v>23080</v>
      </c>
      <c r="F48" s="3228"/>
      <c r="G48" s="3241">
        <v>14780</v>
      </c>
      <c r="N48" s="3228" t="s">
        <v>3034</v>
      </c>
      <c r="Q48" s="3228" t="s">
        <v>3035</v>
      </c>
    </row>
    <row r="49" spans="1:17" ht="14.25" customHeight="1">
      <c r="A49" s="3228" t="s">
        <v>296</v>
      </c>
      <c r="B49" s="3229" t="s">
        <v>267</v>
      </c>
      <c r="C49" s="3228">
        <v>23400</v>
      </c>
      <c r="D49" s="3228">
        <v>22920</v>
      </c>
      <c r="E49" s="3228">
        <v>24900</v>
      </c>
      <c r="F49" s="3228"/>
      <c r="G49" s="3241">
        <v>16040</v>
      </c>
      <c r="N49" s="3228" t="s">
        <v>3036</v>
      </c>
      <c r="Q49" s="3228" t="s">
        <v>3037</v>
      </c>
    </row>
    <row r="50" spans="1:17" ht="14.25" customHeight="1">
      <c r="A50" s="3228" t="s">
        <v>296</v>
      </c>
      <c r="B50" s="3229" t="s">
        <v>2914</v>
      </c>
      <c r="C50" s="3228">
        <v>21200</v>
      </c>
      <c r="D50" s="3228">
        <v>26540</v>
      </c>
      <c r="E50" s="3228">
        <v>23200</v>
      </c>
      <c r="F50" s="3228"/>
      <c r="G50" s="3241">
        <v>18580</v>
      </c>
      <c r="N50" s="3228" t="s">
        <v>3038</v>
      </c>
      <c r="Q50" s="3229" t="s">
        <v>3039</v>
      </c>
    </row>
    <row r="51" spans="1:17" ht="14.25" customHeight="1" thickBot="1">
      <c r="A51" s="3228" t="s">
        <v>296</v>
      </c>
      <c r="B51" s="3229" t="s">
        <v>2916</v>
      </c>
      <c r="C51" s="3228">
        <v>23000</v>
      </c>
      <c r="D51" s="3228">
        <v>23460</v>
      </c>
      <c r="E51" s="3228">
        <v>25290</v>
      </c>
      <c r="F51" s="3228"/>
      <c r="G51" s="3241">
        <v>16420</v>
      </c>
      <c r="N51" s="3228" t="s">
        <v>3040</v>
      </c>
      <c r="Q51" s="3235" t="s">
        <v>3041</v>
      </c>
    </row>
    <row r="52" spans="1:17" ht="14.25" customHeight="1">
      <c r="A52" s="3228" t="s">
        <v>296</v>
      </c>
      <c r="B52" s="3229" t="s">
        <v>2920</v>
      </c>
      <c r="C52" s="3228">
        <v>26660</v>
      </c>
      <c r="D52" s="3228">
        <v>22350</v>
      </c>
      <c r="E52" s="3228">
        <v>22920</v>
      </c>
      <c r="F52" s="3228"/>
      <c r="G52" s="3241">
        <v>15640</v>
      </c>
      <c r="N52" s="3228" t="s">
        <v>3042</v>
      </c>
    </row>
    <row r="53" spans="1:17" ht="14.25" customHeight="1">
      <c r="A53" s="3228" t="s">
        <v>296</v>
      </c>
      <c r="B53" s="3229" t="s">
        <v>2925</v>
      </c>
      <c r="C53" s="3228">
        <v>23580</v>
      </c>
      <c r="D53" s="3228"/>
      <c r="E53" s="3228">
        <v>24280</v>
      </c>
      <c r="F53" s="3228"/>
      <c r="G53" s="3241"/>
      <c r="N53" s="3228" t="s">
        <v>3043</v>
      </c>
    </row>
    <row r="54" spans="1:17" ht="14.25" customHeight="1" thickBot="1">
      <c r="A54" s="3242" t="s">
        <v>296</v>
      </c>
      <c r="B54" s="3234" t="s">
        <v>2928</v>
      </c>
      <c r="C54" s="3235">
        <v>22460</v>
      </c>
      <c r="D54" s="3235"/>
      <c r="E54" s="3235"/>
      <c r="F54" s="3235"/>
      <c r="G54" s="3243"/>
      <c r="N54" s="3228" t="s">
        <v>3044</v>
      </c>
    </row>
    <row r="55" spans="1:17" ht="14.25" customHeight="1">
      <c r="A55" s="3233" t="s">
        <v>110</v>
      </c>
      <c r="B55" s="3224" t="s">
        <v>3045</v>
      </c>
      <c r="C55" s="3228">
        <v>21970</v>
      </c>
      <c r="D55" s="3228">
        <v>20370</v>
      </c>
      <c r="E55" s="3228">
        <v>20180</v>
      </c>
      <c r="F55" s="3228">
        <v>5730</v>
      </c>
      <c r="G55" s="3228">
        <v>13820</v>
      </c>
      <c r="N55" s="3228" t="s">
        <v>3046</v>
      </c>
    </row>
    <row r="56" spans="1:17" ht="14.25" customHeight="1">
      <c r="A56" s="3228" t="s">
        <v>110</v>
      </c>
      <c r="B56" s="3228" t="s">
        <v>130</v>
      </c>
      <c r="C56" s="3228">
        <v>20470</v>
      </c>
      <c r="D56" s="3228">
        <v>20700</v>
      </c>
      <c r="E56" s="3228">
        <v>20380</v>
      </c>
      <c r="F56" s="3228">
        <v>4760</v>
      </c>
      <c r="G56" s="3228">
        <v>14050</v>
      </c>
      <c r="N56" s="3228" t="s">
        <v>3047</v>
      </c>
    </row>
    <row r="57" spans="1:17" ht="14.25" customHeight="1">
      <c r="A57" s="3228" t="s">
        <v>110</v>
      </c>
      <c r="B57" s="3228" t="s">
        <v>139</v>
      </c>
      <c r="C57" s="3228">
        <v>20790</v>
      </c>
      <c r="D57" s="3228">
        <v>21370</v>
      </c>
      <c r="E57" s="3228">
        <v>20890</v>
      </c>
      <c r="F57" s="3228">
        <v>4910</v>
      </c>
      <c r="G57" s="3228">
        <v>14510</v>
      </c>
      <c r="N57" s="3228" t="s">
        <v>3048</v>
      </c>
    </row>
    <row r="58" spans="1:17" ht="14.25" customHeight="1">
      <c r="A58" s="3228" t="s">
        <v>110</v>
      </c>
      <c r="B58" s="3228" t="s">
        <v>148</v>
      </c>
      <c r="C58" s="3228">
        <v>21460</v>
      </c>
      <c r="D58" s="3228">
        <v>20920</v>
      </c>
      <c r="E58" s="3228">
        <v>23410</v>
      </c>
      <c r="F58" s="3228">
        <v>5100</v>
      </c>
      <c r="G58" s="3228">
        <v>14200</v>
      </c>
      <c r="N58" s="3228" t="s">
        <v>3049</v>
      </c>
    </row>
    <row r="59" spans="1:17" ht="14.25" customHeight="1">
      <c r="A59" s="3228" t="s">
        <v>110</v>
      </c>
      <c r="B59" s="3228" t="s">
        <v>157</v>
      </c>
      <c r="C59" s="3228">
        <v>21000</v>
      </c>
      <c r="D59" s="3228">
        <v>21550</v>
      </c>
      <c r="E59" s="3228">
        <v>21150</v>
      </c>
      <c r="F59" s="3228">
        <v>5250</v>
      </c>
      <c r="G59" s="3228">
        <v>14630</v>
      </c>
      <c r="N59" s="3228" t="s">
        <v>3050</v>
      </c>
    </row>
    <row r="60" spans="1:17" ht="14.25" customHeight="1">
      <c r="A60" s="3228" t="s">
        <v>110</v>
      </c>
      <c r="B60" s="3228" t="s">
        <v>164</v>
      </c>
      <c r="C60" s="3228">
        <v>21640</v>
      </c>
      <c r="D60" s="3228">
        <v>21260</v>
      </c>
      <c r="E60" s="3228">
        <v>24040</v>
      </c>
      <c r="F60" s="3228">
        <v>4470</v>
      </c>
      <c r="G60" s="3228">
        <v>14430</v>
      </c>
      <c r="N60" s="3228" t="s">
        <v>3051</v>
      </c>
    </row>
    <row r="61" spans="1:17" ht="14.25" customHeight="1">
      <c r="A61" s="3228" t="s">
        <v>110</v>
      </c>
      <c r="B61" s="3228" t="s">
        <v>170</v>
      </c>
      <c r="C61" s="3228">
        <v>21330</v>
      </c>
      <c r="D61" s="3228">
        <v>18640</v>
      </c>
      <c r="E61" s="3228">
        <v>21190</v>
      </c>
      <c r="F61" s="3228">
        <v>4180</v>
      </c>
      <c r="G61" s="3228">
        <v>12650</v>
      </c>
      <c r="N61" s="3228" t="s">
        <v>3052</v>
      </c>
    </row>
    <row r="62" spans="1:17" ht="14.25" customHeight="1">
      <c r="A62" s="3228" t="s">
        <v>110</v>
      </c>
      <c r="B62" s="3228" t="s">
        <v>177</v>
      </c>
      <c r="C62" s="3228">
        <v>18710</v>
      </c>
      <c r="D62" s="3228">
        <v>19400</v>
      </c>
      <c r="E62" s="3228">
        <v>23750</v>
      </c>
      <c r="F62" s="3228">
        <v>4860</v>
      </c>
      <c r="G62" s="3228">
        <v>13170</v>
      </c>
      <c r="N62" s="3228" t="s">
        <v>3053</v>
      </c>
    </row>
    <row r="63" spans="1:17" ht="14.25" customHeight="1">
      <c r="A63" s="3228" t="s">
        <v>110</v>
      </c>
      <c r="B63" s="3228" t="s">
        <v>187</v>
      </c>
      <c r="C63" s="3228">
        <v>19480</v>
      </c>
      <c r="D63" s="3228">
        <v>16830</v>
      </c>
      <c r="E63" s="3228">
        <v>21590</v>
      </c>
      <c r="F63" s="3228">
        <v>4560</v>
      </c>
      <c r="G63" s="3228">
        <v>11420</v>
      </c>
      <c r="N63" s="3228" t="s">
        <v>3054</v>
      </c>
    </row>
    <row r="64" spans="1:17" ht="14.25" customHeight="1" thickBot="1">
      <c r="A64" s="3228" t="s">
        <v>110</v>
      </c>
      <c r="B64" s="3228" t="s">
        <v>196</v>
      </c>
      <c r="C64" s="3228">
        <v>16920</v>
      </c>
      <c r="D64" s="3228">
        <v>19190</v>
      </c>
      <c r="E64" s="3228">
        <v>22200</v>
      </c>
      <c r="F64" s="3228">
        <v>4390</v>
      </c>
      <c r="G64" s="3228">
        <v>13030</v>
      </c>
      <c r="N64" s="3235" t="s">
        <v>3055</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2926</v>
      </c>
      <c r="C78" s="3228">
        <v>19820</v>
      </c>
      <c r="D78" s="3228">
        <v>19780</v>
      </c>
      <c r="E78" s="3228">
        <v>18560</v>
      </c>
      <c r="F78" s="3228"/>
      <c r="G78" s="3228">
        <v>13430</v>
      </c>
    </row>
    <row r="79" spans="1:7" s="3217" customFormat="1" ht="14.25" customHeight="1">
      <c r="A79" s="3228" t="s">
        <v>110</v>
      </c>
      <c r="B79" s="3228" t="s">
        <v>2929</v>
      </c>
      <c r="C79" s="3228">
        <v>21660</v>
      </c>
      <c r="D79" s="3228">
        <v>18000</v>
      </c>
      <c r="E79" s="3228">
        <v>22570</v>
      </c>
      <c r="F79" s="3228"/>
      <c r="G79" s="3228">
        <v>12220</v>
      </c>
    </row>
    <row r="80" spans="1:7" s="3217" customFormat="1" ht="14.25" customHeight="1">
      <c r="A80" s="3228" t="s">
        <v>110</v>
      </c>
      <c r="B80" s="3228" t="s">
        <v>2933</v>
      </c>
      <c r="C80" s="3228">
        <v>19850</v>
      </c>
      <c r="D80" s="3228"/>
      <c r="E80" s="3228">
        <v>21700</v>
      </c>
      <c r="F80" s="3228"/>
      <c r="G80" s="3228"/>
    </row>
    <row r="81" spans="1:7" s="3217" customFormat="1" ht="14.25" customHeight="1">
      <c r="A81" s="3228" t="s">
        <v>110</v>
      </c>
      <c r="B81" s="3228" t="s">
        <v>2938</v>
      </c>
      <c r="C81" s="3228">
        <v>18080</v>
      </c>
      <c r="D81" s="3228"/>
      <c r="E81" s="3228">
        <v>20900</v>
      </c>
      <c r="F81" s="3228"/>
      <c r="G81" s="3228"/>
    </row>
    <row r="82" spans="1:7" s="3217" customFormat="1" ht="14.25" customHeight="1">
      <c r="A82" s="3228" t="s">
        <v>110</v>
      </c>
      <c r="B82" s="3228" t="s">
        <v>2945</v>
      </c>
      <c r="C82" s="3228"/>
      <c r="D82" s="3228"/>
      <c r="E82" s="3228">
        <v>20840</v>
      </c>
      <c r="F82" s="3228"/>
      <c r="G82" s="3228"/>
    </row>
    <row r="83" spans="1:7" s="3217" customFormat="1" ht="14.25" customHeight="1">
      <c r="A83" s="3228" t="s">
        <v>110</v>
      </c>
      <c r="B83" s="3228" t="s">
        <v>3056</v>
      </c>
      <c r="C83" s="3228"/>
      <c r="D83" s="3228"/>
      <c r="E83" s="3228"/>
      <c r="F83" s="3228">
        <v>4770</v>
      </c>
      <c r="G83" s="3228"/>
    </row>
    <row r="84" spans="1:7" s="3217" customFormat="1" ht="14.25" customHeight="1">
      <c r="A84" s="3228" t="s">
        <v>110</v>
      </c>
      <c r="B84" s="3228" t="s">
        <v>3057</v>
      </c>
      <c r="C84" s="3228"/>
      <c r="D84" s="3228"/>
      <c r="E84" s="3228"/>
      <c r="F84" s="3228">
        <v>4600</v>
      </c>
      <c r="G84" s="3228"/>
    </row>
    <row r="85" spans="1:7" s="3217" customFormat="1" ht="14.25" customHeight="1">
      <c r="A85" s="3228" t="s">
        <v>110</v>
      </c>
      <c r="B85" s="3228" t="s">
        <v>3058</v>
      </c>
      <c r="C85" s="3228"/>
      <c r="D85" s="3228"/>
      <c r="E85" s="3228"/>
      <c r="F85" s="3228">
        <v>4680</v>
      </c>
      <c r="G85" s="3228"/>
    </row>
    <row r="86" spans="1:7" s="3217" customFormat="1" ht="14.25" customHeight="1" thickBot="1">
      <c r="A86" s="3236" t="s">
        <v>110</v>
      </c>
      <c r="B86" s="3238" t="s">
        <v>3059</v>
      </c>
      <c r="C86" s="3239">
        <v>16610</v>
      </c>
      <c r="D86" s="3239">
        <v>16540</v>
      </c>
      <c r="E86" s="3239">
        <v>18850</v>
      </c>
      <c r="F86" s="3239"/>
      <c r="G86" s="3239">
        <v>11220</v>
      </c>
    </row>
    <row r="87" spans="1:7" s="3217" customFormat="1" ht="14.25" customHeight="1">
      <c r="A87" s="3233" t="s">
        <v>303</v>
      </c>
      <c r="B87" s="3224" t="s">
        <v>3060</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2939</v>
      </c>
      <c r="C113" s="3228">
        <v>15520</v>
      </c>
      <c r="D113" s="3228">
        <v>15450</v>
      </c>
      <c r="E113" s="3228"/>
      <c r="F113" s="3228"/>
      <c r="G113" s="3241">
        <v>10210</v>
      </c>
    </row>
    <row r="114" spans="1:7" s="3217" customFormat="1" ht="14.25" customHeight="1">
      <c r="A114" s="3228" t="s">
        <v>303</v>
      </c>
      <c r="B114" s="3228" t="s">
        <v>2946</v>
      </c>
      <c r="C114" s="3228">
        <v>13110</v>
      </c>
      <c r="D114" s="3228">
        <v>13050</v>
      </c>
      <c r="E114" s="3228"/>
      <c r="F114" s="3228"/>
      <c r="G114" s="3241">
        <v>8620</v>
      </c>
    </row>
    <row r="115" spans="1:7" s="3217" customFormat="1" ht="14.25" customHeight="1">
      <c r="A115" s="3228" t="s">
        <v>303</v>
      </c>
      <c r="B115" s="3228" t="s">
        <v>2952</v>
      </c>
      <c r="C115" s="3228">
        <v>12460</v>
      </c>
      <c r="D115" s="3228">
        <v>12390</v>
      </c>
      <c r="E115" s="3228"/>
      <c r="F115" s="3228"/>
      <c r="G115" s="3241">
        <v>8190</v>
      </c>
    </row>
    <row r="116" spans="1:7" s="3217" customFormat="1" ht="14.25" customHeight="1">
      <c r="A116" s="3228" t="s">
        <v>303</v>
      </c>
      <c r="B116" s="3228" t="s">
        <v>2959</v>
      </c>
      <c r="C116" s="3228">
        <v>13580</v>
      </c>
      <c r="D116" s="3228">
        <v>13520</v>
      </c>
      <c r="E116" s="3228"/>
      <c r="F116" s="3228"/>
      <c r="G116" s="3241">
        <v>8930</v>
      </c>
    </row>
    <row r="117" spans="1:7" s="3217" customFormat="1" ht="14.25" customHeight="1">
      <c r="A117" s="3228" t="s">
        <v>303</v>
      </c>
      <c r="B117" s="3228" t="s">
        <v>2966</v>
      </c>
      <c r="C117" s="3228">
        <v>17120</v>
      </c>
      <c r="D117" s="3228">
        <v>17040</v>
      </c>
      <c r="E117" s="3228"/>
      <c r="F117" s="3228"/>
      <c r="G117" s="3241">
        <v>11260</v>
      </c>
    </row>
    <row r="118" spans="1:7" s="3217" customFormat="1" ht="14.25" customHeight="1">
      <c r="A118" s="3228" t="s">
        <v>303</v>
      </c>
      <c r="B118" s="3228" t="s">
        <v>2971</v>
      </c>
      <c r="C118" s="3228">
        <v>14860</v>
      </c>
      <c r="D118" s="3228">
        <v>14790</v>
      </c>
      <c r="E118" s="3228"/>
      <c r="F118" s="3228"/>
      <c r="G118" s="3241">
        <v>9780</v>
      </c>
    </row>
    <row r="119" spans="1:7" s="3217" customFormat="1" ht="14.25" customHeight="1">
      <c r="A119" s="3228" t="s">
        <v>303</v>
      </c>
      <c r="B119" s="3228" t="s">
        <v>2975</v>
      </c>
      <c r="C119" s="3228">
        <v>16470</v>
      </c>
      <c r="D119" s="3228">
        <v>16400</v>
      </c>
      <c r="E119" s="3228"/>
      <c r="F119" s="3228"/>
      <c r="G119" s="3241">
        <v>10840</v>
      </c>
    </row>
    <row r="120" spans="1:7" s="3217" customFormat="1" ht="14.25" customHeight="1">
      <c r="A120" s="3228" t="s">
        <v>303</v>
      </c>
      <c r="B120" s="3228" t="s">
        <v>3061</v>
      </c>
      <c r="C120" s="3228"/>
      <c r="D120" s="3228"/>
      <c r="E120" s="3228"/>
      <c r="F120" s="3228">
        <v>4160</v>
      </c>
      <c r="G120" s="3241"/>
    </row>
    <row r="121" spans="1:7" s="3217" customFormat="1" ht="14.25" customHeight="1">
      <c r="A121" s="3228" t="s">
        <v>303</v>
      </c>
      <c r="B121" s="3228" t="s">
        <v>3062</v>
      </c>
      <c r="C121" s="3228"/>
      <c r="D121" s="3228"/>
      <c r="E121" s="3228"/>
      <c r="F121" s="3228">
        <v>3880</v>
      </c>
      <c r="G121" s="3241"/>
    </row>
    <row r="122" spans="1:7" s="3217" customFormat="1" ht="14.25" customHeight="1">
      <c r="A122" s="3228" t="s">
        <v>303</v>
      </c>
      <c r="B122" s="3228" t="s">
        <v>3063</v>
      </c>
      <c r="C122" s="3228">
        <v>13750</v>
      </c>
      <c r="D122" s="3228">
        <v>13680</v>
      </c>
      <c r="E122" s="3228">
        <v>16460</v>
      </c>
      <c r="F122" s="3228">
        <v>2880</v>
      </c>
      <c r="G122" s="3241">
        <v>9040</v>
      </c>
    </row>
    <row r="123" spans="1:7" s="3217" customFormat="1" ht="14.25" customHeight="1">
      <c r="A123" s="3228" t="s">
        <v>303</v>
      </c>
      <c r="B123" s="3228" t="s">
        <v>2994</v>
      </c>
      <c r="C123" s="3228">
        <v>13590</v>
      </c>
      <c r="D123" s="3228">
        <v>13520</v>
      </c>
      <c r="E123" s="3228">
        <v>16290</v>
      </c>
      <c r="F123" s="3228">
        <v>2790</v>
      </c>
      <c r="G123" s="3241">
        <v>8930</v>
      </c>
    </row>
    <row r="124" spans="1:7" s="3217" customFormat="1" ht="14.25" customHeight="1">
      <c r="A124" s="3228" t="s">
        <v>303</v>
      </c>
      <c r="B124" s="3228" t="s">
        <v>2999</v>
      </c>
      <c r="C124" s="3228">
        <v>13400</v>
      </c>
      <c r="D124" s="3228">
        <v>13320</v>
      </c>
      <c r="E124" s="3228">
        <v>16100</v>
      </c>
      <c r="F124" s="3228">
        <v>2320</v>
      </c>
      <c r="G124" s="3241">
        <v>8800</v>
      </c>
    </row>
    <row r="125" spans="1:7" s="3217" customFormat="1" ht="14.25" customHeight="1">
      <c r="A125" s="3228" t="s">
        <v>303</v>
      </c>
      <c r="B125" s="3228" t="s">
        <v>3004</v>
      </c>
      <c r="C125" s="3228">
        <v>12860</v>
      </c>
      <c r="D125" s="3228">
        <v>12790</v>
      </c>
      <c r="E125" s="3228">
        <v>15370</v>
      </c>
      <c r="F125" s="3228">
        <v>2280</v>
      </c>
      <c r="G125" s="3241">
        <v>8450</v>
      </c>
    </row>
    <row r="126" spans="1:7" s="3217" customFormat="1" ht="14.25" customHeight="1" thickBot="1">
      <c r="A126" s="3242" t="s">
        <v>303</v>
      </c>
      <c r="B126" s="3235" t="s">
        <v>3009</v>
      </c>
      <c r="C126" s="3235">
        <v>12960</v>
      </c>
      <c r="D126" s="3235">
        <v>12890</v>
      </c>
      <c r="E126" s="3235">
        <v>15530</v>
      </c>
      <c r="F126" s="3235">
        <v>2910</v>
      </c>
      <c r="G126" s="3243">
        <v>8520</v>
      </c>
    </row>
    <row r="127" spans="1:7" s="3217" customFormat="1" ht="14.25" customHeight="1">
      <c r="A127" s="3233" t="s">
        <v>29</v>
      </c>
      <c r="B127" s="3224" t="s">
        <v>3064</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3065</v>
      </c>
      <c r="C148" s="3228">
        <v>10370</v>
      </c>
      <c r="D148" s="3228">
        <v>10310</v>
      </c>
      <c r="E148" s="3228">
        <v>12970</v>
      </c>
      <c r="F148" s="3228"/>
      <c r="G148" s="3228">
        <v>6630</v>
      </c>
    </row>
    <row r="149" spans="1:7" s="3217" customFormat="1" ht="14.25" customHeight="1">
      <c r="A149" s="3228" t="s">
        <v>29</v>
      </c>
      <c r="B149" s="3228" t="s">
        <v>3066</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2940</v>
      </c>
      <c r="C153" s="3228">
        <v>10880</v>
      </c>
      <c r="D153" s="3228">
        <v>10820</v>
      </c>
      <c r="E153" s="3228">
        <v>13660</v>
      </c>
      <c r="F153" s="3228">
        <v>2260</v>
      </c>
      <c r="G153" s="3228">
        <v>6970</v>
      </c>
    </row>
    <row r="154" spans="1:7" s="3217" customFormat="1" ht="14.25" customHeight="1">
      <c r="A154" s="3228" t="s">
        <v>29</v>
      </c>
      <c r="B154" s="3228" t="s">
        <v>3067</v>
      </c>
      <c r="C154" s="3228">
        <v>11220</v>
      </c>
      <c r="D154" s="3228">
        <v>11160</v>
      </c>
      <c r="E154" s="3228">
        <v>14130</v>
      </c>
      <c r="F154" s="3228">
        <v>2230</v>
      </c>
      <c r="G154" s="3228">
        <v>7180</v>
      </c>
    </row>
    <row r="155" spans="1:7" s="3217" customFormat="1" ht="14.25" customHeight="1">
      <c r="A155" s="3228" t="s">
        <v>29</v>
      </c>
      <c r="B155" s="3228" t="s">
        <v>2953</v>
      </c>
      <c r="C155" s="3228">
        <v>10430</v>
      </c>
      <c r="D155" s="3228">
        <v>10380</v>
      </c>
      <c r="E155" s="3228">
        <v>13140</v>
      </c>
      <c r="F155" s="3228">
        <v>2080</v>
      </c>
      <c r="G155" s="3228">
        <v>6650</v>
      </c>
    </row>
    <row r="156" spans="1:7" s="3217" customFormat="1" ht="14.25" customHeight="1">
      <c r="A156" s="3228" t="s">
        <v>29</v>
      </c>
      <c r="B156" s="3228" t="s">
        <v>3068</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3069</v>
      </c>
      <c r="C160" s="3228">
        <v>11180</v>
      </c>
      <c r="D160" s="3228">
        <v>11140</v>
      </c>
      <c r="E160" s="3228">
        <v>14050</v>
      </c>
      <c r="F160" s="3228">
        <v>2270</v>
      </c>
      <c r="G160" s="3228">
        <v>7170</v>
      </c>
    </row>
    <row r="161" spans="1:7" s="3217" customFormat="1" ht="14.25" customHeight="1">
      <c r="A161" s="3228" t="s">
        <v>29</v>
      </c>
      <c r="B161" s="3228" t="s">
        <v>2985</v>
      </c>
      <c r="C161" s="3228">
        <v>11160</v>
      </c>
      <c r="D161" s="3228">
        <v>11120</v>
      </c>
      <c r="E161" s="3228">
        <v>14020</v>
      </c>
      <c r="F161" s="3228">
        <v>2150</v>
      </c>
      <c r="G161" s="3228">
        <v>7160</v>
      </c>
    </row>
    <row r="162" spans="1:7" s="3217" customFormat="1" ht="14.25" customHeight="1">
      <c r="A162" s="3228" t="s">
        <v>29</v>
      </c>
      <c r="B162" s="3228" t="s">
        <v>2990</v>
      </c>
      <c r="C162" s="3228">
        <v>9620</v>
      </c>
      <c r="D162" s="3228">
        <v>9570</v>
      </c>
      <c r="E162" s="3228">
        <v>12320</v>
      </c>
      <c r="F162" s="3228">
        <v>2010</v>
      </c>
      <c r="G162" s="3228">
        <v>6160</v>
      </c>
    </row>
    <row r="163" spans="1:7" s="3217" customFormat="1" ht="14.25" customHeight="1">
      <c r="A163" s="3228" t="s">
        <v>29</v>
      </c>
      <c r="B163" s="3228" t="s">
        <v>2995</v>
      </c>
      <c r="C163" s="3228">
        <v>9320</v>
      </c>
      <c r="D163" s="3228">
        <v>9270</v>
      </c>
      <c r="E163" s="3228">
        <v>11790</v>
      </c>
      <c r="F163" s="3228">
        <v>1920</v>
      </c>
      <c r="G163" s="3228">
        <v>5960</v>
      </c>
    </row>
    <row r="164" spans="1:7" s="3217" customFormat="1" ht="14.25" customHeight="1">
      <c r="A164" s="3228" t="s">
        <v>29</v>
      </c>
      <c r="B164" s="3228" t="s">
        <v>3000</v>
      </c>
      <c r="C164" s="3228"/>
      <c r="D164" s="3228"/>
      <c r="E164" s="3228"/>
      <c r="F164" s="3228">
        <v>1980</v>
      </c>
      <c r="G164" s="3228"/>
    </row>
    <row r="165" spans="1:7" s="3217" customFormat="1" ht="14.25" customHeight="1">
      <c r="A165" s="3228" t="s">
        <v>29</v>
      </c>
      <c r="B165" s="3228" t="s">
        <v>3070</v>
      </c>
      <c r="C165" s="3228">
        <v>11060</v>
      </c>
      <c r="D165" s="3228">
        <v>11030</v>
      </c>
      <c r="E165" s="3228">
        <v>13850</v>
      </c>
      <c r="F165" s="3228">
        <v>2170</v>
      </c>
      <c r="G165" s="3228">
        <v>7090</v>
      </c>
    </row>
    <row r="166" spans="1:7" s="3217" customFormat="1" ht="14.25" customHeight="1">
      <c r="A166" s="3228" t="s">
        <v>29</v>
      </c>
      <c r="B166" s="3228" t="s">
        <v>3010</v>
      </c>
      <c r="C166" s="3228">
        <v>11050</v>
      </c>
      <c r="D166" s="3228">
        <v>11010</v>
      </c>
      <c r="E166" s="3228">
        <v>13920</v>
      </c>
      <c r="F166" s="3228">
        <v>2140</v>
      </c>
      <c r="G166" s="3228">
        <v>7080</v>
      </c>
    </row>
    <row r="167" spans="1:7" s="3217" customFormat="1" ht="14.25" customHeight="1">
      <c r="A167" s="3228" t="s">
        <v>29</v>
      </c>
      <c r="B167" s="3228" t="s">
        <v>3014</v>
      </c>
      <c r="C167" s="3228">
        <v>10930</v>
      </c>
      <c r="D167" s="3228">
        <v>10890</v>
      </c>
      <c r="E167" s="3228">
        <v>13790</v>
      </c>
      <c r="F167" s="3228">
        <v>2010</v>
      </c>
      <c r="G167" s="3228">
        <v>7000</v>
      </c>
    </row>
    <row r="168" spans="1:7" s="3217" customFormat="1" ht="14.25" customHeight="1">
      <c r="A168" s="3228" t="s">
        <v>29</v>
      </c>
      <c r="B168" s="3228" t="s">
        <v>3019</v>
      </c>
      <c r="C168" s="3228">
        <v>9420</v>
      </c>
      <c r="D168" s="3228">
        <v>9380</v>
      </c>
      <c r="E168" s="3228">
        <v>11970</v>
      </c>
      <c r="F168" s="3228"/>
      <c r="G168" s="3228">
        <v>6040</v>
      </c>
    </row>
    <row r="169" spans="1:7" s="3217" customFormat="1" ht="14.25" customHeight="1">
      <c r="A169" s="3228" t="s">
        <v>29</v>
      </c>
      <c r="B169" s="3228" t="s">
        <v>3071</v>
      </c>
      <c r="C169" s="3228"/>
      <c r="D169" s="3228"/>
      <c r="E169" s="3228"/>
      <c r="F169" s="3228">
        <v>2880</v>
      </c>
      <c r="G169" s="3228"/>
    </row>
    <row r="170" spans="1:7" s="3217" customFormat="1" ht="14.25" customHeight="1">
      <c r="A170" s="3228" t="s">
        <v>29</v>
      </c>
      <c r="B170" s="3228" t="s">
        <v>3027</v>
      </c>
      <c r="C170" s="3228"/>
      <c r="D170" s="3228"/>
      <c r="E170" s="3228"/>
      <c r="F170" s="3228">
        <v>2880</v>
      </c>
      <c r="G170" s="3228"/>
    </row>
    <row r="171" spans="1:7" s="3217" customFormat="1" ht="14.25" customHeight="1">
      <c r="A171" s="3228" t="s">
        <v>29</v>
      </c>
      <c r="B171" s="3228" t="s">
        <v>3030</v>
      </c>
      <c r="C171" s="3228"/>
      <c r="D171" s="3228"/>
      <c r="E171" s="3228"/>
      <c r="F171" s="3228">
        <v>2880</v>
      </c>
      <c r="G171" s="3228"/>
    </row>
    <row r="172" spans="1:7" s="3217" customFormat="1" ht="14.25" customHeight="1">
      <c r="A172" s="3228" t="s">
        <v>29</v>
      </c>
      <c r="B172" s="3228" t="s">
        <v>3032</v>
      </c>
      <c r="C172" s="3228"/>
      <c r="D172" s="3228"/>
      <c r="E172" s="3228"/>
      <c r="F172" s="3228">
        <v>2880</v>
      </c>
      <c r="G172" s="3228"/>
    </row>
    <row r="173" spans="1:7" s="3217" customFormat="1" ht="14.25" customHeight="1">
      <c r="A173" s="3228" t="s">
        <v>29</v>
      </c>
      <c r="B173" s="3228" t="s">
        <v>3034</v>
      </c>
      <c r="C173" s="3228"/>
      <c r="D173" s="3228"/>
      <c r="E173" s="3228"/>
      <c r="F173" s="3228">
        <v>2150</v>
      </c>
      <c r="G173" s="3228"/>
    </row>
    <row r="174" spans="1:7" s="3217" customFormat="1" ht="14.25" customHeight="1">
      <c r="A174" s="3228" t="s">
        <v>29</v>
      </c>
      <c r="B174" s="3228" t="s">
        <v>3036</v>
      </c>
      <c r="C174" s="3228"/>
      <c r="D174" s="3228"/>
      <c r="E174" s="3228"/>
      <c r="F174" s="3228">
        <v>2030</v>
      </c>
      <c r="G174" s="3228"/>
    </row>
    <row r="175" spans="1:7" s="3217" customFormat="1" ht="14.25" customHeight="1">
      <c r="A175" s="3228" t="s">
        <v>29</v>
      </c>
      <c r="B175" s="3228" t="s">
        <v>3038</v>
      </c>
      <c r="C175" s="3228"/>
      <c r="D175" s="3228"/>
      <c r="E175" s="3228"/>
      <c r="F175" s="3228">
        <v>2780</v>
      </c>
      <c r="G175" s="3228"/>
    </row>
    <row r="176" spans="1:7" s="3217" customFormat="1" ht="14.25" customHeight="1">
      <c r="A176" s="3228" t="s">
        <v>29</v>
      </c>
      <c r="B176" s="3228" t="s">
        <v>3040</v>
      </c>
      <c r="C176" s="3228"/>
      <c r="D176" s="3228"/>
      <c r="E176" s="3228"/>
      <c r="F176" s="3228">
        <v>2780</v>
      </c>
      <c r="G176" s="3228"/>
    </row>
    <row r="177" spans="1:7" s="3217" customFormat="1" ht="14.25" customHeight="1">
      <c r="A177" s="3228" t="s">
        <v>29</v>
      </c>
      <c r="B177" s="3228" t="s">
        <v>3072</v>
      </c>
      <c r="C177" s="3228"/>
      <c r="D177" s="3228"/>
      <c r="E177" s="3228"/>
      <c r="F177" s="3228">
        <v>2780</v>
      </c>
      <c r="G177" s="3228"/>
    </row>
    <row r="178" spans="1:7" s="3217" customFormat="1" ht="14.25" customHeight="1">
      <c r="A178" s="3228" t="s">
        <v>29</v>
      </c>
      <c r="B178" s="3228" t="s">
        <v>3073</v>
      </c>
      <c r="C178" s="3228"/>
      <c r="D178" s="3228"/>
      <c r="E178" s="3228"/>
      <c r="F178" s="3228">
        <v>2060</v>
      </c>
      <c r="G178" s="3228"/>
    </row>
    <row r="179" spans="1:7" s="3217" customFormat="1" ht="14.25" customHeight="1">
      <c r="A179" s="3228" t="s">
        <v>29</v>
      </c>
      <c r="B179" s="3228" t="s">
        <v>3074</v>
      </c>
      <c r="C179" s="3228"/>
      <c r="D179" s="3228"/>
      <c r="E179" s="3228"/>
      <c r="F179" s="3228">
        <v>2120</v>
      </c>
      <c r="G179" s="3228"/>
    </row>
    <row r="180" spans="1:7" s="3217" customFormat="1" ht="14.25" customHeight="1">
      <c r="A180" s="3228" t="s">
        <v>29</v>
      </c>
      <c r="B180" s="3228" t="s">
        <v>3046</v>
      </c>
      <c r="C180" s="3228"/>
      <c r="D180" s="3228"/>
      <c r="E180" s="3228"/>
      <c r="F180" s="3228">
        <v>2340</v>
      </c>
      <c r="G180" s="3228"/>
    </row>
    <row r="181" spans="1:7" s="3217" customFormat="1" ht="14.25" customHeight="1">
      <c r="A181" s="3228" t="s">
        <v>29</v>
      </c>
      <c r="B181" s="3228" t="s">
        <v>3047</v>
      </c>
      <c r="C181" s="3228"/>
      <c r="D181" s="3228"/>
      <c r="E181" s="3228"/>
      <c r="F181" s="3228">
        <v>2340</v>
      </c>
      <c r="G181" s="3228"/>
    </row>
    <row r="182" spans="1:7" s="3217" customFormat="1" ht="14.25" customHeight="1">
      <c r="A182" s="3228" t="s">
        <v>29</v>
      </c>
      <c r="B182" s="3228" t="s">
        <v>3048</v>
      </c>
      <c r="C182" s="3228"/>
      <c r="D182" s="3228"/>
      <c r="E182" s="3228"/>
      <c r="F182" s="3228">
        <v>2340</v>
      </c>
      <c r="G182" s="3228"/>
    </row>
    <row r="183" spans="1:7" s="3217" customFormat="1" ht="14.25" customHeight="1">
      <c r="A183" s="3228" t="s">
        <v>29</v>
      </c>
      <c r="B183" s="3228" t="s">
        <v>3049</v>
      </c>
      <c r="C183" s="3228"/>
      <c r="D183" s="3228"/>
      <c r="E183" s="3228"/>
      <c r="F183" s="3228">
        <v>2340</v>
      </c>
      <c r="G183" s="3228"/>
    </row>
    <row r="184" spans="1:7" s="3217" customFormat="1" ht="14.25" customHeight="1">
      <c r="A184" s="3228" t="s">
        <v>29</v>
      </c>
      <c r="B184" s="3228" t="s">
        <v>3050</v>
      </c>
      <c r="C184" s="3228"/>
      <c r="D184" s="3228"/>
      <c r="E184" s="3228"/>
      <c r="F184" s="3228">
        <v>2340</v>
      </c>
      <c r="G184" s="3228"/>
    </row>
    <row r="185" spans="1:7" s="3217" customFormat="1" ht="14.25" customHeight="1">
      <c r="A185" s="3228" t="s">
        <v>29</v>
      </c>
      <c r="B185" s="3228" t="s">
        <v>3051</v>
      </c>
      <c r="C185" s="3228"/>
      <c r="D185" s="3228"/>
      <c r="E185" s="3228"/>
      <c r="F185" s="3228">
        <v>2530</v>
      </c>
      <c r="G185" s="3228"/>
    </row>
    <row r="186" spans="1:7" s="3217" customFormat="1" ht="14.25" customHeight="1">
      <c r="A186" s="3228" t="s">
        <v>29</v>
      </c>
      <c r="B186" s="3228" t="s">
        <v>3052</v>
      </c>
      <c r="C186" s="3228"/>
      <c r="D186" s="3228"/>
      <c r="E186" s="3228"/>
      <c r="F186" s="3228">
        <v>2550</v>
      </c>
      <c r="G186" s="3228"/>
    </row>
    <row r="187" spans="1:7" s="3217" customFormat="1" ht="14.25" customHeight="1">
      <c r="A187" s="3228" t="s">
        <v>29</v>
      </c>
      <c r="B187" s="3228" t="s">
        <v>3053</v>
      </c>
      <c r="C187" s="3228"/>
      <c r="D187" s="3228"/>
      <c r="E187" s="3228"/>
      <c r="F187" s="3228">
        <v>2070</v>
      </c>
      <c r="G187" s="3228"/>
    </row>
    <row r="188" spans="1:7" s="3217" customFormat="1" ht="14.25" customHeight="1">
      <c r="A188" s="3228" t="s">
        <v>29</v>
      </c>
      <c r="B188" s="3228" t="s">
        <v>3054</v>
      </c>
      <c r="C188" s="3228"/>
      <c r="D188" s="3228"/>
      <c r="E188" s="3228"/>
      <c r="F188" s="3228">
        <v>2340</v>
      </c>
      <c r="G188" s="3228"/>
    </row>
    <row r="189" spans="1:7" s="3217" customFormat="1" ht="14.25" customHeight="1" thickBot="1">
      <c r="A189" s="3236" t="s">
        <v>29</v>
      </c>
      <c r="B189" s="3239" t="s">
        <v>3055</v>
      </c>
      <c r="C189" s="3239"/>
      <c r="D189" s="3239"/>
      <c r="E189" s="3239"/>
      <c r="F189" s="3239">
        <v>2050</v>
      </c>
      <c r="G189" s="3239"/>
    </row>
    <row r="190" spans="1:7" s="3217" customFormat="1" ht="14.25" customHeight="1">
      <c r="A190" s="3233" t="s">
        <v>304</v>
      </c>
      <c r="B190" s="3224" t="s">
        <v>3075</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3076</v>
      </c>
      <c r="C199" s="3228">
        <v>8690</v>
      </c>
      <c r="D199" s="3228">
        <v>8630</v>
      </c>
      <c r="E199" s="3228">
        <v>11350</v>
      </c>
      <c r="F199" s="3228">
        <v>1600</v>
      </c>
      <c r="G199" s="3241">
        <v>5450</v>
      </c>
    </row>
    <row r="200" spans="1:7" s="3217" customFormat="1" ht="14.25" customHeight="1">
      <c r="A200" s="3228" t="s">
        <v>304</v>
      </c>
      <c r="B200" s="3228" t="s">
        <v>2887</v>
      </c>
      <c r="C200" s="3228"/>
      <c r="D200" s="3228"/>
      <c r="E200" s="3228"/>
      <c r="F200" s="3228">
        <v>1510</v>
      </c>
      <c r="G200" s="3241"/>
    </row>
    <row r="201" spans="1:7" s="3217" customFormat="1" ht="14.25" customHeight="1">
      <c r="A201" s="3228" t="s">
        <v>304</v>
      </c>
      <c r="B201" s="3228" t="s">
        <v>3077</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3078</v>
      </c>
      <c r="C203" s="3228">
        <v>8130</v>
      </c>
      <c r="D203" s="3228">
        <v>8070</v>
      </c>
      <c r="E203" s="3228">
        <v>10820</v>
      </c>
      <c r="F203" s="3228">
        <v>1690</v>
      </c>
      <c r="G203" s="3241">
        <v>5100</v>
      </c>
    </row>
    <row r="204" spans="1:7" s="3217" customFormat="1" ht="14.25" customHeight="1">
      <c r="A204" s="3228" t="s">
        <v>304</v>
      </c>
      <c r="B204" s="3228" t="s">
        <v>2898</v>
      </c>
      <c r="C204" s="3228">
        <v>8350</v>
      </c>
      <c r="D204" s="3228">
        <v>8290</v>
      </c>
      <c r="E204" s="3228">
        <v>11080</v>
      </c>
      <c r="F204" s="3228">
        <v>1450</v>
      </c>
      <c r="G204" s="3241">
        <v>5240</v>
      </c>
    </row>
    <row r="205" spans="1:7" s="3217" customFormat="1" ht="14.25" customHeight="1">
      <c r="A205" s="3228" t="s">
        <v>304</v>
      </c>
      <c r="B205" s="3228" t="s">
        <v>2900</v>
      </c>
      <c r="C205" s="3228">
        <v>7190</v>
      </c>
      <c r="D205" s="3228">
        <v>7130</v>
      </c>
      <c r="E205" s="3228">
        <v>9490</v>
      </c>
      <c r="F205" s="3228">
        <v>1470</v>
      </c>
      <c r="G205" s="3241">
        <v>4510</v>
      </c>
    </row>
    <row r="206" spans="1:7" s="3217" customFormat="1" ht="14.25" customHeight="1">
      <c r="A206" s="3228" t="s">
        <v>304</v>
      </c>
      <c r="B206" s="3228" t="s">
        <v>2903</v>
      </c>
      <c r="C206" s="3228">
        <v>7000</v>
      </c>
      <c r="D206" s="3228">
        <v>6950</v>
      </c>
      <c r="E206" s="3228">
        <v>9170</v>
      </c>
      <c r="F206" s="3228">
        <v>1400</v>
      </c>
      <c r="G206" s="3241">
        <v>4380</v>
      </c>
    </row>
    <row r="207" spans="1:7" s="3217" customFormat="1" ht="14.25" customHeight="1">
      <c r="A207" s="3228" t="s">
        <v>304</v>
      </c>
      <c r="B207" s="3228" t="s">
        <v>2905</v>
      </c>
      <c r="C207" s="3228">
        <v>6950</v>
      </c>
      <c r="D207" s="3228">
        <v>6900</v>
      </c>
      <c r="E207" s="3228">
        <v>9110</v>
      </c>
      <c r="F207" s="3228">
        <v>1790</v>
      </c>
      <c r="G207" s="3241">
        <v>4360</v>
      </c>
    </row>
    <row r="208" spans="1:7" s="3217" customFormat="1" ht="14.25" customHeight="1">
      <c r="A208" s="3228" t="s">
        <v>304</v>
      </c>
      <c r="B208" s="3228" t="s">
        <v>3079</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2915</v>
      </c>
      <c r="C210" s="3228">
        <v>8710</v>
      </c>
      <c r="D210" s="3228">
        <v>8660</v>
      </c>
      <c r="E210" s="3228">
        <v>11440</v>
      </c>
      <c r="F210" s="3228">
        <v>1740</v>
      </c>
      <c r="G210" s="3241">
        <v>5470</v>
      </c>
    </row>
    <row r="211" spans="1:7" s="3217" customFormat="1" ht="14.25" customHeight="1">
      <c r="A211" s="3228" t="s">
        <v>304</v>
      </c>
      <c r="B211" s="3228" t="s">
        <v>3080</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3081</v>
      </c>
      <c r="C214" s="3228">
        <v>8090</v>
      </c>
      <c r="D214" s="3228">
        <v>8030</v>
      </c>
      <c r="E214" s="3228">
        <v>10780</v>
      </c>
      <c r="F214" s="3228">
        <v>1570</v>
      </c>
      <c r="G214" s="3241">
        <v>5070</v>
      </c>
    </row>
    <row r="215" spans="1:7" s="3217" customFormat="1" ht="14.25" customHeight="1">
      <c r="A215" s="3228" t="s">
        <v>304</v>
      </c>
      <c r="B215" s="3228" t="s">
        <v>3082</v>
      </c>
      <c r="C215" s="3228">
        <v>7950</v>
      </c>
      <c r="D215" s="3228">
        <v>7900</v>
      </c>
      <c r="E215" s="3228">
        <v>10560</v>
      </c>
      <c r="F215" s="3228">
        <v>1630</v>
      </c>
      <c r="G215" s="3241">
        <v>4990</v>
      </c>
    </row>
    <row r="216" spans="1:7" s="3217" customFormat="1" ht="14.25" customHeight="1">
      <c r="A216" s="3228" t="s">
        <v>304</v>
      </c>
      <c r="B216" s="3228" t="s">
        <v>3083</v>
      </c>
      <c r="C216" s="3228">
        <v>8490</v>
      </c>
      <c r="D216" s="3228">
        <v>8440</v>
      </c>
      <c r="E216" s="3228">
        <v>11260</v>
      </c>
      <c r="F216" s="3228">
        <v>1690</v>
      </c>
      <c r="G216" s="3241">
        <v>5330</v>
      </c>
    </row>
    <row r="217" spans="1:7" s="3217" customFormat="1" ht="14.25" customHeight="1">
      <c r="A217" s="3228" t="s">
        <v>304</v>
      </c>
      <c r="B217" s="3228" t="s">
        <v>2948</v>
      </c>
      <c r="C217" s="3228">
        <v>8200</v>
      </c>
      <c r="D217" s="3228">
        <v>8150</v>
      </c>
      <c r="E217" s="3228">
        <v>10910</v>
      </c>
      <c r="F217" s="3228">
        <v>1670</v>
      </c>
      <c r="G217" s="3241">
        <v>5150</v>
      </c>
    </row>
    <row r="218" spans="1:7" s="3217" customFormat="1" ht="14.25" customHeight="1">
      <c r="A218" s="3228" t="s">
        <v>304</v>
      </c>
      <c r="B218" s="3228" t="s">
        <v>3084</v>
      </c>
      <c r="C218" s="3228"/>
      <c r="D218" s="3228"/>
      <c r="E218" s="3228"/>
      <c r="F218" s="3228">
        <v>2040</v>
      </c>
      <c r="G218" s="3241"/>
    </row>
    <row r="219" spans="1:7" s="3217" customFormat="1" ht="14.25" customHeight="1">
      <c r="A219" s="3228" t="s">
        <v>304</v>
      </c>
      <c r="B219" s="3228" t="s">
        <v>3085</v>
      </c>
      <c r="C219" s="3228"/>
      <c r="D219" s="3228"/>
      <c r="E219" s="3228"/>
      <c r="F219" s="3228">
        <v>2040</v>
      </c>
      <c r="G219" s="3241"/>
    </row>
    <row r="220" spans="1:7" s="3217" customFormat="1" ht="14.25" customHeight="1">
      <c r="A220" s="3228" t="s">
        <v>304</v>
      </c>
      <c r="B220" s="3228" t="s">
        <v>3086</v>
      </c>
      <c r="C220" s="3228"/>
      <c r="D220" s="3228"/>
      <c r="E220" s="3228"/>
      <c r="F220" s="3228">
        <v>2040</v>
      </c>
      <c r="G220" s="3241"/>
    </row>
    <row r="221" spans="1:7" s="3217" customFormat="1" ht="14.25" customHeight="1">
      <c r="A221" s="3228" t="s">
        <v>304</v>
      </c>
      <c r="B221" s="3228" t="s">
        <v>3087</v>
      </c>
      <c r="C221" s="3228"/>
      <c r="D221" s="3228"/>
      <c r="E221" s="3228"/>
      <c r="F221" s="3228">
        <v>2040</v>
      </c>
      <c r="G221" s="3241"/>
    </row>
    <row r="222" spans="1:7" s="3217" customFormat="1" ht="14.25" customHeight="1">
      <c r="A222" s="3228" t="s">
        <v>304</v>
      </c>
      <c r="B222" s="3228" t="s">
        <v>3088</v>
      </c>
      <c r="C222" s="3228"/>
      <c r="D222" s="3228"/>
      <c r="E222" s="3228"/>
      <c r="F222" s="3228">
        <v>2040</v>
      </c>
      <c r="G222" s="3241"/>
    </row>
    <row r="223" spans="1:7" s="3217" customFormat="1" ht="14.25" customHeight="1">
      <c r="A223" s="3228" t="s">
        <v>304</v>
      </c>
      <c r="B223" s="3228" t="s">
        <v>3089</v>
      </c>
      <c r="C223" s="3228"/>
      <c r="D223" s="3228"/>
      <c r="E223" s="3228"/>
      <c r="F223" s="3228">
        <v>1930</v>
      </c>
      <c r="G223" s="3241"/>
    </row>
    <row r="224" spans="1:7" s="3217" customFormat="1" ht="14.25" customHeight="1">
      <c r="A224" s="3228" t="s">
        <v>304</v>
      </c>
      <c r="B224" s="3228" t="s">
        <v>3090</v>
      </c>
      <c r="C224" s="3228"/>
      <c r="D224" s="3228"/>
      <c r="E224" s="3228"/>
      <c r="F224" s="3228">
        <v>1930</v>
      </c>
      <c r="G224" s="3241"/>
    </row>
    <row r="225" spans="1:7" s="3217" customFormat="1" ht="14.25" customHeight="1">
      <c r="A225" s="3228" t="s">
        <v>304</v>
      </c>
      <c r="B225" s="3228" t="s">
        <v>3091</v>
      </c>
      <c r="C225" s="3228"/>
      <c r="D225" s="3228"/>
      <c r="E225" s="3228"/>
      <c r="F225" s="3228">
        <v>1930</v>
      </c>
      <c r="G225" s="3241"/>
    </row>
    <row r="226" spans="1:7" s="3217" customFormat="1" ht="14.25" customHeight="1">
      <c r="A226" s="3228" t="s">
        <v>304</v>
      </c>
      <c r="B226" s="3228" t="s">
        <v>3092</v>
      </c>
      <c r="C226" s="3228"/>
      <c r="D226" s="3228"/>
      <c r="E226" s="3228"/>
      <c r="F226" s="3228">
        <v>1700</v>
      </c>
      <c r="G226" s="3241"/>
    </row>
    <row r="227" spans="1:7" s="3217" customFormat="1" ht="14.25" customHeight="1">
      <c r="A227" s="3228" t="s">
        <v>304</v>
      </c>
      <c r="B227" s="3228" t="s">
        <v>3093</v>
      </c>
      <c r="C227" s="3228"/>
      <c r="D227" s="3228"/>
      <c r="E227" s="3228"/>
      <c r="F227" s="3228">
        <v>1520</v>
      </c>
      <c r="G227" s="3241"/>
    </row>
    <row r="228" spans="1:7" s="3217" customFormat="1" ht="14.25" customHeight="1">
      <c r="A228" s="3228" t="s">
        <v>304</v>
      </c>
      <c r="B228" s="3228" t="s">
        <v>3094</v>
      </c>
      <c r="C228" s="3228"/>
      <c r="D228" s="3228"/>
      <c r="E228" s="3228"/>
      <c r="F228" s="3228">
        <v>1520</v>
      </c>
      <c r="G228" s="3241"/>
    </row>
    <row r="229" spans="1:7" s="3217" customFormat="1" ht="14.25" customHeight="1">
      <c r="A229" s="3228" t="s">
        <v>304</v>
      </c>
      <c r="B229" s="3228" t="s">
        <v>3011</v>
      </c>
      <c r="C229" s="3228"/>
      <c r="D229" s="3228"/>
      <c r="E229" s="3228"/>
      <c r="F229" s="3228">
        <v>1520</v>
      </c>
      <c r="G229" s="3241"/>
    </row>
    <row r="230" spans="1:7" s="3217" customFormat="1" ht="14.25" customHeight="1">
      <c r="A230" s="3228" t="s">
        <v>304</v>
      </c>
      <c r="B230" s="3228" t="s">
        <v>3095</v>
      </c>
      <c r="C230" s="3228"/>
      <c r="D230" s="3228"/>
      <c r="E230" s="3228"/>
      <c r="F230" s="3228">
        <v>1820</v>
      </c>
      <c r="G230" s="3241"/>
    </row>
    <row r="231" spans="1:7" s="3217" customFormat="1" ht="14.25" customHeight="1">
      <c r="A231" s="3228" t="s">
        <v>304</v>
      </c>
      <c r="B231" s="3228" t="s">
        <v>3096</v>
      </c>
      <c r="C231" s="3228"/>
      <c r="D231" s="3228"/>
      <c r="E231" s="3228"/>
      <c r="F231" s="3228">
        <v>1760</v>
      </c>
      <c r="G231" s="3241"/>
    </row>
    <row r="232" spans="1:7" s="3217" customFormat="1" ht="14.25" customHeight="1">
      <c r="A232" s="3228" t="s">
        <v>304</v>
      </c>
      <c r="B232" s="3228" t="s">
        <v>3097</v>
      </c>
      <c r="C232" s="3228"/>
      <c r="D232" s="3228"/>
      <c r="E232" s="3228"/>
      <c r="F232" s="3228">
        <v>1840</v>
      </c>
      <c r="G232" s="3241"/>
    </row>
    <row r="233" spans="1:7" s="3217" customFormat="1" ht="14.25" customHeight="1" thickBot="1">
      <c r="A233" s="3242" t="s">
        <v>304</v>
      </c>
      <c r="B233" s="3235" t="s">
        <v>3028</v>
      </c>
      <c r="C233" s="3235"/>
      <c r="D233" s="3235"/>
      <c r="E233" s="3235"/>
      <c r="F233" s="3235">
        <v>1770</v>
      </c>
      <c r="G233" s="3243"/>
    </row>
    <row r="234" spans="1:7" s="3217" customFormat="1" ht="14.25" customHeight="1">
      <c r="A234" s="3233" t="s">
        <v>305</v>
      </c>
      <c r="B234" s="3224" t="s">
        <v>3098</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2869</v>
      </c>
      <c r="C238" s="3228">
        <v>6920</v>
      </c>
      <c r="D238" s="3228">
        <v>6890</v>
      </c>
      <c r="E238" s="3228">
        <v>8640</v>
      </c>
      <c r="F238" s="3228">
        <v>1310</v>
      </c>
      <c r="G238" s="3228">
        <v>4230</v>
      </c>
    </row>
    <row r="239" spans="1:7" s="3217" customFormat="1" ht="14.25" customHeight="1">
      <c r="A239" s="3228" t="s">
        <v>305</v>
      </c>
      <c r="B239" s="3228" t="s">
        <v>3099</v>
      </c>
      <c r="C239" s="3228">
        <v>6780</v>
      </c>
      <c r="D239" s="3228">
        <v>6750</v>
      </c>
      <c r="E239" s="3228">
        <v>8440</v>
      </c>
      <c r="F239" s="3228">
        <v>1160</v>
      </c>
      <c r="G239" s="3228">
        <v>4140</v>
      </c>
    </row>
    <row r="240" spans="1:7" s="3217" customFormat="1" ht="14.25" customHeight="1">
      <c r="A240" s="3228" t="s">
        <v>305</v>
      </c>
      <c r="B240" s="3228" t="s">
        <v>3100</v>
      </c>
      <c r="C240" s="3228">
        <v>5420</v>
      </c>
      <c r="D240" s="3228">
        <v>5380</v>
      </c>
      <c r="E240" s="3228">
        <v>6640</v>
      </c>
      <c r="F240" s="3228">
        <v>1020</v>
      </c>
      <c r="G240" s="3228">
        <v>3300</v>
      </c>
    </row>
    <row r="241" spans="1:7" s="3217" customFormat="1" ht="14.25" customHeight="1">
      <c r="A241" s="3228" t="s">
        <v>305</v>
      </c>
      <c r="B241" s="3228" t="s">
        <v>3101</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3102</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3103</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3104</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3105</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3106</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2931</v>
      </c>
      <c r="C258" s="3228">
        <v>6190</v>
      </c>
      <c r="D258" s="3228">
        <v>6160</v>
      </c>
      <c r="E258" s="3228">
        <v>7680</v>
      </c>
      <c r="F258" s="3228">
        <v>1170</v>
      </c>
      <c r="G258" s="3228">
        <v>3780</v>
      </c>
    </row>
    <row r="259" spans="1:7" s="3217" customFormat="1" ht="14.25" customHeight="1">
      <c r="A259" s="3228" t="s">
        <v>305</v>
      </c>
      <c r="B259" s="3228" t="s">
        <v>3107</v>
      </c>
      <c r="C259" s="3228">
        <v>7610</v>
      </c>
      <c r="D259" s="3228">
        <v>7570</v>
      </c>
      <c r="E259" s="3228">
        <v>9350</v>
      </c>
      <c r="F259" s="3228">
        <v>1350</v>
      </c>
      <c r="G259" s="3228">
        <v>4650</v>
      </c>
    </row>
    <row r="260" spans="1:7" s="3217" customFormat="1" ht="14.25" customHeight="1">
      <c r="A260" s="3228" t="s">
        <v>305</v>
      </c>
      <c r="B260" s="3228" t="s">
        <v>3108</v>
      </c>
      <c r="C260" s="3228">
        <v>6920</v>
      </c>
      <c r="D260" s="3228">
        <v>6880</v>
      </c>
      <c r="E260" s="3228">
        <v>8380</v>
      </c>
      <c r="F260" s="3228">
        <v>1160</v>
      </c>
      <c r="G260" s="3228">
        <v>4220</v>
      </c>
    </row>
    <row r="261" spans="1:7" s="3217" customFormat="1" ht="14.25" customHeight="1">
      <c r="A261" s="3228" t="s">
        <v>305</v>
      </c>
      <c r="B261" s="3228" t="s">
        <v>3109</v>
      </c>
      <c r="C261" s="3228">
        <v>6850</v>
      </c>
      <c r="D261" s="3228">
        <v>6810</v>
      </c>
      <c r="E261" s="3228">
        <v>8290</v>
      </c>
      <c r="F261" s="3228">
        <v>1130</v>
      </c>
      <c r="G261" s="3228">
        <v>4180</v>
      </c>
    </row>
    <row r="262" spans="1:7" s="3217" customFormat="1" ht="14.25" customHeight="1">
      <c r="A262" s="3228" t="s">
        <v>305</v>
      </c>
      <c r="B262" s="3228" t="s">
        <v>3110</v>
      </c>
      <c r="C262" s="3228">
        <v>5860</v>
      </c>
      <c r="D262" s="3228">
        <v>5820</v>
      </c>
      <c r="E262" s="3228">
        <v>7640</v>
      </c>
      <c r="F262" s="3228">
        <v>1070</v>
      </c>
      <c r="G262" s="3228">
        <v>3570</v>
      </c>
    </row>
    <row r="263" spans="1:7" s="3217" customFormat="1" ht="14.25" customHeight="1">
      <c r="A263" s="3228" t="s">
        <v>305</v>
      </c>
      <c r="B263" s="3228" t="s">
        <v>3111</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3112</v>
      </c>
      <c r="C265" s="3228"/>
      <c r="D265" s="3228"/>
      <c r="E265" s="3228"/>
      <c r="F265" s="3228">
        <v>1500</v>
      </c>
      <c r="G265" s="3228"/>
    </row>
    <row r="266" spans="1:7" s="3217" customFormat="1" ht="14.25" customHeight="1">
      <c r="A266" s="3228" t="s">
        <v>305</v>
      </c>
      <c r="B266" s="3228" t="s">
        <v>3113</v>
      </c>
      <c r="C266" s="3228"/>
      <c r="D266" s="3228"/>
      <c r="E266" s="3228"/>
      <c r="F266" s="3228">
        <v>1500</v>
      </c>
      <c r="G266" s="3228"/>
    </row>
    <row r="267" spans="1:7" s="3217" customFormat="1" ht="14.25" customHeight="1">
      <c r="A267" s="3228" t="s">
        <v>305</v>
      </c>
      <c r="B267" s="3228" t="s">
        <v>3114</v>
      </c>
      <c r="C267" s="3228"/>
      <c r="D267" s="3228"/>
      <c r="E267" s="3228"/>
      <c r="F267" s="3228">
        <v>1500</v>
      </c>
      <c r="G267" s="3228"/>
    </row>
    <row r="268" spans="1:7" s="3217" customFormat="1" ht="14.25" customHeight="1">
      <c r="A268" s="3228" t="s">
        <v>305</v>
      </c>
      <c r="B268" s="3228" t="s">
        <v>3115</v>
      </c>
      <c r="C268" s="3228"/>
      <c r="D268" s="3228"/>
      <c r="E268" s="3228"/>
      <c r="F268" s="3228">
        <v>1290</v>
      </c>
      <c r="G268" s="3228"/>
    </row>
    <row r="269" spans="1:7" s="3217" customFormat="1" ht="14.25" customHeight="1">
      <c r="A269" s="3228" t="s">
        <v>305</v>
      </c>
      <c r="B269" s="3228" t="s">
        <v>3116</v>
      </c>
      <c r="C269" s="3228"/>
      <c r="D269" s="3228"/>
      <c r="E269" s="3228"/>
      <c r="F269" s="3228">
        <v>1150</v>
      </c>
      <c r="G269" s="3228"/>
    </row>
    <row r="270" spans="1:7" s="3217" customFormat="1" ht="14.25" customHeight="1">
      <c r="A270" s="3228" t="s">
        <v>305</v>
      </c>
      <c r="B270" s="3228" t="s">
        <v>3117</v>
      </c>
      <c r="C270" s="3228"/>
      <c r="D270" s="3228"/>
      <c r="E270" s="3228"/>
      <c r="F270" s="3228">
        <v>1380</v>
      </c>
      <c r="G270" s="3228"/>
    </row>
    <row r="271" spans="1:7" s="3217" customFormat="1" ht="14.25" customHeight="1">
      <c r="A271" s="3228" t="s">
        <v>305</v>
      </c>
      <c r="B271" s="3228" t="s">
        <v>3118</v>
      </c>
      <c r="C271" s="3228"/>
      <c r="D271" s="3228"/>
      <c r="E271" s="3228"/>
      <c r="F271" s="3228">
        <v>1460</v>
      </c>
      <c r="G271" s="3228"/>
    </row>
    <row r="272" spans="1:7" s="3217" customFormat="1" ht="14.25" customHeight="1">
      <c r="A272" s="3228" t="s">
        <v>305</v>
      </c>
      <c r="B272" s="3228" t="s">
        <v>3119</v>
      </c>
      <c r="C272" s="3228"/>
      <c r="D272" s="3228"/>
      <c r="E272" s="3228"/>
      <c r="F272" s="3228">
        <v>1460</v>
      </c>
      <c r="G272" s="3228"/>
    </row>
    <row r="273" spans="1:7" s="3217" customFormat="1" ht="14.25" customHeight="1">
      <c r="A273" s="3228" t="s">
        <v>305</v>
      </c>
      <c r="B273" s="3228" t="s">
        <v>3012</v>
      </c>
      <c r="C273" s="3228"/>
      <c r="D273" s="3228"/>
      <c r="E273" s="3228"/>
      <c r="F273" s="3228">
        <v>1490</v>
      </c>
      <c r="G273" s="3228"/>
    </row>
    <row r="274" spans="1:7" s="3217" customFormat="1" ht="14.25" customHeight="1">
      <c r="A274" s="3228" t="s">
        <v>305</v>
      </c>
      <c r="B274" s="3228" t="s">
        <v>3120</v>
      </c>
      <c r="C274" s="3228"/>
      <c r="D274" s="3228"/>
      <c r="E274" s="3228"/>
      <c r="F274" s="3228">
        <v>1490</v>
      </c>
      <c r="G274" s="3228"/>
    </row>
    <row r="275" spans="1:7" s="3217" customFormat="1" ht="14.25" customHeight="1">
      <c r="A275" s="3228" t="s">
        <v>305</v>
      </c>
      <c r="B275" s="3228" t="s">
        <v>3121</v>
      </c>
      <c r="C275" s="3228"/>
      <c r="D275" s="3228"/>
      <c r="E275" s="3228"/>
      <c r="F275" s="3228">
        <v>1220</v>
      </c>
      <c r="G275" s="3228"/>
    </row>
    <row r="276" spans="1:7" s="3217" customFormat="1" ht="14.25" customHeight="1" thickBot="1">
      <c r="A276" s="3236" t="s">
        <v>305</v>
      </c>
      <c r="B276" s="3238" t="s">
        <v>3122</v>
      </c>
      <c r="C276" s="3239"/>
      <c r="D276" s="3239"/>
      <c r="E276" s="3239"/>
      <c r="F276" s="3239">
        <v>1380</v>
      </c>
      <c r="G276" s="3239"/>
    </row>
    <row r="277" spans="1:7" s="3217" customFormat="1" ht="14.25" customHeight="1">
      <c r="A277" s="3233" t="s">
        <v>306</v>
      </c>
      <c r="B277" s="3224" t="s">
        <v>3123</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3124</v>
      </c>
      <c r="C279" s="3228">
        <v>4760</v>
      </c>
      <c r="D279" s="3228">
        <v>4720</v>
      </c>
      <c r="E279" s="3228">
        <v>5540</v>
      </c>
      <c r="F279" s="3228">
        <v>810</v>
      </c>
      <c r="G279" s="3241">
        <v>2850</v>
      </c>
    </row>
    <row r="280" spans="1:7" s="3217" customFormat="1" ht="14.25" customHeight="1">
      <c r="A280" s="3228" t="s">
        <v>306</v>
      </c>
      <c r="B280" s="3228" t="s">
        <v>3125</v>
      </c>
      <c r="C280" s="3228">
        <v>4010</v>
      </c>
      <c r="D280" s="3228">
        <v>3950</v>
      </c>
      <c r="E280" s="3228">
        <v>4710</v>
      </c>
      <c r="F280" s="3228">
        <v>800</v>
      </c>
      <c r="G280" s="3241">
        <v>2390</v>
      </c>
    </row>
    <row r="281" spans="1:7" s="3217" customFormat="1" ht="14.25" customHeight="1">
      <c r="A281" s="3228" t="s">
        <v>306</v>
      </c>
      <c r="B281" s="3228" t="s">
        <v>3126</v>
      </c>
      <c r="C281" s="3228">
        <v>4480</v>
      </c>
      <c r="D281" s="3228">
        <v>4420</v>
      </c>
      <c r="E281" s="3228">
        <v>5230</v>
      </c>
      <c r="F281" s="3228">
        <v>870</v>
      </c>
      <c r="G281" s="3241">
        <v>2660</v>
      </c>
    </row>
    <row r="282" spans="1:7" s="3217" customFormat="1" ht="14.25" customHeight="1">
      <c r="A282" s="3228" t="s">
        <v>306</v>
      </c>
      <c r="B282" s="3228" t="s">
        <v>3127</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3128</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3129</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2904</v>
      </c>
      <c r="C293" s="3228">
        <v>5320</v>
      </c>
      <c r="D293" s="3228">
        <v>5270</v>
      </c>
      <c r="E293" s="3228">
        <v>6160</v>
      </c>
      <c r="F293" s="3228">
        <v>990</v>
      </c>
      <c r="G293" s="3241">
        <v>3170</v>
      </c>
    </row>
    <row r="294" spans="1:7" s="3217" customFormat="1" ht="14.25" customHeight="1">
      <c r="A294" s="3228" t="s">
        <v>306</v>
      </c>
      <c r="B294" s="3228" t="s">
        <v>3130</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2923</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3131</v>
      </c>
      <c r="C302" s="3228">
        <v>5520</v>
      </c>
      <c r="D302" s="3228">
        <v>5470</v>
      </c>
      <c r="E302" s="3228">
        <v>6410</v>
      </c>
      <c r="F302" s="3228">
        <v>950</v>
      </c>
      <c r="G302" s="3241">
        <v>3300</v>
      </c>
    </row>
    <row r="303" spans="1:7" s="3217" customFormat="1" ht="14.25" customHeight="1">
      <c r="A303" s="3228" t="s">
        <v>306</v>
      </c>
      <c r="B303" s="3228" t="s">
        <v>2943</v>
      </c>
      <c r="C303" s="3228">
        <v>5630</v>
      </c>
      <c r="D303" s="3228">
        <v>5590</v>
      </c>
      <c r="E303" s="3228">
        <v>6550</v>
      </c>
      <c r="F303" s="3228">
        <v>1010</v>
      </c>
      <c r="G303" s="3241">
        <v>3370</v>
      </c>
    </row>
    <row r="304" spans="1:7" s="3217" customFormat="1" ht="14.25" customHeight="1">
      <c r="A304" s="3228" t="s">
        <v>306</v>
      </c>
      <c r="B304" s="3228" t="s">
        <v>2950</v>
      </c>
      <c r="C304" s="3228">
        <v>5680</v>
      </c>
      <c r="D304" s="3228">
        <v>5620</v>
      </c>
      <c r="E304" s="3228">
        <v>6620</v>
      </c>
      <c r="F304" s="3228">
        <v>1050</v>
      </c>
      <c r="G304" s="3241">
        <v>3390</v>
      </c>
    </row>
    <row r="305" spans="1:7" s="3217" customFormat="1" ht="14.25" customHeight="1">
      <c r="A305" s="3228" t="s">
        <v>306</v>
      </c>
      <c r="B305" s="3228" t="s">
        <v>2956</v>
      </c>
      <c r="C305" s="3228">
        <v>5590</v>
      </c>
      <c r="D305" s="3228">
        <v>5530</v>
      </c>
      <c r="E305" s="3228">
        <v>6460</v>
      </c>
      <c r="F305" s="3228">
        <v>900</v>
      </c>
      <c r="G305" s="3241">
        <v>3340</v>
      </c>
    </row>
    <row r="306" spans="1:7" s="3217" customFormat="1" ht="14.25" customHeight="1">
      <c r="A306" s="3228" t="s">
        <v>306</v>
      </c>
      <c r="B306" s="3228" t="s">
        <v>3132</v>
      </c>
      <c r="C306" s="3228">
        <v>5560</v>
      </c>
      <c r="D306" s="3228">
        <v>5510</v>
      </c>
      <c r="E306" s="3228">
        <v>6440</v>
      </c>
      <c r="F306" s="3228">
        <v>900</v>
      </c>
      <c r="G306" s="3241">
        <v>3320</v>
      </c>
    </row>
    <row r="307" spans="1:7" s="3217" customFormat="1" ht="14.25" customHeight="1">
      <c r="A307" s="3228" t="s">
        <v>306</v>
      </c>
      <c r="B307" s="3228" t="s">
        <v>2968</v>
      </c>
      <c r="C307" s="3228">
        <v>5650</v>
      </c>
      <c r="D307" s="3228">
        <v>5600</v>
      </c>
      <c r="E307" s="3228">
        <v>6590</v>
      </c>
      <c r="F307" s="3228">
        <v>930</v>
      </c>
      <c r="G307" s="3241">
        <v>3380</v>
      </c>
    </row>
    <row r="308" spans="1:7" s="3217" customFormat="1" ht="14.25" customHeight="1">
      <c r="A308" s="3228" t="s">
        <v>306</v>
      </c>
      <c r="B308" s="3228" t="s">
        <v>3133</v>
      </c>
      <c r="C308" s="3228">
        <v>5620</v>
      </c>
      <c r="D308" s="3228">
        <v>5580</v>
      </c>
      <c r="E308" s="3228">
        <v>6540</v>
      </c>
      <c r="F308" s="3228">
        <v>910</v>
      </c>
      <c r="G308" s="3241">
        <v>3370</v>
      </c>
    </row>
    <row r="309" spans="1:7" s="3217" customFormat="1" ht="14.25" customHeight="1">
      <c r="A309" s="3228" t="s">
        <v>306</v>
      </c>
      <c r="B309" s="3228" t="s">
        <v>3134</v>
      </c>
      <c r="C309" s="3228">
        <v>5060</v>
      </c>
      <c r="D309" s="3228">
        <v>5020</v>
      </c>
      <c r="E309" s="3228">
        <v>6370</v>
      </c>
      <c r="F309" s="3228">
        <v>800</v>
      </c>
      <c r="G309" s="3241">
        <v>3020</v>
      </c>
    </row>
    <row r="310" spans="1:7" s="3217" customFormat="1" ht="14.25" customHeight="1">
      <c r="A310" s="3228" t="s">
        <v>306</v>
      </c>
      <c r="B310" s="3228" t="s">
        <v>2983</v>
      </c>
      <c r="C310" s="3228">
        <v>5150</v>
      </c>
      <c r="D310" s="3228">
        <v>5110</v>
      </c>
      <c r="E310" s="3228">
        <v>6500</v>
      </c>
      <c r="F310" s="3228">
        <v>880</v>
      </c>
      <c r="G310" s="3241">
        <v>3080</v>
      </c>
    </row>
    <row r="311" spans="1:7" s="3217" customFormat="1" ht="14.25" customHeight="1">
      <c r="A311" s="3228" t="s">
        <v>306</v>
      </c>
      <c r="B311" s="3228" t="s">
        <v>3135</v>
      </c>
      <c r="C311" s="3228">
        <v>4750</v>
      </c>
      <c r="D311" s="3228">
        <v>4710</v>
      </c>
      <c r="E311" s="3228">
        <v>5510</v>
      </c>
      <c r="F311" s="3228">
        <v>880</v>
      </c>
      <c r="G311" s="3241">
        <v>2840</v>
      </c>
    </row>
    <row r="312" spans="1:7" s="3217" customFormat="1" ht="14.25" customHeight="1">
      <c r="A312" s="3228" t="s">
        <v>306</v>
      </c>
      <c r="B312" s="3228" t="s">
        <v>2993</v>
      </c>
      <c r="C312" s="3228">
        <v>4690</v>
      </c>
      <c r="D312" s="3228">
        <v>4640</v>
      </c>
      <c r="E312" s="3228">
        <v>5420</v>
      </c>
      <c r="F312" s="3228">
        <v>800</v>
      </c>
      <c r="G312" s="3241">
        <v>2800</v>
      </c>
    </row>
    <row r="313" spans="1:7" s="3217" customFormat="1" ht="14.25" customHeight="1">
      <c r="A313" s="3228" t="s">
        <v>306</v>
      </c>
      <c r="B313" s="3228" t="s">
        <v>2998</v>
      </c>
      <c r="C313" s="3228">
        <v>4810</v>
      </c>
      <c r="D313" s="3228">
        <v>4760</v>
      </c>
      <c r="E313" s="3228">
        <v>5550</v>
      </c>
      <c r="F313" s="3228">
        <v>920</v>
      </c>
      <c r="G313" s="3241">
        <v>2870</v>
      </c>
    </row>
    <row r="314" spans="1:7" s="3217" customFormat="1" ht="14.25" customHeight="1">
      <c r="A314" s="3228" t="s">
        <v>306</v>
      </c>
      <c r="B314" s="3228" t="s">
        <v>3136</v>
      </c>
      <c r="C314" s="3228"/>
      <c r="D314" s="3228"/>
      <c r="E314" s="3228"/>
      <c r="F314" s="3228">
        <v>1020</v>
      </c>
      <c r="G314" s="3241"/>
    </row>
    <row r="315" spans="1:7" s="3217" customFormat="1" ht="14.25" customHeight="1">
      <c r="A315" s="3228" t="s">
        <v>306</v>
      </c>
      <c r="B315" s="3228" t="s">
        <v>3137</v>
      </c>
      <c r="C315" s="3228"/>
      <c r="D315" s="3228"/>
      <c r="E315" s="3228"/>
      <c r="F315" s="3228">
        <v>1050</v>
      </c>
      <c r="G315" s="3241"/>
    </row>
    <row r="316" spans="1:7" s="3217" customFormat="1" ht="14.25" customHeight="1">
      <c r="A316" s="3228" t="s">
        <v>306</v>
      </c>
      <c r="B316" s="3228" t="s">
        <v>3013</v>
      </c>
      <c r="C316" s="3228"/>
      <c r="D316" s="3228"/>
      <c r="E316" s="3228"/>
      <c r="F316" s="3228">
        <v>900</v>
      </c>
      <c r="G316" s="3241"/>
    </row>
    <row r="317" spans="1:7" s="3217" customFormat="1" ht="14.25" customHeight="1">
      <c r="A317" s="3228" t="s">
        <v>306</v>
      </c>
      <c r="B317" s="3228" t="s">
        <v>3138</v>
      </c>
      <c r="C317" s="3228"/>
      <c r="D317" s="3228"/>
      <c r="E317" s="3228"/>
      <c r="F317" s="3228">
        <v>920</v>
      </c>
      <c r="G317" s="3241"/>
    </row>
    <row r="318" spans="1:7" s="3217" customFormat="1" ht="14.25" customHeight="1">
      <c r="A318" s="3228" t="s">
        <v>306</v>
      </c>
      <c r="B318" s="3228" t="s">
        <v>3139</v>
      </c>
      <c r="C318" s="3228"/>
      <c r="D318" s="3228"/>
      <c r="E318" s="3228"/>
      <c r="F318" s="3228">
        <v>1080</v>
      </c>
      <c r="G318" s="3241"/>
    </row>
    <row r="319" spans="1:7" s="3217" customFormat="1" ht="14.25" customHeight="1">
      <c r="A319" s="3228" t="s">
        <v>306</v>
      </c>
      <c r="B319" s="3228" t="s">
        <v>3026</v>
      </c>
      <c r="C319" s="3228"/>
      <c r="D319" s="3228"/>
      <c r="E319" s="3228"/>
      <c r="F319" s="3228">
        <v>1020</v>
      </c>
      <c r="G319" s="3241"/>
    </row>
    <row r="320" spans="1:7" s="3217" customFormat="1" ht="14.25" customHeight="1">
      <c r="A320" s="3228" t="s">
        <v>306</v>
      </c>
      <c r="B320" s="3228" t="s">
        <v>3029</v>
      </c>
      <c r="C320" s="3228"/>
      <c r="D320" s="3228"/>
      <c r="E320" s="3228"/>
      <c r="F320" s="3228">
        <v>1050</v>
      </c>
      <c r="G320" s="3241"/>
    </row>
    <row r="321" spans="1:7" s="3217" customFormat="1" ht="14.25" customHeight="1">
      <c r="A321" s="3228" t="s">
        <v>306</v>
      </c>
      <c r="B321" s="3228" t="s">
        <v>3031</v>
      </c>
      <c r="C321" s="3228"/>
      <c r="D321" s="3228"/>
      <c r="E321" s="3228"/>
      <c r="F321" s="3228">
        <v>960</v>
      </c>
      <c r="G321" s="3241"/>
    </row>
    <row r="322" spans="1:7" s="3217" customFormat="1" ht="14.25" customHeight="1">
      <c r="A322" s="3228" t="s">
        <v>306</v>
      </c>
      <c r="B322" s="3228" t="s">
        <v>3033</v>
      </c>
      <c r="C322" s="3228"/>
      <c r="D322" s="3228"/>
      <c r="E322" s="3228"/>
      <c r="F322" s="3228">
        <v>960</v>
      </c>
      <c r="G322" s="3241"/>
    </row>
    <row r="323" spans="1:7" s="3217" customFormat="1" ht="14.25" customHeight="1">
      <c r="A323" s="3228" t="s">
        <v>306</v>
      </c>
      <c r="B323" s="3228" t="s">
        <v>3035</v>
      </c>
      <c r="C323" s="3228"/>
      <c r="D323" s="3228"/>
      <c r="E323" s="3228"/>
      <c r="F323" s="3228">
        <v>880</v>
      </c>
      <c r="G323" s="3241"/>
    </row>
    <row r="324" spans="1:7" s="3217" customFormat="1" ht="14.25" customHeight="1">
      <c r="A324" s="3228" t="s">
        <v>306</v>
      </c>
      <c r="B324" s="3228" t="s">
        <v>3037</v>
      </c>
      <c r="C324" s="3228"/>
      <c r="D324" s="3228"/>
      <c r="E324" s="3228"/>
      <c r="F324" s="3228">
        <v>930</v>
      </c>
      <c r="G324" s="3241"/>
    </row>
    <row r="325" spans="1:7" s="3217" customFormat="1" ht="14.25" customHeight="1">
      <c r="A325" s="3228" t="s">
        <v>306</v>
      </c>
      <c r="B325" s="3229" t="s">
        <v>3039</v>
      </c>
      <c r="C325" s="3228"/>
      <c r="D325" s="3228"/>
      <c r="E325" s="3228"/>
      <c r="F325" s="3228">
        <v>900</v>
      </c>
      <c r="G325" s="3241"/>
    </row>
    <row r="326" spans="1:7" s="3217" customFormat="1" ht="14.25" customHeight="1" thickBot="1">
      <c r="A326" s="3242" t="s">
        <v>306</v>
      </c>
      <c r="B326" s="3235" t="s">
        <v>3041</v>
      </c>
      <c r="C326" s="3235"/>
      <c r="D326" s="3235"/>
      <c r="E326" s="3235"/>
      <c r="F326" s="3235">
        <v>790</v>
      </c>
      <c r="G326" s="3243"/>
    </row>
    <row r="327" spans="1:7" s="3217" customFormat="1" ht="14.25" customHeight="1">
      <c r="A327" s="3233" t="s">
        <v>307</v>
      </c>
      <c r="B327" s="3224" t="s">
        <v>3140</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3141</v>
      </c>
      <c r="C329" s="3228">
        <v>2730</v>
      </c>
      <c r="D329" s="3228">
        <v>2690</v>
      </c>
      <c r="E329" s="3228">
        <v>3100</v>
      </c>
      <c r="F329" s="3228">
        <v>660</v>
      </c>
      <c r="G329" s="3228">
        <v>1610</v>
      </c>
    </row>
    <row r="330" spans="1:7" s="3217" customFormat="1" ht="14.25" customHeight="1">
      <c r="A330" s="3228" t="s">
        <v>307</v>
      </c>
      <c r="B330" s="3228" t="s">
        <v>3142</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2875</v>
      </c>
      <c r="C332" s="3228">
        <v>3520</v>
      </c>
      <c r="D332" s="3228">
        <v>3480</v>
      </c>
      <c r="E332" s="3228">
        <v>3830</v>
      </c>
      <c r="F332" s="3228">
        <v>720</v>
      </c>
      <c r="G332" s="3228">
        <v>2090</v>
      </c>
    </row>
    <row r="333" spans="1:7" s="3217" customFormat="1" ht="14.25" customHeight="1">
      <c r="A333" s="3228" t="s">
        <v>307</v>
      </c>
      <c r="B333" s="3228" t="s">
        <v>3143</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2885</v>
      </c>
      <c r="C336" s="3228">
        <v>3570</v>
      </c>
      <c r="D336" s="3228">
        <v>3530</v>
      </c>
      <c r="E336" s="3228">
        <v>3880</v>
      </c>
      <c r="F336" s="3228">
        <v>770</v>
      </c>
      <c r="G336" s="3228">
        <v>2110</v>
      </c>
    </row>
    <row r="337" spans="1:10" s="3217" customFormat="1" ht="14.25" customHeight="1">
      <c r="A337" s="3228" t="s">
        <v>307</v>
      </c>
      <c r="B337" s="3228" t="s">
        <v>3144</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3145</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3146</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2910</v>
      </c>
      <c r="C345" s="3228">
        <v>3190</v>
      </c>
      <c r="D345" s="3228">
        <v>3140</v>
      </c>
      <c r="E345" s="3228">
        <v>3450</v>
      </c>
      <c r="F345" s="3228">
        <v>720</v>
      </c>
      <c r="G345" s="3228">
        <v>1880</v>
      </c>
      <c r="J345" s="3217"/>
    </row>
    <row r="346" spans="1:10">
      <c r="A346" s="3228" t="s">
        <v>307</v>
      </c>
      <c r="B346" s="3228" t="s">
        <v>3147</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2919</v>
      </c>
      <c r="C348" s="3228">
        <v>4000</v>
      </c>
      <c r="D348" s="3228">
        <v>3950</v>
      </c>
      <c r="E348" s="3228">
        <v>4430</v>
      </c>
      <c r="F348" s="3228">
        <v>760</v>
      </c>
      <c r="G348" s="3228">
        <v>2360</v>
      </c>
      <c r="J348" s="3217"/>
    </row>
    <row r="349" spans="1:10">
      <c r="A349" s="3228" t="s">
        <v>307</v>
      </c>
      <c r="B349" s="3228" t="s">
        <v>2924</v>
      </c>
      <c r="C349" s="3228">
        <v>3820</v>
      </c>
      <c r="D349" s="3228">
        <v>3780</v>
      </c>
      <c r="E349" s="3228">
        <v>4170</v>
      </c>
      <c r="F349" s="3228">
        <v>710</v>
      </c>
      <c r="G349" s="3228">
        <v>2260</v>
      </c>
      <c r="J349" s="3217"/>
    </row>
    <row r="350" spans="1:10">
      <c r="A350" s="3228" t="s">
        <v>307</v>
      </c>
      <c r="B350" s="3228" t="s">
        <v>3148</v>
      </c>
      <c r="C350" s="3228">
        <v>3760</v>
      </c>
      <c r="D350" s="3228">
        <v>3730</v>
      </c>
      <c r="E350" s="3228">
        <v>4100</v>
      </c>
      <c r="F350" s="3228">
        <v>800</v>
      </c>
      <c r="G350" s="3228">
        <v>2230</v>
      </c>
      <c r="J350" s="3217"/>
    </row>
    <row r="351" spans="1:10">
      <c r="A351" s="3228" t="s">
        <v>307</v>
      </c>
      <c r="B351" s="3228" t="s">
        <v>2932</v>
      </c>
      <c r="C351" s="3228">
        <v>3610</v>
      </c>
      <c r="D351" s="3228">
        <v>3580</v>
      </c>
      <c r="E351" s="3228">
        <v>3930</v>
      </c>
      <c r="F351" s="3228">
        <v>700</v>
      </c>
      <c r="G351" s="3228">
        <v>2140</v>
      </c>
      <c r="J351" s="3217"/>
    </row>
    <row r="352" spans="1:10">
      <c r="A352" s="3228" t="s">
        <v>307</v>
      </c>
      <c r="B352" s="3228" t="s">
        <v>2937</v>
      </c>
      <c r="C352" s="3228">
        <v>3670</v>
      </c>
      <c r="D352" s="3228">
        <v>3630</v>
      </c>
      <c r="E352" s="3228">
        <v>4000</v>
      </c>
      <c r="F352" s="3228">
        <v>750</v>
      </c>
      <c r="G352" s="3228">
        <v>2180</v>
      </c>
    </row>
    <row r="353" spans="1:7" s="3221" customFormat="1">
      <c r="A353" s="3228" t="s">
        <v>307</v>
      </c>
      <c r="B353" s="3228" t="s">
        <v>3149</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2957</v>
      </c>
      <c r="C355" s="3228">
        <v>3650</v>
      </c>
      <c r="D355" s="3228">
        <v>3610</v>
      </c>
      <c r="E355" s="3228">
        <v>4200</v>
      </c>
      <c r="F355" s="3228">
        <v>640</v>
      </c>
      <c r="G355" s="3228">
        <v>2160</v>
      </c>
    </row>
    <row r="356" spans="1:7" s="3221" customFormat="1">
      <c r="A356" s="3228" t="s">
        <v>307</v>
      </c>
      <c r="B356" s="3228" t="s">
        <v>2964</v>
      </c>
      <c r="C356" s="3228">
        <v>3260</v>
      </c>
      <c r="D356" s="3228">
        <v>3230</v>
      </c>
      <c r="E356" s="3228">
        <v>3740</v>
      </c>
      <c r="F356" s="3228">
        <v>600</v>
      </c>
      <c r="G356" s="3228">
        <v>1930</v>
      </c>
    </row>
    <row r="357" spans="1:7" s="3221" customFormat="1" ht="12" thickBot="1">
      <c r="A357" s="3236" t="s">
        <v>307</v>
      </c>
      <c r="B357" s="3239" t="s">
        <v>3150</v>
      </c>
      <c r="C357" s="3239">
        <v>3690</v>
      </c>
      <c r="D357" s="3239">
        <v>3650</v>
      </c>
      <c r="E357" s="3239">
        <v>4020</v>
      </c>
      <c r="F357" s="3239">
        <v>700</v>
      </c>
      <c r="G357" s="3239">
        <v>2190</v>
      </c>
    </row>
    <row r="358" spans="1:7" s="3221" customFormat="1">
      <c r="A358" s="3233" t="s">
        <v>3151</v>
      </c>
      <c r="B358" s="3224" t="s">
        <v>3152</v>
      </c>
      <c r="C358" s="3224">
        <v>2080</v>
      </c>
      <c r="D358" s="3224">
        <v>2040</v>
      </c>
      <c r="E358" s="3224">
        <v>2010</v>
      </c>
      <c r="F358" s="3224">
        <v>530</v>
      </c>
      <c r="G358" s="3240">
        <v>1230</v>
      </c>
    </row>
    <row r="359" spans="1:7" s="3221" customFormat="1">
      <c r="A359" s="3228" t="s">
        <v>3151</v>
      </c>
      <c r="B359" s="3228" t="s">
        <v>3153</v>
      </c>
      <c r="C359" s="3228">
        <v>1850</v>
      </c>
      <c r="D359" s="3228">
        <v>1820</v>
      </c>
      <c r="E359" s="3228">
        <v>1780</v>
      </c>
      <c r="F359" s="3228">
        <v>520</v>
      </c>
      <c r="G359" s="3241">
        <v>1100</v>
      </c>
    </row>
    <row r="360" spans="1:7" s="3221" customFormat="1">
      <c r="A360" s="3228" t="s">
        <v>3151</v>
      </c>
      <c r="B360" s="3228" t="s">
        <v>3154</v>
      </c>
      <c r="C360" s="3228">
        <v>2020</v>
      </c>
      <c r="D360" s="3228">
        <v>1990</v>
      </c>
      <c r="E360" s="3228">
        <v>1950</v>
      </c>
      <c r="F360" s="3228">
        <v>500</v>
      </c>
      <c r="G360" s="3241">
        <v>1200</v>
      </c>
    </row>
    <row r="361" spans="1:7" s="3221" customFormat="1">
      <c r="A361" s="3228" t="s">
        <v>3151</v>
      </c>
      <c r="B361" s="3228" t="s">
        <v>153</v>
      </c>
      <c r="C361" s="3228">
        <v>2260</v>
      </c>
      <c r="D361" s="3228">
        <v>2220</v>
      </c>
      <c r="E361" s="3228">
        <v>2180</v>
      </c>
      <c r="F361" s="3228">
        <v>580</v>
      </c>
      <c r="G361" s="3241">
        <v>1340</v>
      </c>
    </row>
    <row r="362" spans="1:7" s="3221" customFormat="1">
      <c r="A362" s="3228" t="s">
        <v>3151</v>
      </c>
      <c r="B362" s="3228" t="s">
        <v>3155</v>
      </c>
      <c r="C362" s="3228">
        <v>2650</v>
      </c>
      <c r="D362" s="3228">
        <v>2610</v>
      </c>
      <c r="E362" s="3228">
        <v>2570</v>
      </c>
      <c r="F362" s="3228">
        <v>630</v>
      </c>
      <c r="G362" s="3241">
        <v>1570</v>
      </c>
    </row>
    <row r="363" spans="1:7" s="3221" customFormat="1">
      <c r="A363" s="3228" t="s">
        <v>3151</v>
      </c>
      <c r="B363" s="3228" t="s">
        <v>2876</v>
      </c>
      <c r="C363" s="3228">
        <v>2390</v>
      </c>
      <c r="D363" s="3228">
        <v>2360</v>
      </c>
      <c r="E363" s="3228">
        <v>2320</v>
      </c>
      <c r="F363" s="3228">
        <v>600</v>
      </c>
      <c r="G363" s="3241">
        <v>1420</v>
      </c>
    </row>
    <row r="364" spans="1:7" s="3221" customFormat="1">
      <c r="A364" s="3228" t="s">
        <v>3151</v>
      </c>
      <c r="B364" s="3228" t="s">
        <v>3156</v>
      </c>
      <c r="C364" s="3228">
        <v>2050</v>
      </c>
      <c r="D364" s="3228">
        <v>2030</v>
      </c>
      <c r="E364" s="3228">
        <v>1990</v>
      </c>
      <c r="F364" s="3228">
        <v>550</v>
      </c>
      <c r="G364" s="3241">
        <v>1220</v>
      </c>
    </row>
    <row r="365" spans="1:7" s="3221" customFormat="1">
      <c r="A365" s="3228" t="s">
        <v>3151</v>
      </c>
      <c r="B365" s="3228" t="s">
        <v>200</v>
      </c>
      <c r="C365" s="3228">
        <v>2140</v>
      </c>
      <c r="D365" s="3228">
        <v>2100</v>
      </c>
      <c r="E365" s="3228">
        <v>2060</v>
      </c>
      <c r="F365" s="3228">
        <v>540</v>
      </c>
      <c r="G365" s="3241">
        <v>1270</v>
      </c>
    </row>
    <row r="366" spans="1:7" s="3221" customFormat="1">
      <c r="A366" s="3228" t="s">
        <v>3151</v>
      </c>
      <c r="B366" s="3228" t="s">
        <v>2883</v>
      </c>
      <c r="C366" s="3228">
        <v>2410</v>
      </c>
      <c r="D366" s="3228">
        <v>2370</v>
      </c>
      <c r="E366" s="3228">
        <v>2330</v>
      </c>
      <c r="F366" s="3228">
        <v>570</v>
      </c>
      <c r="G366" s="3241">
        <v>1440</v>
      </c>
    </row>
    <row r="367" spans="1:7" s="3221" customFormat="1">
      <c r="A367" s="3228" t="s">
        <v>3151</v>
      </c>
      <c r="B367" s="3228" t="s">
        <v>3157</v>
      </c>
      <c r="C367" s="3228">
        <v>2300</v>
      </c>
      <c r="D367" s="3228">
        <v>2260</v>
      </c>
      <c r="E367" s="3228">
        <v>2220</v>
      </c>
      <c r="F367" s="3228">
        <v>560</v>
      </c>
      <c r="G367" s="3241">
        <v>1370</v>
      </c>
    </row>
    <row r="368" spans="1:7" s="3221" customFormat="1">
      <c r="A368" s="3228" t="s">
        <v>3151</v>
      </c>
      <c r="B368" s="3228" t="s">
        <v>3158</v>
      </c>
      <c r="C368" s="3228">
        <v>2430</v>
      </c>
      <c r="D368" s="3228">
        <v>2390</v>
      </c>
      <c r="E368" s="3228">
        <v>2350</v>
      </c>
      <c r="F368" s="3228">
        <v>570</v>
      </c>
      <c r="G368" s="3241">
        <v>1450</v>
      </c>
    </row>
    <row r="369" spans="1:7" s="3221" customFormat="1">
      <c r="A369" s="3228" t="s">
        <v>3151</v>
      </c>
      <c r="B369" s="3228" t="s">
        <v>214</v>
      </c>
      <c r="C369" s="3228">
        <v>2320</v>
      </c>
      <c r="D369" s="3228">
        <v>2290</v>
      </c>
      <c r="E369" s="3228">
        <v>2250</v>
      </c>
      <c r="F369" s="3228">
        <v>550</v>
      </c>
      <c r="G369" s="3241">
        <v>1380</v>
      </c>
    </row>
    <row r="370" spans="1:7" s="3221" customFormat="1">
      <c r="A370" s="3228" t="s">
        <v>3151</v>
      </c>
      <c r="B370" s="3228" t="s">
        <v>221</v>
      </c>
      <c r="C370" s="3228">
        <v>2190</v>
      </c>
      <c r="D370" s="3228">
        <v>2170</v>
      </c>
      <c r="E370" s="3228">
        <v>2130</v>
      </c>
      <c r="F370" s="3228">
        <v>530</v>
      </c>
      <c r="G370" s="3241">
        <v>1310</v>
      </c>
    </row>
    <row r="371" spans="1:7" s="3221" customFormat="1">
      <c r="A371" s="3228" t="s">
        <v>3151</v>
      </c>
      <c r="B371" s="3228" t="s">
        <v>229</v>
      </c>
      <c r="C371" s="3228">
        <v>2460</v>
      </c>
      <c r="D371" s="3228">
        <v>2420</v>
      </c>
      <c r="E371" s="3228">
        <v>2370</v>
      </c>
      <c r="F371" s="3228">
        <v>560</v>
      </c>
      <c r="G371" s="3241">
        <v>1470</v>
      </c>
    </row>
    <row r="372" spans="1:7" s="3221" customFormat="1">
      <c r="A372" s="3228" t="s">
        <v>3151</v>
      </c>
      <c r="B372" s="3228" t="s">
        <v>3159</v>
      </c>
      <c r="C372" s="3228">
        <v>2250</v>
      </c>
      <c r="D372" s="3228">
        <v>2210</v>
      </c>
      <c r="E372" s="3228">
        <v>2180</v>
      </c>
      <c r="F372" s="3228">
        <v>550</v>
      </c>
      <c r="G372" s="3241">
        <v>1340</v>
      </c>
    </row>
    <row r="373" spans="1:7" s="3221" customFormat="1">
      <c r="A373" s="3228" t="s">
        <v>3151</v>
      </c>
      <c r="B373" s="3228" t="s">
        <v>258</v>
      </c>
      <c r="C373" s="3228">
        <v>2210</v>
      </c>
      <c r="D373" s="3228">
        <v>2190</v>
      </c>
      <c r="E373" s="3228">
        <v>2150</v>
      </c>
      <c r="F373" s="3228">
        <v>530</v>
      </c>
      <c r="G373" s="3241">
        <v>1320</v>
      </c>
    </row>
    <row r="374" spans="1:7" s="3221" customFormat="1">
      <c r="A374" s="3228" t="s">
        <v>3151</v>
      </c>
      <c r="B374" s="3228" t="s">
        <v>266</v>
      </c>
      <c r="C374" s="3228">
        <v>2320</v>
      </c>
      <c r="D374" s="3228">
        <v>2280</v>
      </c>
      <c r="E374" s="3228">
        <v>2230</v>
      </c>
      <c r="F374" s="3228">
        <v>580</v>
      </c>
      <c r="G374" s="3241">
        <v>1380</v>
      </c>
    </row>
    <row r="375" spans="1:7" s="3221" customFormat="1">
      <c r="A375" s="3228" t="s">
        <v>3151</v>
      </c>
      <c r="B375" s="3228" t="s">
        <v>3160</v>
      </c>
      <c r="C375" s="3228">
        <v>2090</v>
      </c>
      <c r="D375" s="3228">
        <v>2050</v>
      </c>
      <c r="E375" s="3228">
        <v>2020</v>
      </c>
      <c r="F375" s="3228">
        <v>520</v>
      </c>
      <c r="G375" s="3241">
        <v>1240</v>
      </c>
    </row>
    <row r="376" spans="1:7" s="3221" customFormat="1">
      <c r="A376" s="3228" t="s">
        <v>3151</v>
      </c>
      <c r="B376" s="3228" t="s">
        <v>277</v>
      </c>
      <c r="C376" s="3228">
        <v>2010</v>
      </c>
      <c r="D376" s="3228">
        <v>1980</v>
      </c>
      <c r="E376" s="3228">
        <v>1940</v>
      </c>
      <c r="F376" s="3228">
        <v>540</v>
      </c>
      <c r="G376" s="3241">
        <v>1190</v>
      </c>
    </row>
    <row r="377" spans="1:7" s="3221" customFormat="1" ht="12" thickBot="1">
      <c r="A377" s="3236" t="s">
        <v>3151</v>
      </c>
      <c r="B377" s="3239" t="s">
        <v>2913</v>
      </c>
      <c r="C377" s="3239">
        <v>1930</v>
      </c>
      <c r="D377" s="3239">
        <v>1890</v>
      </c>
      <c r="E377" s="3239">
        <v>1860</v>
      </c>
      <c r="F377" s="3239">
        <v>530</v>
      </c>
      <c r="G377" s="3244">
        <v>1150</v>
      </c>
    </row>
    <row r="378" spans="1:7" s="3221" customFormat="1">
      <c r="A378" s="3245" t="s">
        <v>3161</v>
      </c>
      <c r="B378" s="3224" t="s">
        <v>3162</v>
      </c>
      <c r="C378" s="3224">
        <v>1520</v>
      </c>
      <c r="D378" s="3224">
        <v>1490</v>
      </c>
      <c r="E378" s="3224">
        <v>1460</v>
      </c>
      <c r="F378" s="3224">
        <v>460</v>
      </c>
      <c r="G378" s="3240">
        <v>940</v>
      </c>
    </row>
    <row r="379" spans="1:7" s="3221" customFormat="1">
      <c r="A379" s="3246" t="s">
        <v>3161</v>
      </c>
      <c r="B379" s="3228" t="s">
        <v>3163</v>
      </c>
      <c r="C379" s="3228">
        <v>1500</v>
      </c>
      <c r="D379" s="3228">
        <v>1470</v>
      </c>
      <c r="E379" s="3228">
        <v>1430</v>
      </c>
      <c r="F379" s="3228">
        <v>460</v>
      </c>
      <c r="G379" s="3241">
        <v>920</v>
      </c>
    </row>
    <row r="380" spans="1:7" s="3221" customFormat="1">
      <c r="A380" s="3246" t="s">
        <v>3161</v>
      </c>
      <c r="B380" s="3228" t="s">
        <v>3164</v>
      </c>
      <c r="C380" s="3228">
        <v>1620</v>
      </c>
      <c r="D380" s="3228">
        <v>1590</v>
      </c>
      <c r="E380" s="3228">
        <v>1560</v>
      </c>
      <c r="F380" s="3228">
        <v>480</v>
      </c>
      <c r="G380" s="3241">
        <v>1000</v>
      </c>
    </row>
    <row r="381" spans="1:7" s="3221" customFormat="1">
      <c r="A381" s="3246" t="s">
        <v>3161</v>
      </c>
      <c r="B381" s="3228" t="s">
        <v>3165</v>
      </c>
      <c r="C381" s="3228">
        <v>1460</v>
      </c>
      <c r="D381" s="3228">
        <v>1430</v>
      </c>
      <c r="E381" s="3228">
        <v>1390</v>
      </c>
      <c r="F381" s="3228">
        <v>450</v>
      </c>
      <c r="G381" s="3241">
        <v>900</v>
      </c>
    </row>
    <row r="382" spans="1:7" s="3221" customFormat="1">
      <c r="A382" s="3246" t="s">
        <v>3161</v>
      </c>
      <c r="B382" s="3228" t="s">
        <v>3166</v>
      </c>
      <c r="C382" s="3228">
        <v>1310</v>
      </c>
      <c r="D382" s="3228">
        <v>1280</v>
      </c>
      <c r="E382" s="3228">
        <v>1250</v>
      </c>
      <c r="F382" s="3228">
        <v>440</v>
      </c>
      <c r="G382" s="3241">
        <v>800</v>
      </c>
    </row>
    <row r="383" spans="1:7" s="3221" customFormat="1">
      <c r="A383" s="3246" t="s">
        <v>3161</v>
      </c>
      <c r="B383" s="3228" t="s">
        <v>3167</v>
      </c>
      <c r="C383" s="3228">
        <v>1260</v>
      </c>
      <c r="D383" s="3228">
        <v>1230</v>
      </c>
      <c r="E383" s="3228">
        <v>1200</v>
      </c>
      <c r="F383" s="3228">
        <v>420</v>
      </c>
      <c r="G383" s="3241">
        <v>770</v>
      </c>
    </row>
    <row r="384" spans="1:7" s="3221" customFormat="1" ht="12" thickBot="1">
      <c r="A384" s="3247" t="s">
        <v>3161</v>
      </c>
      <c r="B384" s="3235" t="s">
        <v>3168</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25" t="s">
        <v>3169</v>
      </c>
      <c r="B1" s="3825"/>
    </row>
    <row r="2" spans="1:7" ht="14.25" thickBot="1">
      <c r="A2" s="3250"/>
      <c r="B2" s="3250"/>
    </row>
    <row r="3" spans="1:7" ht="14.25" thickBot="1">
      <c r="A3" s="3250"/>
      <c r="B3" s="3250"/>
      <c r="C3" s="3251" t="s">
        <v>2799</v>
      </c>
      <c r="D3" s="3251" t="s">
        <v>2855</v>
      </c>
      <c r="E3" s="3251" t="s">
        <v>2801</v>
      </c>
      <c r="F3" s="3251" t="s">
        <v>2856</v>
      </c>
      <c r="G3" s="3251" t="s">
        <v>2619</v>
      </c>
    </row>
    <row r="4" spans="1:7" ht="14.25" thickBot="1">
      <c r="A4" s="3252" t="s">
        <v>2854</v>
      </c>
      <c r="B4" s="3253" t="s">
        <v>2860</v>
      </c>
      <c r="C4" s="3251"/>
      <c r="D4" s="3251"/>
      <c r="E4" s="3251"/>
      <c r="F4" s="3251"/>
      <c r="G4" s="3251"/>
    </row>
    <row r="5" spans="1:7">
      <c r="A5" s="3254" t="s">
        <v>2828</v>
      </c>
      <c r="B5" s="3255" t="s">
        <v>2842</v>
      </c>
      <c r="C5" s="3256">
        <v>9.8000000000000004E-2</v>
      </c>
      <c r="D5" s="3256">
        <v>8.6999999999999994E-2</v>
      </c>
      <c r="E5" s="3256">
        <v>8.6999999999999994E-2</v>
      </c>
      <c r="F5" s="3256">
        <v>9.8000000000000004E-2</v>
      </c>
      <c r="G5" s="3257">
        <v>9.5000000000000001E-2</v>
      </c>
    </row>
    <row r="6" spans="1:7">
      <c r="A6" s="3258" t="s">
        <v>144</v>
      </c>
      <c r="B6" s="3259" t="s">
        <v>2857</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2843</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2893</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2911</v>
      </c>
      <c r="C29" s="3268"/>
      <c r="D29" s="3264">
        <v>5.1999999999999998E-2</v>
      </c>
      <c r="E29" s="3264">
        <v>7.0000000000000007E-2</v>
      </c>
      <c r="F29" s="3268"/>
      <c r="G29" s="3266">
        <v>7.0999999999999994E-2</v>
      </c>
    </row>
    <row r="30" spans="1:7">
      <c r="A30" s="3269" t="s">
        <v>296</v>
      </c>
      <c r="B30" s="3255" t="s">
        <v>2844</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2830</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2914</v>
      </c>
      <c r="C50" s="3260">
        <v>9.8000000000000004E-2</v>
      </c>
      <c r="D50" s="3260">
        <v>7.2999999999999995E-2</v>
      </c>
      <c r="E50" s="3260">
        <v>7.0999999999999994E-2</v>
      </c>
      <c r="F50" s="3271"/>
      <c r="G50" s="3261">
        <v>7.2999999999999995E-2</v>
      </c>
    </row>
    <row r="51" spans="1:7">
      <c r="A51" s="3270" t="s">
        <v>296</v>
      </c>
      <c r="B51" s="3259" t="s">
        <v>2916</v>
      </c>
      <c r="C51" s="3260">
        <v>9.9000000000000005E-2</v>
      </c>
      <c r="D51" s="3260">
        <v>8.5000000000000006E-2</v>
      </c>
      <c r="E51" s="3260">
        <v>6.3E-2</v>
      </c>
      <c r="F51" s="3271"/>
      <c r="G51" s="3261">
        <v>9.6000000000000002E-2</v>
      </c>
    </row>
    <row r="52" spans="1:7">
      <c r="A52" s="3270" t="s">
        <v>296</v>
      </c>
      <c r="B52" s="3259" t="s">
        <v>2920</v>
      </c>
      <c r="C52" s="3260">
        <v>7.3999999999999996E-2</v>
      </c>
      <c r="D52" s="3260">
        <v>9.6000000000000002E-2</v>
      </c>
      <c r="E52" s="3260">
        <v>0.05</v>
      </c>
      <c r="F52" s="3271"/>
      <c r="G52" s="3261">
        <v>9.8000000000000004E-2</v>
      </c>
    </row>
    <row r="53" spans="1:7">
      <c r="A53" s="3270" t="s">
        <v>296</v>
      </c>
      <c r="B53" s="3259" t="s">
        <v>2925</v>
      </c>
      <c r="C53" s="3260">
        <v>8.5999999999999993E-2</v>
      </c>
      <c r="D53" s="3271"/>
      <c r="E53" s="3260">
        <v>9.1999999999999998E-2</v>
      </c>
      <c r="F53" s="3271"/>
      <c r="G53" s="3272"/>
    </row>
    <row r="54" spans="1:7" ht="14.25" thickBot="1">
      <c r="A54" s="3273" t="s">
        <v>296</v>
      </c>
      <c r="B54" s="3263" t="s">
        <v>2928</v>
      </c>
      <c r="C54" s="3264">
        <v>9.6000000000000002E-2</v>
      </c>
      <c r="D54" s="3265"/>
      <c r="E54" s="3274"/>
      <c r="F54" s="3265"/>
      <c r="G54" s="3275"/>
    </row>
    <row r="55" spans="1:7">
      <c r="A55" s="3269" t="s">
        <v>110</v>
      </c>
      <c r="B55" s="3255" t="s">
        <v>2845</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2926</v>
      </c>
      <c r="C78" s="3260">
        <v>0.1</v>
      </c>
      <c r="D78" s="3260">
        <v>8.5000000000000006E-2</v>
      </c>
      <c r="E78" s="3260">
        <v>9.6000000000000002E-2</v>
      </c>
      <c r="F78" s="3271"/>
      <c r="G78" s="3261">
        <v>9.6000000000000002E-2</v>
      </c>
    </row>
    <row r="79" spans="1:7">
      <c r="A79" s="3270" t="s">
        <v>110</v>
      </c>
      <c r="B79" s="3259" t="s">
        <v>2929</v>
      </c>
      <c r="C79" s="3260">
        <v>0.05</v>
      </c>
      <c r="D79" s="3260">
        <v>9.6000000000000002E-2</v>
      </c>
      <c r="E79" s="3260">
        <v>9.5000000000000001E-2</v>
      </c>
      <c r="F79" s="3271"/>
      <c r="G79" s="3261">
        <v>9.8000000000000004E-2</v>
      </c>
    </row>
    <row r="80" spans="1:7">
      <c r="A80" s="3270" t="s">
        <v>110</v>
      </c>
      <c r="B80" s="3259" t="s">
        <v>2933</v>
      </c>
      <c r="C80" s="3260">
        <v>8.5999999999999993E-2</v>
      </c>
      <c r="D80" s="3276"/>
      <c r="E80" s="3260">
        <v>0.1</v>
      </c>
      <c r="F80" s="3271"/>
      <c r="G80" s="3272"/>
    </row>
    <row r="81" spans="1:7">
      <c r="A81" s="3270" t="s">
        <v>110</v>
      </c>
      <c r="B81" s="3259" t="s">
        <v>2938</v>
      </c>
      <c r="C81" s="3260">
        <v>9.6000000000000002E-2</v>
      </c>
      <c r="D81" s="3271"/>
      <c r="E81" s="3260">
        <v>9.8000000000000004E-2</v>
      </c>
      <c r="F81" s="3271"/>
      <c r="G81" s="3272"/>
    </row>
    <row r="82" spans="1:7">
      <c r="A82" s="3270" t="s">
        <v>110</v>
      </c>
      <c r="B82" s="3259" t="s">
        <v>2945</v>
      </c>
      <c r="C82" s="3276"/>
      <c r="D82" s="3271"/>
      <c r="E82" s="3260">
        <v>7.6999999999999999E-2</v>
      </c>
      <c r="F82" s="3271"/>
      <c r="G82" s="3272"/>
    </row>
    <row r="83" spans="1:7">
      <c r="A83" s="3270" t="s">
        <v>110</v>
      </c>
      <c r="B83" s="3259" t="s">
        <v>2951</v>
      </c>
      <c r="C83" s="3271"/>
      <c r="D83" s="3271"/>
      <c r="E83" s="3271"/>
      <c r="F83" s="3260">
        <v>0.1</v>
      </c>
      <c r="G83" s="3277"/>
    </row>
    <row r="84" spans="1:7">
      <c r="A84" s="3270" t="s">
        <v>110</v>
      </c>
      <c r="B84" s="3259" t="s">
        <v>2958</v>
      </c>
      <c r="C84" s="3271"/>
      <c r="D84" s="3271"/>
      <c r="E84" s="3271"/>
      <c r="F84" s="3260">
        <v>0.1</v>
      </c>
      <c r="G84" s="3277"/>
    </row>
    <row r="85" spans="1:7">
      <c r="A85" s="3270" t="s">
        <v>110</v>
      </c>
      <c r="B85" s="3259" t="s">
        <v>2965</v>
      </c>
      <c r="C85" s="3271"/>
      <c r="D85" s="3271"/>
      <c r="E85" s="3271"/>
      <c r="F85" s="3260">
        <v>0.1</v>
      </c>
      <c r="G85" s="3277"/>
    </row>
    <row r="86" spans="1:7" ht="14.25" thickBot="1">
      <c r="A86" s="3273" t="s">
        <v>110</v>
      </c>
      <c r="B86" s="3263" t="s">
        <v>2970</v>
      </c>
      <c r="C86" s="3264">
        <v>9.8000000000000004E-2</v>
      </c>
      <c r="D86" s="3264">
        <v>9.8000000000000004E-2</v>
      </c>
      <c r="E86" s="3264">
        <v>9.6000000000000002E-2</v>
      </c>
      <c r="F86" s="3274"/>
      <c r="G86" s="3266">
        <v>0.1</v>
      </c>
    </row>
    <row r="87" spans="1:7">
      <c r="A87" s="3269" t="s">
        <v>303</v>
      </c>
      <c r="B87" s="3255" t="s">
        <v>2846</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2939</v>
      </c>
      <c r="C113" s="3260">
        <v>0.1</v>
      </c>
      <c r="D113" s="3260">
        <v>0.1</v>
      </c>
      <c r="E113" s="3271"/>
      <c r="F113" s="3271"/>
      <c r="G113" s="3261">
        <v>0.1</v>
      </c>
    </row>
    <row r="114" spans="1:7">
      <c r="A114" s="3270" t="s">
        <v>303</v>
      </c>
      <c r="B114" s="3259" t="s">
        <v>2946</v>
      </c>
      <c r="C114" s="3260">
        <v>9.7000000000000003E-2</v>
      </c>
      <c r="D114" s="3260">
        <v>9.7000000000000003E-2</v>
      </c>
      <c r="E114" s="3271"/>
      <c r="F114" s="3271"/>
      <c r="G114" s="3261">
        <v>9.9000000000000005E-2</v>
      </c>
    </row>
    <row r="115" spans="1:7">
      <c r="A115" s="3270" t="s">
        <v>303</v>
      </c>
      <c r="B115" s="3259" t="s">
        <v>2952</v>
      </c>
      <c r="C115" s="3260">
        <v>0.1</v>
      </c>
      <c r="D115" s="3260">
        <v>0.1</v>
      </c>
      <c r="E115" s="3271"/>
      <c r="F115" s="3271"/>
      <c r="G115" s="3261">
        <v>0.1</v>
      </c>
    </row>
    <row r="116" spans="1:7">
      <c r="A116" s="3270" t="s">
        <v>303</v>
      </c>
      <c r="B116" s="3259" t="s">
        <v>2959</v>
      </c>
      <c r="C116" s="3260">
        <v>0.1</v>
      </c>
      <c r="D116" s="3260">
        <v>0.1</v>
      </c>
      <c r="E116" s="3271"/>
      <c r="F116" s="3271"/>
      <c r="G116" s="3261">
        <v>0.1</v>
      </c>
    </row>
    <row r="117" spans="1:7">
      <c r="A117" s="3270" t="s">
        <v>303</v>
      </c>
      <c r="B117" s="3259" t="s">
        <v>2966</v>
      </c>
      <c r="C117" s="3260">
        <v>9.7000000000000003E-2</v>
      </c>
      <c r="D117" s="3260">
        <v>9.7000000000000003E-2</v>
      </c>
      <c r="E117" s="3271"/>
      <c r="F117" s="3271"/>
      <c r="G117" s="3261">
        <v>9.7000000000000003E-2</v>
      </c>
    </row>
    <row r="118" spans="1:7">
      <c r="A118" s="3270" t="s">
        <v>303</v>
      </c>
      <c r="B118" s="3259" t="s">
        <v>2971</v>
      </c>
      <c r="C118" s="3260">
        <v>0.1</v>
      </c>
      <c r="D118" s="3260">
        <v>0.1</v>
      </c>
      <c r="E118" s="3271"/>
      <c r="F118" s="3271"/>
      <c r="G118" s="3261">
        <v>0.1</v>
      </c>
    </row>
    <row r="119" spans="1:7">
      <c r="A119" s="3270" t="s">
        <v>303</v>
      </c>
      <c r="B119" s="3259" t="s">
        <v>2975</v>
      </c>
      <c r="C119" s="3260">
        <v>5.0999999999999997E-2</v>
      </c>
      <c r="D119" s="3260">
        <v>5.1999999999999998E-2</v>
      </c>
      <c r="E119" s="3271"/>
      <c r="F119" s="3276"/>
      <c r="G119" s="3261">
        <v>0.06</v>
      </c>
    </row>
    <row r="120" spans="1:7">
      <c r="A120" s="3270" t="s">
        <v>303</v>
      </c>
      <c r="B120" s="3259" t="s">
        <v>2979</v>
      </c>
      <c r="C120" s="3271"/>
      <c r="D120" s="3271"/>
      <c r="E120" s="3271"/>
      <c r="F120" s="3260">
        <v>0.1</v>
      </c>
      <c r="G120" s="3277"/>
    </row>
    <row r="121" spans="1:7">
      <c r="A121" s="3270" t="s">
        <v>303</v>
      </c>
      <c r="B121" s="3259" t="s">
        <v>2984</v>
      </c>
      <c r="C121" s="3271"/>
      <c r="D121" s="3271"/>
      <c r="E121" s="3271"/>
      <c r="F121" s="3260">
        <v>0.1</v>
      </c>
      <c r="G121" s="3277"/>
    </row>
    <row r="122" spans="1:7">
      <c r="A122" s="3270" t="s">
        <v>303</v>
      </c>
      <c r="B122" s="3259" t="s">
        <v>2989</v>
      </c>
      <c r="C122" s="3260">
        <v>0.1</v>
      </c>
      <c r="D122" s="3260">
        <v>0.1</v>
      </c>
      <c r="E122" s="3260">
        <v>9.8000000000000004E-2</v>
      </c>
      <c r="F122" s="3260">
        <v>0.1</v>
      </c>
      <c r="G122" s="3261">
        <v>0.1</v>
      </c>
    </row>
    <row r="123" spans="1:7">
      <c r="A123" s="3270" t="s">
        <v>303</v>
      </c>
      <c r="B123" s="3259" t="s">
        <v>2994</v>
      </c>
      <c r="C123" s="3260">
        <v>0.1</v>
      </c>
      <c r="D123" s="3260">
        <v>0.1</v>
      </c>
      <c r="E123" s="3260">
        <v>9.8000000000000004E-2</v>
      </c>
      <c r="F123" s="3260">
        <v>0.1</v>
      </c>
      <c r="G123" s="3261">
        <v>0.1</v>
      </c>
    </row>
    <row r="124" spans="1:7">
      <c r="A124" s="3270" t="s">
        <v>303</v>
      </c>
      <c r="B124" s="3259" t="s">
        <v>2999</v>
      </c>
      <c r="C124" s="3260">
        <v>0.1</v>
      </c>
      <c r="D124" s="3260">
        <v>0.1</v>
      </c>
      <c r="E124" s="3260">
        <v>9.8000000000000004E-2</v>
      </c>
      <c r="F124" s="3276"/>
      <c r="G124" s="3261">
        <v>0.1</v>
      </c>
    </row>
    <row r="125" spans="1:7">
      <c r="A125" s="3270" t="s">
        <v>303</v>
      </c>
      <c r="B125" s="3259" t="s">
        <v>3004</v>
      </c>
      <c r="C125" s="3260">
        <v>9.8000000000000004E-2</v>
      </c>
      <c r="D125" s="3260">
        <v>9.8000000000000004E-2</v>
      </c>
      <c r="E125" s="3260">
        <v>9.6000000000000002E-2</v>
      </c>
      <c r="F125" s="3276"/>
      <c r="G125" s="3261">
        <v>0.1</v>
      </c>
    </row>
    <row r="126" spans="1:7" ht="14.25" thickBot="1">
      <c r="A126" s="3273" t="s">
        <v>303</v>
      </c>
      <c r="B126" s="3263" t="s">
        <v>3170</v>
      </c>
      <c r="C126" s="3264">
        <v>0.1</v>
      </c>
      <c r="D126" s="3264">
        <v>0.1</v>
      </c>
      <c r="E126" s="3264">
        <v>9.8000000000000004E-2</v>
      </c>
      <c r="F126" s="3264">
        <v>0.1</v>
      </c>
      <c r="G126" s="3266">
        <v>0.1</v>
      </c>
    </row>
    <row r="127" spans="1:7">
      <c r="A127" s="3269" t="s">
        <v>29</v>
      </c>
      <c r="B127" s="3255" t="s">
        <v>2847</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2917</v>
      </c>
      <c r="C148" s="3260">
        <v>0.13</v>
      </c>
      <c r="D148" s="3260">
        <v>0.13</v>
      </c>
      <c r="E148" s="3260">
        <v>0.13</v>
      </c>
      <c r="F148" s="3271"/>
      <c r="G148" s="3261">
        <v>0.13</v>
      </c>
    </row>
    <row r="149" spans="1:7">
      <c r="A149" s="3270" t="s">
        <v>29</v>
      </c>
      <c r="B149" s="3259" t="s">
        <v>2921</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2940</v>
      </c>
      <c r="C153" s="3260">
        <v>0.13</v>
      </c>
      <c r="D153" s="3260">
        <v>0.13</v>
      </c>
      <c r="E153" s="3260">
        <v>0.13</v>
      </c>
      <c r="F153" s="3260">
        <v>0.13</v>
      </c>
      <c r="G153" s="3261">
        <v>0.13</v>
      </c>
    </row>
    <row r="154" spans="1:7">
      <c r="A154" s="3270" t="s">
        <v>29</v>
      </c>
      <c r="B154" s="3259" t="s">
        <v>2947</v>
      </c>
      <c r="C154" s="3260">
        <v>0.121</v>
      </c>
      <c r="D154" s="3260">
        <v>0.121</v>
      </c>
      <c r="E154" s="3260">
        <v>0.105</v>
      </c>
      <c r="F154" s="3260">
        <v>0.121</v>
      </c>
      <c r="G154" s="3261">
        <v>0.123</v>
      </c>
    </row>
    <row r="155" spans="1:7">
      <c r="A155" s="3270" t="s">
        <v>29</v>
      </c>
      <c r="B155" s="3259" t="s">
        <v>2953</v>
      </c>
      <c r="C155" s="3260">
        <v>0.1</v>
      </c>
      <c r="D155" s="3260">
        <v>0.1</v>
      </c>
      <c r="E155" s="3260">
        <v>0.1</v>
      </c>
      <c r="F155" s="3260">
        <v>0.1</v>
      </c>
      <c r="G155" s="3261">
        <v>0.1</v>
      </c>
    </row>
    <row r="156" spans="1:7">
      <c r="A156" s="3270" t="s">
        <v>29</v>
      </c>
      <c r="B156" s="3259" t="s">
        <v>2960</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2980</v>
      </c>
      <c r="C160" s="3260">
        <v>0.13</v>
      </c>
      <c r="D160" s="3260">
        <v>0.13</v>
      </c>
      <c r="E160" s="3260">
        <v>0.124</v>
      </c>
      <c r="F160" s="3260">
        <v>0.126</v>
      </c>
      <c r="G160" s="3261">
        <v>0.13</v>
      </c>
    </row>
    <row r="161" spans="1:7">
      <c r="A161" s="3270" t="s">
        <v>29</v>
      </c>
      <c r="B161" s="3259" t="s">
        <v>2985</v>
      </c>
      <c r="C161" s="3260">
        <v>0.13</v>
      </c>
      <c r="D161" s="3260">
        <v>0.13</v>
      </c>
      <c r="E161" s="3260">
        <v>0.124</v>
      </c>
      <c r="F161" s="3260">
        <v>0.127</v>
      </c>
      <c r="G161" s="3261">
        <v>0.13</v>
      </c>
    </row>
    <row r="162" spans="1:7">
      <c r="A162" s="3270" t="s">
        <v>29</v>
      </c>
      <c r="B162" s="3259" t="s">
        <v>2990</v>
      </c>
      <c r="C162" s="3260">
        <v>0.1</v>
      </c>
      <c r="D162" s="3260">
        <v>0.1</v>
      </c>
      <c r="E162" s="3260">
        <v>0.1</v>
      </c>
      <c r="F162" s="3260">
        <v>0.121</v>
      </c>
      <c r="G162" s="3261">
        <v>0.105</v>
      </c>
    </row>
    <row r="163" spans="1:7">
      <c r="A163" s="3270" t="s">
        <v>29</v>
      </c>
      <c r="B163" s="3259" t="s">
        <v>2995</v>
      </c>
      <c r="C163" s="3260">
        <v>0.1</v>
      </c>
      <c r="D163" s="3260">
        <v>0.1</v>
      </c>
      <c r="E163" s="3260">
        <v>0.1</v>
      </c>
      <c r="F163" s="3260">
        <v>0.1</v>
      </c>
      <c r="G163" s="3261">
        <v>0.1</v>
      </c>
    </row>
    <row r="164" spans="1:7">
      <c r="A164" s="3270" t="s">
        <v>29</v>
      </c>
      <c r="B164" s="3259" t="s">
        <v>3000</v>
      </c>
      <c r="C164" s="3276"/>
      <c r="D164" s="3276"/>
      <c r="E164" s="3276"/>
      <c r="F164" s="3260">
        <v>0.1</v>
      </c>
      <c r="G164" s="3272"/>
    </row>
    <row r="165" spans="1:7">
      <c r="A165" s="3270" t="s">
        <v>29</v>
      </c>
      <c r="B165" s="3259" t="s">
        <v>3171</v>
      </c>
      <c r="C165" s="3260">
        <v>0.126</v>
      </c>
      <c r="D165" s="3260">
        <v>0.126</v>
      </c>
      <c r="E165" s="3260">
        <v>0.11899999999999999</v>
      </c>
      <c r="F165" s="3260">
        <v>0.13</v>
      </c>
      <c r="G165" s="3261">
        <v>0.128</v>
      </c>
    </row>
    <row r="166" spans="1:7">
      <c r="A166" s="3270" t="s">
        <v>29</v>
      </c>
      <c r="B166" s="3259" t="s">
        <v>3010</v>
      </c>
      <c r="C166" s="3260">
        <v>0.129</v>
      </c>
      <c r="D166" s="3260">
        <v>0.129</v>
      </c>
      <c r="E166" s="3260">
        <v>0.123</v>
      </c>
      <c r="F166" s="3260">
        <v>0.128</v>
      </c>
      <c r="G166" s="3261">
        <v>0.13</v>
      </c>
    </row>
    <row r="167" spans="1:7">
      <c r="A167" s="3270" t="s">
        <v>29</v>
      </c>
      <c r="B167" s="3259" t="s">
        <v>3014</v>
      </c>
      <c r="C167" s="3260">
        <v>0.125</v>
      </c>
      <c r="D167" s="3260">
        <v>0.125</v>
      </c>
      <c r="E167" s="3260">
        <v>0.11700000000000001</v>
      </c>
      <c r="F167" s="3260">
        <v>0.13</v>
      </c>
      <c r="G167" s="3261">
        <v>0.126</v>
      </c>
    </row>
    <row r="168" spans="1:7">
      <c r="A168" s="3270" t="s">
        <v>29</v>
      </c>
      <c r="B168" s="3259" t="s">
        <v>3019</v>
      </c>
      <c r="C168" s="3260">
        <v>0.128</v>
      </c>
      <c r="D168" s="3260">
        <v>0.128</v>
      </c>
      <c r="E168" s="3260">
        <v>0.123</v>
      </c>
      <c r="F168" s="3271"/>
      <c r="G168" s="3261">
        <v>0.13</v>
      </c>
    </row>
    <row r="169" spans="1:7">
      <c r="A169" s="3270" t="s">
        <v>29</v>
      </c>
      <c r="B169" s="3259" t="s">
        <v>3172</v>
      </c>
      <c r="C169" s="3276"/>
      <c r="D169" s="3276"/>
      <c r="E169" s="3276"/>
      <c r="F169" s="3260">
        <v>0.05</v>
      </c>
      <c r="G169" s="3272"/>
    </row>
    <row r="170" spans="1:7">
      <c r="A170" s="3270" t="s">
        <v>29</v>
      </c>
      <c r="B170" s="3259" t="s">
        <v>3173</v>
      </c>
      <c r="C170" s="3276"/>
      <c r="D170" s="3276"/>
      <c r="E170" s="3276"/>
      <c r="F170" s="3260">
        <v>0.05</v>
      </c>
      <c r="G170" s="3272"/>
    </row>
    <row r="171" spans="1:7">
      <c r="A171" s="3270" t="s">
        <v>29</v>
      </c>
      <c r="B171" s="3259" t="s">
        <v>3174</v>
      </c>
      <c r="C171" s="3276"/>
      <c r="D171" s="3276"/>
      <c r="E171" s="3276"/>
      <c r="F171" s="3260">
        <v>0.05</v>
      </c>
      <c r="G171" s="3277"/>
    </row>
    <row r="172" spans="1:7">
      <c r="A172" s="3270" t="s">
        <v>29</v>
      </c>
      <c r="B172" s="3259" t="s">
        <v>3175</v>
      </c>
      <c r="C172" s="3276"/>
      <c r="D172" s="3276"/>
      <c r="E172" s="3276"/>
      <c r="F172" s="3260">
        <v>0.05</v>
      </c>
      <c r="G172" s="3277"/>
    </row>
    <row r="173" spans="1:7">
      <c r="A173" s="3270" t="s">
        <v>29</v>
      </c>
      <c r="B173" s="3259" t="s">
        <v>3176</v>
      </c>
      <c r="C173" s="3276"/>
      <c r="D173" s="3276"/>
      <c r="E173" s="3276"/>
      <c r="F173" s="3260">
        <v>0.05</v>
      </c>
      <c r="G173" s="3272"/>
    </row>
    <row r="174" spans="1:7">
      <c r="A174" s="3270" t="s">
        <v>29</v>
      </c>
      <c r="B174" s="3259" t="s">
        <v>3177</v>
      </c>
      <c r="C174" s="3276"/>
      <c r="D174" s="3276"/>
      <c r="E174" s="3276"/>
      <c r="F174" s="3260">
        <v>0.05</v>
      </c>
      <c r="G174" s="3272"/>
    </row>
    <row r="175" spans="1:7">
      <c r="A175" s="3270" t="s">
        <v>29</v>
      </c>
      <c r="B175" s="3259" t="s">
        <v>3178</v>
      </c>
      <c r="C175" s="3276"/>
      <c r="D175" s="3276"/>
      <c r="E175" s="3276"/>
      <c r="F175" s="3260">
        <v>0.05</v>
      </c>
      <c r="G175" s="3272"/>
    </row>
    <row r="176" spans="1:7">
      <c r="A176" s="3270" t="s">
        <v>29</v>
      </c>
      <c r="B176" s="3259" t="s">
        <v>3179</v>
      </c>
      <c r="C176" s="3276"/>
      <c r="D176" s="3276"/>
      <c r="E176" s="3276"/>
      <c r="F176" s="3260">
        <v>0.05</v>
      </c>
      <c r="G176" s="3272"/>
    </row>
    <row r="177" spans="1:7">
      <c r="A177" s="3270" t="s">
        <v>29</v>
      </c>
      <c r="B177" s="3259" t="s">
        <v>3180</v>
      </c>
      <c r="C177" s="3271"/>
      <c r="D177" s="3271"/>
      <c r="E177" s="3271"/>
      <c r="F177" s="3260">
        <v>0.05</v>
      </c>
      <c r="G177" s="3277"/>
    </row>
    <row r="178" spans="1:7">
      <c r="A178" s="3270" t="s">
        <v>29</v>
      </c>
      <c r="B178" s="3259" t="s">
        <v>3181</v>
      </c>
      <c r="C178" s="3271"/>
      <c r="D178" s="3271"/>
      <c r="E178" s="3271"/>
      <c r="F178" s="3260">
        <v>0.05</v>
      </c>
      <c r="G178" s="3277"/>
    </row>
    <row r="179" spans="1:7">
      <c r="A179" s="3270" t="s">
        <v>29</v>
      </c>
      <c r="B179" s="3259" t="s">
        <v>3182</v>
      </c>
      <c r="C179" s="3271"/>
      <c r="D179" s="3271"/>
      <c r="E179" s="3271"/>
      <c r="F179" s="3260">
        <v>0.05</v>
      </c>
      <c r="G179" s="3277"/>
    </row>
    <row r="180" spans="1:7">
      <c r="A180" s="3270" t="s">
        <v>29</v>
      </c>
      <c r="B180" s="3259" t="s">
        <v>3183</v>
      </c>
      <c r="C180" s="3271"/>
      <c r="D180" s="3271"/>
      <c r="E180" s="3271"/>
      <c r="F180" s="3260">
        <v>0.05</v>
      </c>
      <c r="G180" s="3277"/>
    </row>
    <row r="181" spans="1:7">
      <c r="A181" s="3270" t="s">
        <v>29</v>
      </c>
      <c r="B181" s="3259" t="s">
        <v>3184</v>
      </c>
      <c r="C181" s="3271"/>
      <c r="D181" s="3271"/>
      <c r="E181" s="3271"/>
      <c r="F181" s="3260">
        <v>0.05</v>
      </c>
      <c r="G181" s="3277"/>
    </row>
    <row r="182" spans="1:7">
      <c r="A182" s="3270" t="s">
        <v>29</v>
      </c>
      <c r="B182" s="3259" t="s">
        <v>3185</v>
      </c>
      <c r="C182" s="3271"/>
      <c r="D182" s="3271"/>
      <c r="E182" s="3271"/>
      <c r="F182" s="3260">
        <v>0.05</v>
      </c>
      <c r="G182" s="3277"/>
    </row>
    <row r="183" spans="1:7">
      <c r="A183" s="3270" t="s">
        <v>29</v>
      </c>
      <c r="B183" s="3259" t="s">
        <v>3186</v>
      </c>
      <c r="C183" s="3271"/>
      <c r="D183" s="3271"/>
      <c r="E183" s="3271"/>
      <c r="F183" s="3260">
        <v>0.05</v>
      </c>
      <c r="G183" s="3277"/>
    </row>
    <row r="184" spans="1:7">
      <c r="A184" s="3270" t="s">
        <v>29</v>
      </c>
      <c r="B184" s="3259" t="s">
        <v>3187</v>
      </c>
      <c r="C184" s="3271"/>
      <c r="D184" s="3271"/>
      <c r="E184" s="3271"/>
      <c r="F184" s="3260">
        <v>0.05</v>
      </c>
      <c r="G184" s="3277"/>
    </row>
    <row r="185" spans="1:7">
      <c r="A185" s="3270" t="s">
        <v>29</v>
      </c>
      <c r="B185" s="3259" t="s">
        <v>3188</v>
      </c>
      <c r="C185" s="3271"/>
      <c r="D185" s="3271"/>
      <c r="E185" s="3271"/>
      <c r="F185" s="3260">
        <v>0.05</v>
      </c>
      <c r="G185" s="3277"/>
    </row>
    <row r="186" spans="1:7">
      <c r="A186" s="3270" t="s">
        <v>29</v>
      </c>
      <c r="B186" s="3259" t="s">
        <v>3189</v>
      </c>
      <c r="C186" s="3271"/>
      <c r="D186" s="3271"/>
      <c r="E186" s="3271"/>
      <c r="F186" s="3260">
        <v>0.05</v>
      </c>
      <c r="G186" s="3277"/>
    </row>
    <row r="187" spans="1:7">
      <c r="A187" s="3270" t="s">
        <v>29</v>
      </c>
      <c r="B187" s="3259" t="s">
        <v>3190</v>
      </c>
      <c r="C187" s="3271"/>
      <c r="D187" s="3271"/>
      <c r="E187" s="3271"/>
      <c r="F187" s="3260">
        <v>0.05</v>
      </c>
      <c r="G187" s="3277"/>
    </row>
    <row r="188" spans="1:7">
      <c r="A188" s="3270" t="s">
        <v>29</v>
      </c>
      <c r="B188" s="3259" t="s">
        <v>3191</v>
      </c>
      <c r="C188" s="3271"/>
      <c r="D188" s="3271"/>
      <c r="E188" s="3271"/>
      <c r="F188" s="3260">
        <v>0.05</v>
      </c>
      <c r="G188" s="3277"/>
    </row>
    <row r="189" spans="1:7" ht="14.25" thickBot="1">
      <c r="A189" s="3273" t="s">
        <v>29</v>
      </c>
      <c r="B189" s="3263" t="s">
        <v>3192</v>
      </c>
      <c r="C189" s="3265"/>
      <c r="D189" s="3265"/>
      <c r="E189" s="3265"/>
      <c r="F189" s="3264">
        <v>0.05</v>
      </c>
      <c r="G189" s="3278"/>
    </row>
    <row r="190" spans="1:7">
      <c r="A190" s="3269" t="s">
        <v>304</v>
      </c>
      <c r="B190" s="3255" t="s">
        <v>2848</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2884</v>
      </c>
      <c r="C199" s="3260">
        <v>0.13</v>
      </c>
      <c r="D199" s="3260">
        <v>0.13</v>
      </c>
      <c r="E199" s="3260">
        <v>0.13</v>
      </c>
      <c r="F199" s="3260">
        <v>0.13</v>
      </c>
      <c r="G199" s="3261">
        <v>0.13</v>
      </c>
    </row>
    <row r="200" spans="1:7">
      <c r="A200" s="3270" t="s">
        <v>304</v>
      </c>
      <c r="B200" s="3259" t="s">
        <v>2887</v>
      </c>
      <c r="C200" s="3276"/>
      <c r="D200" s="3276"/>
      <c r="E200" s="3276"/>
      <c r="F200" s="3260">
        <v>0.13</v>
      </c>
      <c r="G200" s="3272"/>
    </row>
    <row r="201" spans="1:7">
      <c r="A201" s="3270" t="s">
        <v>304</v>
      </c>
      <c r="B201" s="3259" t="s">
        <v>2892</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2895</v>
      </c>
      <c r="C203" s="3260">
        <v>0.129</v>
      </c>
      <c r="D203" s="3260">
        <v>0.129</v>
      </c>
      <c r="E203" s="3260">
        <v>0.13</v>
      </c>
      <c r="F203" s="3260">
        <v>0.13</v>
      </c>
      <c r="G203" s="3261">
        <v>0.13</v>
      </c>
    </row>
    <row r="204" spans="1:7">
      <c r="A204" s="3270" t="s">
        <v>304</v>
      </c>
      <c r="B204" s="3259" t="s">
        <v>2898</v>
      </c>
      <c r="C204" s="3260">
        <v>0.129</v>
      </c>
      <c r="D204" s="3260">
        <v>0.129</v>
      </c>
      <c r="E204" s="3260">
        <v>0.123</v>
      </c>
      <c r="F204" s="3260">
        <v>0.13</v>
      </c>
      <c r="G204" s="3261">
        <v>0.13</v>
      </c>
    </row>
    <row r="205" spans="1:7">
      <c r="A205" s="3270" t="s">
        <v>304</v>
      </c>
      <c r="B205" s="3259" t="s">
        <v>2900</v>
      </c>
      <c r="C205" s="3260">
        <v>0.13</v>
      </c>
      <c r="D205" s="3260">
        <v>0.13</v>
      </c>
      <c r="E205" s="3260">
        <v>0.13</v>
      </c>
      <c r="F205" s="3260">
        <v>0.13</v>
      </c>
      <c r="G205" s="3261">
        <v>0.13</v>
      </c>
    </row>
    <row r="206" spans="1:7">
      <c r="A206" s="3270" t="s">
        <v>304</v>
      </c>
      <c r="B206" s="3259" t="s">
        <v>2903</v>
      </c>
      <c r="C206" s="3260">
        <v>0.13</v>
      </c>
      <c r="D206" s="3260">
        <v>0.13</v>
      </c>
      <c r="E206" s="3260">
        <v>0.13</v>
      </c>
      <c r="F206" s="3260">
        <v>0.128</v>
      </c>
      <c r="G206" s="3261">
        <v>0.13</v>
      </c>
    </row>
    <row r="207" spans="1:7">
      <c r="A207" s="3270" t="s">
        <v>304</v>
      </c>
      <c r="B207" s="3259" t="s">
        <v>2905</v>
      </c>
      <c r="C207" s="3260">
        <v>0.13</v>
      </c>
      <c r="D207" s="3260">
        <v>0.13</v>
      </c>
      <c r="E207" s="3260">
        <v>0.13</v>
      </c>
      <c r="F207" s="3260">
        <v>0.13</v>
      </c>
      <c r="G207" s="3261">
        <v>0.13</v>
      </c>
    </row>
    <row r="208" spans="1:7">
      <c r="A208" s="3270" t="s">
        <v>304</v>
      </c>
      <c r="B208" s="3259" t="s">
        <v>2908</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2915</v>
      </c>
      <c r="C210" s="3260">
        <v>0.121</v>
      </c>
      <c r="D210" s="3260">
        <v>0.121</v>
      </c>
      <c r="E210" s="3260">
        <v>0.125</v>
      </c>
      <c r="F210" s="3260">
        <v>0.13</v>
      </c>
      <c r="G210" s="3261">
        <v>0.123</v>
      </c>
    </row>
    <row r="211" spans="1:7">
      <c r="A211" s="3270" t="s">
        <v>304</v>
      </c>
      <c r="B211" s="3259" t="s">
        <v>2918</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2930</v>
      </c>
      <c r="C214" s="3260">
        <v>0.128</v>
      </c>
      <c r="D214" s="3260">
        <v>0.128</v>
      </c>
      <c r="E214" s="3260">
        <v>0.13</v>
      </c>
      <c r="F214" s="3260">
        <v>0.13</v>
      </c>
      <c r="G214" s="3261">
        <v>0.13</v>
      </c>
    </row>
    <row r="215" spans="1:7">
      <c r="A215" s="3270" t="s">
        <v>304</v>
      </c>
      <c r="B215" s="3259" t="s">
        <v>2934</v>
      </c>
      <c r="C215" s="3260">
        <v>0.13</v>
      </c>
      <c r="D215" s="3260">
        <v>0.13</v>
      </c>
      <c r="E215" s="3260">
        <v>0.13</v>
      </c>
      <c r="F215" s="3260">
        <v>0.129</v>
      </c>
      <c r="G215" s="3261">
        <v>0.13</v>
      </c>
    </row>
    <row r="216" spans="1:7">
      <c r="A216" s="3270" t="s">
        <v>304</v>
      </c>
      <c r="B216" s="3259" t="s">
        <v>2941</v>
      </c>
      <c r="C216" s="3260">
        <v>0.13</v>
      </c>
      <c r="D216" s="3260">
        <v>0.13</v>
      </c>
      <c r="E216" s="3260">
        <v>0.13</v>
      </c>
      <c r="F216" s="3260">
        <v>0.13</v>
      </c>
      <c r="G216" s="3261">
        <v>0.13</v>
      </c>
    </row>
    <row r="217" spans="1:7">
      <c r="A217" s="3270" t="s">
        <v>304</v>
      </c>
      <c r="B217" s="3259" t="s">
        <v>2948</v>
      </c>
      <c r="C217" s="3260">
        <v>0.129</v>
      </c>
      <c r="D217" s="3260">
        <v>0.129</v>
      </c>
      <c r="E217" s="3260">
        <v>0.13</v>
      </c>
      <c r="F217" s="3260">
        <v>0.13</v>
      </c>
      <c r="G217" s="3261">
        <v>0.13</v>
      </c>
    </row>
    <row r="218" spans="1:7">
      <c r="A218" s="3270" t="s">
        <v>304</v>
      </c>
      <c r="B218" s="3259" t="s">
        <v>2954</v>
      </c>
      <c r="C218" s="3271"/>
      <c r="D218" s="3271"/>
      <c r="E218" s="3271"/>
      <c r="F218" s="3260">
        <v>0.05</v>
      </c>
      <c r="G218" s="3277"/>
    </row>
    <row r="219" spans="1:7">
      <c r="A219" s="3270" t="s">
        <v>304</v>
      </c>
      <c r="B219" s="3259" t="s">
        <v>2961</v>
      </c>
      <c r="C219" s="3271"/>
      <c r="D219" s="3271"/>
      <c r="E219" s="3271"/>
      <c r="F219" s="3260">
        <v>0.05</v>
      </c>
      <c r="G219" s="3277"/>
    </row>
    <row r="220" spans="1:7">
      <c r="A220" s="3270" t="s">
        <v>304</v>
      </c>
      <c r="B220" s="3259" t="s">
        <v>2967</v>
      </c>
      <c r="C220" s="3271"/>
      <c r="D220" s="3271"/>
      <c r="E220" s="3271"/>
      <c r="F220" s="3260">
        <v>0.05</v>
      </c>
      <c r="G220" s="3277"/>
    </row>
    <row r="221" spans="1:7">
      <c r="A221" s="3270" t="s">
        <v>304</v>
      </c>
      <c r="B221" s="3259" t="s">
        <v>2972</v>
      </c>
      <c r="C221" s="3271"/>
      <c r="D221" s="3271"/>
      <c r="E221" s="3271"/>
      <c r="F221" s="3260">
        <v>0.05</v>
      </c>
      <c r="G221" s="3277"/>
    </row>
    <row r="222" spans="1:7">
      <c r="A222" s="3270" t="s">
        <v>304</v>
      </c>
      <c r="B222" s="3259" t="s">
        <v>2976</v>
      </c>
      <c r="C222" s="3271"/>
      <c r="D222" s="3271"/>
      <c r="E222" s="3271"/>
      <c r="F222" s="3260">
        <v>0.05</v>
      </c>
      <c r="G222" s="3277"/>
    </row>
    <row r="223" spans="1:7">
      <c r="A223" s="3270" t="s">
        <v>304</v>
      </c>
      <c r="B223" s="3259" t="s">
        <v>2981</v>
      </c>
      <c r="C223" s="3271"/>
      <c r="D223" s="3271"/>
      <c r="E223" s="3271"/>
      <c r="F223" s="3260">
        <v>0.05</v>
      </c>
      <c r="G223" s="3277"/>
    </row>
    <row r="224" spans="1:7">
      <c r="A224" s="3270" t="s">
        <v>304</v>
      </c>
      <c r="B224" s="3259" t="s">
        <v>2986</v>
      </c>
      <c r="C224" s="3271"/>
      <c r="D224" s="3271"/>
      <c r="E224" s="3271"/>
      <c r="F224" s="3260">
        <v>0.05</v>
      </c>
      <c r="G224" s="3277"/>
    </row>
    <row r="225" spans="1:7">
      <c r="A225" s="3270" t="s">
        <v>304</v>
      </c>
      <c r="B225" s="3259" t="s">
        <v>2991</v>
      </c>
      <c r="C225" s="3271"/>
      <c r="D225" s="3271"/>
      <c r="E225" s="3271"/>
      <c r="F225" s="3260">
        <v>0.05</v>
      </c>
      <c r="G225" s="3277"/>
    </row>
    <row r="226" spans="1:7">
      <c r="A226" s="3270" t="s">
        <v>304</v>
      </c>
      <c r="B226" s="3259" t="s">
        <v>3193</v>
      </c>
      <c r="C226" s="3271"/>
      <c r="D226" s="3271"/>
      <c r="E226" s="3271"/>
      <c r="F226" s="3260">
        <v>0.05</v>
      </c>
      <c r="G226" s="3277"/>
    </row>
    <row r="227" spans="1:7">
      <c r="A227" s="3270" t="s">
        <v>304</v>
      </c>
      <c r="B227" s="3259" t="s">
        <v>3194</v>
      </c>
      <c r="C227" s="3271"/>
      <c r="D227" s="3271"/>
      <c r="E227" s="3271"/>
      <c r="F227" s="3260">
        <v>0.05</v>
      </c>
      <c r="G227" s="3277"/>
    </row>
    <row r="228" spans="1:7">
      <c r="A228" s="3270" t="s">
        <v>304</v>
      </c>
      <c r="B228" s="3259" t="s">
        <v>3195</v>
      </c>
      <c r="C228" s="3271"/>
      <c r="D228" s="3271"/>
      <c r="E228" s="3271"/>
      <c r="F228" s="3260">
        <v>0.05</v>
      </c>
      <c r="G228" s="3277"/>
    </row>
    <row r="229" spans="1:7">
      <c r="A229" s="3270" t="s">
        <v>304</v>
      </c>
      <c r="B229" s="3259" t="s">
        <v>3196</v>
      </c>
      <c r="C229" s="3271"/>
      <c r="D229" s="3271"/>
      <c r="E229" s="3271"/>
      <c r="F229" s="3260">
        <v>0.05</v>
      </c>
      <c r="G229" s="3277"/>
    </row>
    <row r="230" spans="1:7">
      <c r="A230" s="3270" t="s">
        <v>304</v>
      </c>
      <c r="B230" s="3259" t="s">
        <v>3197</v>
      </c>
      <c r="C230" s="3271"/>
      <c r="D230" s="3271"/>
      <c r="E230" s="3271"/>
      <c r="F230" s="3260">
        <v>0.05</v>
      </c>
      <c r="G230" s="3277"/>
    </row>
    <row r="231" spans="1:7">
      <c r="A231" s="3270" t="s">
        <v>304</v>
      </c>
      <c r="B231" s="3259" t="s">
        <v>3198</v>
      </c>
      <c r="C231" s="3271"/>
      <c r="D231" s="3271"/>
      <c r="E231" s="3271"/>
      <c r="F231" s="3260">
        <v>0.05</v>
      </c>
      <c r="G231" s="3277"/>
    </row>
    <row r="232" spans="1:7">
      <c r="A232" s="3270" t="s">
        <v>304</v>
      </c>
      <c r="B232" s="3259" t="s">
        <v>3199</v>
      </c>
      <c r="C232" s="3271"/>
      <c r="D232" s="3271"/>
      <c r="E232" s="3271"/>
      <c r="F232" s="3260">
        <v>0.05</v>
      </c>
      <c r="G232" s="3277"/>
    </row>
    <row r="233" spans="1:7" ht="14.25" thickBot="1">
      <c r="A233" s="3273" t="s">
        <v>304</v>
      </c>
      <c r="B233" s="3263" t="s">
        <v>3200</v>
      </c>
      <c r="C233" s="3265"/>
      <c r="D233" s="3265"/>
      <c r="E233" s="3265"/>
      <c r="F233" s="3264">
        <v>0.05</v>
      </c>
      <c r="G233" s="3278"/>
    </row>
    <row r="234" spans="1:7">
      <c r="A234" s="3269" t="s">
        <v>305</v>
      </c>
      <c r="B234" s="3255" t="s">
        <v>2849</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2869</v>
      </c>
      <c r="C238" s="3260">
        <v>0.14899999999999999</v>
      </c>
      <c r="D238" s="3260">
        <v>0.14899999999999999</v>
      </c>
      <c r="E238" s="3260">
        <v>0.15</v>
      </c>
      <c r="F238" s="3260">
        <v>0.15</v>
      </c>
      <c r="G238" s="3261">
        <v>0.15</v>
      </c>
    </row>
    <row r="239" spans="1:7">
      <c r="A239" s="3270" t="s">
        <v>305</v>
      </c>
      <c r="B239" s="3259" t="s">
        <v>2873</v>
      </c>
      <c r="C239" s="3260">
        <v>0.15</v>
      </c>
      <c r="D239" s="3260">
        <v>0.15</v>
      </c>
      <c r="E239" s="3260">
        <v>0.15</v>
      </c>
      <c r="F239" s="3260">
        <v>0.15</v>
      </c>
      <c r="G239" s="3261">
        <v>0.15</v>
      </c>
    </row>
    <row r="240" spans="1:7">
      <c r="A240" s="3270" t="s">
        <v>305</v>
      </c>
      <c r="B240" s="3259" t="s">
        <v>2878</v>
      </c>
      <c r="C240" s="3260">
        <v>0.15</v>
      </c>
      <c r="D240" s="3260">
        <v>0.15</v>
      </c>
      <c r="E240" s="3260">
        <v>0.15</v>
      </c>
      <c r="F240" s="3260">
        <v>0.15</v>
      </c>
      <c r="G240" s="3261">
        <v>0.15</v>
      </c>
    </row>
    <row r="241" spans="1:7">
      <c r="A241" s="3270" t="s">
        <v>305</v>
      </c>
      <c r="B241" s="3259" t="s">
        <v>2882</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2888</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2896</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2901</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2909</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2922</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2931</v>
      </c>
      <c r="C258" s="3260">
        <v>0.14299999999999999</v>
      </c>
      <c r="D258" s="3260">
        <v>0.14299999999999999</v>
      </c>
      <c r="E258" s="3260">
        <v>0.15</v>
      </c>
      <c r="F258" s="3260">
        <v>0.14799999999999999</v>
      </c>
      <c r="G258" s="3261">
        <v>0.14599999999999999</v>
      </c>
    </row>
    <row r="259" spans="1:7">
      <c r="A259" s="3270" t="s">
        <v>305</v>
      </c>
      <c r="B259" s="3259" t="s">
        <v>2935</v>
      </c>
      <c r="C259" s="3260">
        <v>0.14399999999999999</v>
      </c>
      <c r="D259" s="3260">
        <v>0.14399999999999999</v>
      </c>
      <c r="E259" s="3260">
        <v>0.14899999999999999</v>
      </c>
      <c r="F259" s="3260">
        <v>0.14699999999999999</v>
      </c>
      <c r="G259" s="3261">
        <v>0.14599999999999999</v>
      </c>
    </row>
    <row r="260" spans="1:7">
      <c r="A260" s="3270" t="s">
        <v>305</v>
      </c>
      <c r="B260" s="3259" t="s">
        <v>2942</v>
      </c>
      <c r="C260" s="3260">
        <v>0.109</v>
      </c>
      <c r="D260" s="3260">
        <v>0.111</v>
      </c>
      <c r="E260" s="3260">
        <v>0.13100000000000001</v>
      </c>
      <c r="F260" s="3260">
        <v>0.126</v>
      </c>
      <c r="G260" s="3261">
        <v>0.11899999999999999</v>
      </c>
    </row>
    <row r="261" spans="1:7">
      <c r="A261" s="3270" t="s">
        <v>305</v>
      </c>
      <c r="B261" s="3259" t="s">
        <v>2949</v>
      </c>
      <c r="C261" s="3260">
        <v>0.1</v>
      </c>
      <c r="D261" s="3260">
        <v>0.1</v>
      </c>
      <c r="E261" s="3260">
        <v>0.11799999999999999</v>
      </c>
      <c r="F261" s="3260">
        <v>0.108</v>
      </c>
      <c r="G261" s="3261">
        <v>0.107</v>
      </c>
    </row>
    <row r="262" spans="1:7">
      <c r="A262" s="3270" t="s">
        <v>305</v>
      </c>
      <c r="B262" s="3259" t="s">
        <v>2955</v>
      </c>
      <c r="C262" s="3260">
        <v>0.1</v>
      </c>
      <c r="D262" s="3260">
        <v>0.1</v>
      </c>
      <c r="E262" s="3260">
        <v>0.1</v>
      </c>
      <c r="F262" s="3260">
        <v>0.14099999999999999</v>
      </c>
      <c r="G262" s="3261">
        <v>0.1</v>
      </c>
    </row>
    <row r="263" spans="1:7">
      <c r="A263" s="3270" t="s">
        <v>305</v>
      </c>
      <c r="B263" s="3259" t="s">
        <v>2962</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2973</v>
      </c>
      <c r="C265" s="3271"/>
      <c r="D265" s="3271"/>
      <c r="E265" s="3271"/>
      <c r="F265" s="3260">
        <v>0.05</v>
      </c>
      <c r="G265" s="3277"/>
    </row>
    <row r="266" spans="1:7">
      <c r="A266" s="3270" t="s">
        <v>305</v>
      </c>
      <c r="B266" s="3259" t="s">
        <v>2977</v>
      </c>
      <c r="C266" s="3271"/>
      <c r="D266" s="3271"/>
      <c r="E266" s="3271"/>
      <c r="F266" s="3260">
        <v>0.05</v>
      </c>
      <c r="G266" s="3277"/>
    </row>
    <row r="267" spans="1:7">
      <c r="A267" s="3270" t="s">
        <v>305</v>
      </c>
      <c r="B267" s="3259" t="s">
        <v>2982</v>
      </c>
      <c r="C267" s="3271"/>
      <c r="D267" s="3271"/>
      <c r="E267" s="3271"/>
      <c r="F267" s="3260">
        <v>0.05</v>
      </c>
      <c r="G267" s="3277"/>
    </row>
    <row r="268" spans="1:7">
      <c r="A268" s="3270" t="s">
        <v>305</v>
      </c>
      <c r="B268" s="3259" t="s">
        <v>2987</v>
      </c>
      <c r="C268" s="3271"/>
      <c r="D268" s="3271"/>
      <c r="E268" s="3271"/>
      <c r="F268" s="3260">
        <v>0.05</v>
      </c>
      <c r="G268" s="3277"/>
    </row>
    <row r="269" spans="1:7">
      <c r="A269" s="3270" t="s">
        <v>305</v>
      </c>
      <c r="B269" s="3259" t="s">
        <v>2992</v>
      </c>
      <c r="C269" s="3271"/>
      <c r="D269" s="3271"/>
      <c r="E269" s="3271"/>
      <c r="F269" s="3260">
        <v>0.05</v>
      </c>
      <c r="G269" s="3277"/>
    </row>
    <row r="270" spans="1:7">
      <c r="A270" s="3270" t="s">
        <v>305</v>
      </c>
      <c r="B270" s="3259" t="s">
        <v>2997</v>
      </c>
      <c r="C270" s="3271"/>
      <c r="D270" s="3271"/>
      <c r="E270" s="3271"/>
      <c r="F270" s="3260">
        <v>0.05</v>
      </c>
      <c r="G270" s="3277"/>
    </row>
    <row r="271" spans="1:7">
      <c r="A271" s="3270" t="s">
        <v>305</v>
      </c>
      <c r="B271" s="3259" t="s">
        <v>3201</v>
      </c>
      <c r="C271" s="3271"/>
      <c r="D271" s="3271"/>
      <c r="E271" s="3271"/>
      <c r="F271" s="3260">
        <v>0.05</v>
      </c>
      <c r="G271" s="3277"/>
    </row>
    <row r="272" spans="1:7">
      <c r="A272" s="3270" t="s">
        <v>305</v>
      </c>
      <c r="B272" s="3259" t="s">
        <v>3202</v>
      </c>
      <c r="C272" s="3271"/>
      <c r="D272" s="3271"/>
      <c r="E272" s="3271"/>
      <c r="F272" s="3260">
        <v>0.05</v>
      </c>
      <c r="G272" s="3277"/>
    </row>
    <row r="273" spans="1:7">
      <c r="A273" s="3270" t="s">
        <v>305</v>
      </c>
      <c r="B273" s="3259" t="s">
        <v>3203</v>
      </c>
      <c r="C273" s="3271"/>
      <c r="D273" s="3271"/>
      <c r="E273" s="3271"/>
      <c r="F273" s="3260">
        <v>0.05</v>
      </c>
      <c r="G273" s="3277"/>
    </row>
    <row r="274" spans="1:7">
      <c r="A274" s="3270" t="s">
        <v>305</v>
      </c>
      <c r="B274" s="3259" t="s">
        <v>3204</v>
      </c>
      <c r="C274" s="3271"/>
      <c r="D274" s="3271"/>
      <c r="E274" s="3271"/>
      <c r="F274" s="3260">
        <v>0.05</v>
      </c>
      <c r="G274" s="3277"/>
    </row>
    <row r="275" spans="1:7">
      <c r="A275" s="3270" t="s">
        <v>305</v>
      </c>
      <c r="B275" s="3259" t="s">
        <v>3205</v>
      </c>
      <c r="C275" s="3271"/>
      <c r="D275" s="3271"/>
      <c r="E275" s="3271"/>
      <c r="F275" s="3260">
        <v>0.05</v>
      </c>
      <c r="G275" s="3277"/>
    </row>
    <row r="276" spans="1:7" ht="14.25" thickBot="1">
      <c r="A276" s="3273" t="s">
        <v>305</v>
      </c>
      <c r="B276" s="3263" t="s">
        <v>3206</v>
      </c>
      <c r="C276" s="3265"/>
      <c r="D276" s="3265"/>
      <c r="E276" s="3265"/>
      <c r="F276" s="3264">
        <v>0.05</v>
      </c>
      <c r="G276" s="3278"/>
    </row>
    <row r="277" spans="1:7">
      <c r="A277" s="3269" t="s">
        <v>306</v>
      </c>
      <c r="B277" s="3255" t="s">
        <v>2850</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2862</v>
      </c>
      <c r="C279" s="3260">
        <v>0.15</v>
      </c>
      <c r="D279" s="3260">
        <v>0.15</v>
      </c>
      <c r="E279" s="3260">
        <v>0.15</v>
      </c>
      <c r="F279" s="3260">
        <v>0.15</v>
      </c>
      <c r="G279" s="3261">
        <v>0.15</v>
      </c>
    </row>
    <row r="280" spans="1:7">
      <c r="A280" s="3270" t="s">
        <v>306</v>
      </c>
      <c r="B280" s="3259" t="s">
        <v>2866</v>
      </c>
      <c r="C280" s="3260">
        <v>0.15</v>
      </c>
      <c r="D280" s="3260">
        <v>0.15</v>
      </c>
      <c r="E280" s="3260">
        <v>0.15</v>
      </c>
      <c r="F280" s="3260">
        <v>0.15</v>
      </c>
      <c r="G280" s="3261">
        <v>0.15</v>
      </c>
    </row>
    <row r="281" spans="1:7">
      <c r="A281" s="3270" t="s">
        <v>306</v>
      </c>
      <c r="B281" s="3259" t="s">
        <v>2870</v>
      </c>
      <c r="C281" s="3260">
        <v>0.15</v>
      </c>
      <c r="D281" s="3260">
        <v>0.15</v>
      </c>
      <c r="E281" s="3260">
        <v>0.15</v>
      </c>
      <c r="F281" s="3260">
        <v>0.15</v>
      </c>
      <c r="G281" s="3261">
        <v>0.15</v>
      </c>
    </row>
    <row r="282" spans="1:7">
      <c r="A282" s="3270" t="s">
        <v>306</v>
      </c>
      <c r="B282" s="3259" t="s">
        <v>2874</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2889</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2894</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2904</v>
      </c>
      <c r="C293" s="3260">
        <v>0.15</v>
      </c>
      <c r="D293" s="3260">
        <v>0.15</v>
      </c>
      <c r="E293" s="3260">
        <v>0.15</v>
      </c>
      <c r="F293" s="3260">
        <v>0.14499999999999999</v>
      </c>
      <c r="G293" s="3261">
        <v>0.15</v>
      </c>
    </row>
    <row r="294" spans="1:7">
      <c r="A294" s="3270" t="s">
        <v>306</v>
      </c>
      <c r="B294" s="3259" t="s">
        <v>2906</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2923</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2936</v>
      </c>
      <c r="C302" s="3260">
        <v>0.15</v>
      </c>
      <c r="D302" s="3260">
        <v>0.15</v>
      </c>
      <c r="E302" s="3260">
        <v>0.15</v>
      </c>
      <c r="F302" s="3260">
        <v>0.14699999999999999</v>
      </c>
      <c r="G302" s="3261">
        <v>0.15</v>
      </c>
    </row>
    <row r="303" spans="1:7">
      <c r="A303" s="3270" t="s">
        <v>306</v>
      </c>
      <c r="B303" s="3259" t="s">
        <v>2943</v>
      </c>
      <c r="C303" s="3260">
        <v>0.15</v>
      </c>
      <c r="D303" s="3260">
        <v>0.15</v>
      </c>
      <c r="E303" s="3260">
        <v>0.15</v>
      </c>
      <c r="F303" s="3260">
        <v>0.14199999999999999</v>
      </c>
      <c r="G303" s="3261">
        <v>0.15</v>
      </c>
    </row>
    <row r="304" spans="1:7">
      <c r="A304" s="3270" t="s">
        <v>306</v>
      </c>
      <c r="B304" s="3259" t="s">
        <v>2950</v>
      </c>
      <c r="C304" s="3260">
        <v>0.15</v>
      </c>
      <c r="D304" s="3260">
        <v>0.15</v>
      </c>
      <c r="E304" s="3260">
        <v>0.15</v>
      </c>
      <c r="F304" s="3260">
        <v>0.14499999999999999</v>
      </c>
      <c r="G304" s="3261">
        <v>0.15</v>
      </c>
    </row>
    <row r="305" spans="1:7">
      <c r="A305" s="3270" t="s">
        <v>306</v>
      </c>
      <c r="B305" s="3259" t="s">
        <v>2956</v>
      </c>
      <c r="C305" s="3260">
        <v>0.15</v>
      </c>
      <c r="D305" s="3260">
        <v>0.15</v>
      </c>
      <c r="E305" s="3260">
        <v>0.15</v>
      </c>
      <c r="F305" s="3260">
        <v>0.111</v>
      </c>
      <c r="G305" s="3261">
        <v>0.15</v>
      </c>
    </row>
    <row r="306" spans="1:7">
      <c r="A306" s="3270" t="s">
        <v>306</v>
      </c>
      <c r="B306" s="3259" t="s">
        <v>2963</v>
      </c>
      <c r="C306" s="3260">
        <v>0.15</v>
      </c>
      <c r="D306" s="3260">
        <v>0.15</v>
      </c>
      <c r="E306" s="3260">
        <v>0.15</v>
      </c>
      <c r="F306" s="3260">
        <v>0.126</v>
      </c>
      <c r="G306" s="3261">
        <v>0.15</v>
      </c>
    </row>
    <row r="307" spans="1:7">
      <c r="A307" s="3270" t="s">
        <v>306</v>
      </c>
      <c r="B307" s="3259" t="s">
        <v>2968</v>
      </c>
      <c r="C307" s="3260">
        <v>0.15</v>
      </c>
      <c r="D307" s="3260">
        <v>0.15</v>
      </c>
      <c r="E307" s="3260">
        <v>0.15</v>
      </c>
      <c r="F307" s="3260">
        <v>0.12</v>
      </c>
      <c r="G307" s="3261">
        <v>0.15</v>
      </c>
    </row>
    <row r="308" spans="1:7">
      <c r="A308" s="3270" t="s">
        <v>306</v>
      </c>
      <c r="B308" s="3259" t="s">
        <v>2974</v>
      </c>
      <c r="C308" s="3260">
        <v>0.15</v>
      </c>
      <c r="D308" s="3260">
        <v>0.15</v>
      </c>
      <c r="E308" s="3260">
        <v>0.15</v>
      </c>
      <c r="F308" s="3260">
        <v>0.13</v>
      </c>
      <c r="G308" s="3261">
        <v>0.15</v>
      </c>
    </row>
    <row r="309" spans="1:7">
      <c r="A309" s="3270" t="s">
        <v>306</v>
      </c>
      <c r="B309" s="3259" t="s">
        <v>2978</v>
      </c>
      <c r="C309" s="3260">
        <v>0.15</v>
      </c>
      <c r="D309" s="3260">
        <v>0.15</v>
      </c>
      <c r="E309" s="3260">
        <v>0.15</v>
      </c>
      <c r="F309" s="3260">
        <v>0.14099999999999999</v>
      </c>
      <c r="G309" s="3261">
        <v>0.15</v>
      </c>
    </row>
    <row r="310" spans="1:7">
      <c r="A310" s="3270" t="s">
        <v>306</v>
      </c>
      <c r="B310" s="3259" t="s">
        <v>2983</v>
      </c>
      <c r="C310" s="3260">
        <v>0.15</v>
      </c>
      <c r="D310" s="3260">
        <v>0.15</v>
      </c>
      <c r="E310" s="3260">
        <v>0.15</v>
      </c>
      <c r="F310" s="3260">
        <v>0.15</v>
      </c>
      <c r="G310" s="3261">
        <v>0.15</v>
      </c>
    </row>
    <row r="311" spans="1:7">
      <c r="A311" s="3270" t="s">
        <v>306</v>
      </c>
      <c r="B311" s="3259" t="s">
        <v>2988</v>
      </c>
      <c r="C311" s="3260">
        <v>0.13200000000000001</v>
      </c>
      <c r="D311" s="3260">
        <v>0.13300000000000001</v>
      </c>
      <c r="E311" s="3260">
        <v>0.14499999999999999</v>
      </c>
      <c r="F311" s="3260">
        <v>0.14199999999999999</v>
      </c>
      <c r="G311" s="3261">
        <v>0.14000000000000001</v>
      </c>
    </row>
    <row r="312" spans="1:7">
      <c r="A312" s="3270" t="s">
        <v>306</v>
      </c>
      <c r="B312" s="3259" t="s">
        <v>2993</v>
      </c>
      <c r="C312" s="3260">
        <v>0.13800000000000001</v>
      </c>
      <c r="D312" s="3260">
        <v>0.14000000000000001</v>
      </c>
      <c r="E312" s="3260">
        <v>0.14599999999999999</v>
      </c>
      <c r="F312" s="3260">
        <v>0.14899999999999999</v>
      </c>
      <c r="G312" s="3261">
        <v>0.14199999999999999</v>
      </c>
    </row>
    <row r="313" spans="1:7">
      <c r="A313" s="3270" t="s">
        <v>306</v>
      </c>
      <c r="B313" s="3259" t="s">
        <v>2998</v>
      </c>
      <c r="C313" s="3260">
        <v>0.125</v>
      </c>
      <c r="D313" s="3260">
        <v>0.127</v>
      </c>
      <c r="E313" s="3260">
        <v>0.14399999999999999</v>
      </c>
      <c r="F313" s="3260">
        <v>0.115</v>
      </c>
      <c r="G313" s="3261">
        <v>0.13600000000000001</v>
      </c>
    </row>
    <row r="314" spans="1:7">
      <c r="A314" s="3270" t="s">
        <v>306</v>
      </c>
      <c r="B314" s="3259" t="s">
        <v>3207</v>
      </c>
      <c r="C314" s="3276"/>
      <c r="D314" s="3276"/>
      <c r="E314" s="3276"/>
      <c r="F314" s="3260">
        <v>0.05</v>
      </c>
      <c r="G314" s="3277"/>
    </row>
    <row r="315" spans="1:7">
      <c r="A315" s="3270" t="s">
        <v>306</v>
      </c>
      <c r="B315" s="3259" t="s">
        <v>3208</v>
      </c>
      <c r="C315" s="3276"/>
      <c r="D315" s="3276"/>
      <c r="E315" s="3276"/>
      <c r="F315" s="3260">
        <v>0.05</v>
      </c>
      <c r="G315" s="3277"/>
    </row>
    <row r="316" spans="1:7">
      <c r="A316" s="3270" t="s">
        <v>306</v>
      </c>
      <c r="B316" s="3259" t="s">
        <v>3209</v>
      </c>
      <c r="C316" s="3271"/>
      <c r="D316" s="3271"/>
      <c r="E316" s="3271"/>
      <c r="F316" s="3260">
        <v>0.05</v>
      </c>
      <c r="G316" s="3277"/>
    </row>
    <row r="317" spans="1:7">
      <c r="A317" s="3270" t="s">
        <v>306</v>
      </c>
      <c r="B317" s="3259" t="s">
        <v>3210</v>
      </c>
      <c r="C317" s="3271"/>
      <c r="D317" s="3271"/>
      <c r="E317" s="3271"/>
      <c r="F317" s="3260">
        <v>0.05</v>
      </c>
      <c r="G317" s="3277"/>
    </row>
    <row r="318" spans="1:7">
      <c r="A318" s="3270" t="s">
        <v>306</v>
      </c>
      <c r="B318" s="3259" t="s">
        <v>3211</v>
      </c>
      <c r="C318" s="3271"/>
      <c r="D318" s="3271"/>
      <c r="E318" s="3271"/>
      <c r="F318" s="3260">
        <v>0.05</v>
      </c>
      <c r="G318" s="3277"/>
    </row>
    <row r="319" spans="1:7">
      <c r="A319" s="3270" t="s">
        <v>306</v>
      </c>
      <c r="B319" s="3259" t="s">
        <v>3212</v>
      </c>
      <c r="C319" s="3271"/>
      <c r="D319" s="3271"/>
      <c r="E319" s="3271"/>
      <c r="F319" s="3260">
        <v>0.05</v>
      </c>
      <c r="G319" s="3277"/>
    </row>
    <row r="320" spans="1:7">
      <c r="A320" s="3270" t="s">
        <v>306</v>
      </c>
      <c r="B320" s="3259" t="s">
        <v>3213</v>
      </c>
      <c r="C320" s="3271"/>
      <c r="D320" s="3271"/>
      <c r="E320" s="3271"/>
      <c r="F320" s="3260">
        <v>0.05</v>
      </c>
      <c r="G320" s="3277"/>
    </row>
    <row r="321" spans="1:7">
      <c r="A321" s="3270" t="s">
        <v>306</v>
      </c>
      <c r="B321" s="3259" t="s">
        <v>3214</v>
      </c>
      <c r="C321" s="3271"/>
      <c r="D321" s="3271"/>
      <c r="E321" s="3271"/>
      <c r="F321" s="3260">
        <v>0.05</v>
      </c>
      <c r="G321" s="3277"/>
    </row>
    <row r="322" spans="1:7">
      <c r="A322" s="3270" t="s">
        <v>306</v>
      </c>
      <c r="B322" s="3259" t="s">
        <v>3215</v>
      </c>
      <c r="C322" s="3271"/>
      <c r="D322" s="3271"/>
      <c r="E322" s="3271"/>
      <c r="F322" s="3260">
        <v>0.05</v>
      </c>
      <c r="G322" s="3277"/>
    </row>
    <row r="323" spans="1:7">
      <c r="A323" s="3270" t="s">
        <v>306</v>
      </c>
      <c r="B323" s="3259" t="s">
        <v>3216</v>
      </c>
      <c r="C323" s="3271"/>
      <c r="D323" s="3271"/>
      <c r="E323" s="3271"/>
      <c r="F323" s="3260">
        <v>0.05</v>
      </c>
      <c r="G323" s="3277"/>
    </row>
    <row r="324" spans="1:7">
      <c r="A324" s="3270" t="s">
        <v>306</v>
      </c>
      <c r="B324" s="3259" t="s">
        <v>3217</v>
      </c>
      <c r="C324" s="3271"/>
      <c r="D324" s="3271"/>
      <c r="E324" s="3271"/>
      <c r="F324" s="3260">
        <v>0.05</v>
      </c>
      <c r="G324" s="3277"/>
    </row>
    <row r="325" spans="1:7">
      <c r="A325" s="3270" t="s">
        <v>306</v>
      </c>
      <c r="B325" s="3259" t="s">
        <v>3218</v>
      </c>
      <c r="C325" s="3271"/>
      <c r="D325" s="3271"/>
      <c r="E325" s="3271"/>
      <c r="F325" s="3260">
        <v>0.05</v>
      </c>
      <c r="G325" s="3277"/>
    </row>
    <row r="326" spans="1:7" ht="14.25" thickBot="1">
      <c r="A326" s="3273" t="s">
        <v>306</v>
      </c>
      <c r="B326" s="3263" t="s">
        <v>3219</v>
      </c>
      <c r="C326" s="3265"/>
      <c r="D326" s="3265"/>
      <c r="E326" s="3265"/>
      <c r="F326" s="3264">
        <v>0.05</v>
      </c>
      <c r="G326" s="3278"/>
    </row>
    <row r="327" spans="1:7">
      <c r="A327" s="3269" t="s">
        <v>307</v>
      </c>
      <c r="B327" s="3255" t="s">
        <v>2851</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2863</v>
      </c>
      <c r="C329" s="3260">
        <v>0.15</v>
      </c>
      <c r="D329" s="3260">
        <v>0.15</v>
      </c>
      <c r="E329" s="3260">
        <v>0.15</v>
      </c>
      <c r="F329" s="3260">
        <v>0.15</v>
      </c>
      <c r="G329" s="3261">
        <v>0.15</v>
      </c>
    </row>
    <row r="330" spans="1:7">
      <c r="A330" s="3270" t="s">
        <v>307</v>
      </c>
      <c r="B330" s="3259" t="s">
        <v>2867</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2875</v>
      </c>
      <c r="C332" s="3260">
        <v>0.15</v>
      </c>
      <c r="D332" s="3260">
        <v>0.15</v>
      </c>
      <c r="E332" s="3260">
        <v>0.15</v>
      </c>
      <c r="F332" s="3260">
        <v>0.15</v>
      </c>
      <c r="G332" s="3261">
        <v>0.15</v>
      </c>
    </row>
    <row r="333" spans="1:7">
      <c r="A333" s="3270" t="s">
        <v>307</v>
      </c>
      <c r="B333" s="3259" t="s">
        <v>2879</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2885</v>
      </c>
      <c r="C336" s="3260">
        <v>0.15</v>
      </c>
      <c r="D336" s="3260">
        <v>0.15</v>
      </c>
      <c r="E336" s="3260">
        <v>0.15</v>
      </c>
      <c r="F336" s="3260">
        <v>0.14199999999999999</v>
      </c>
      <c r="G336" s="3261">
        <v>0.15</v>
      </c>
    </row>
    <row r="337" spans="1:7">
      <c r="A337" s="3270" t="s">
        <v>307</v>
      </c>
      <c r="B337" s="3259" t="s">
        <v>2890</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2897</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2902</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2910</v>
      </c>
      <c r="C345" s="3260">
        <v>0.15</v>
      </c>
      <c r="D345" s="3260">
        <v>0.15</v>
      </c>
      <c r="E345" s="3260">
        <v>0.15</v>
      </c>
      <c r="F345" s="3260">
        <v>0.13800000000000001</v>
      </c>
      <c r="G345" s="3261">
        <v>0.15</v>
      </c>
    </row>
    <row r="346" spans="1:7">
      <c r="A346" s="3270" t="s">
        <v>307</v>
      </c>
      <c r="B346" s="3259" t="s">
        <v>2912</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2919</v>
      </c>
      <c r="C348" s="3260">
        <v>0.15</v>
      </c>
      <c r="D348" s="3260">
        <v>0.15</v>
      </c>
      <c r="E348" s="3260">
        <v>0.15</v>
      </c>
      <c r="F348" s="3260">
        <v>0.14399999999999999</v>
      </c>
      <c r="G348" s="3261">
        <v>0.15</v>
      </c>
    </row>
    <row r="349" spans="1:7">
      <c r="A349" s="3270" t="s">
        <v>307</v>
      </c>
      <c r="B349" s="3259" t="s">
        <v>2924</v>
      </c>
      <c r="C349" s="3260">
        <v>0.15</v>
      </c>
      <c r="D349" s="3260">
        <v>0.15</v>
      </c>
      <c r="E349" s="3260">
        <v>0.15</v>
      </c>
      <c r="F349" s="3260">
        <v>0.15</v>
      </c>
      <c r="G349" s="3261">
        <v>0.15</v>
      </c>
    </row>
    <row r="350" spans="1:7">
      <c r="A350" s="3270" t="s">
        <v>307</v>
      </c>
      <c r="B350" s="3259" t="s">
        <v>2927</v>
      </c>
      <c r="C350" s="3260">
        <v>0.15</v>
      </c>
      <c r="D350" s="3260">
        <v>0.15</v>
      </c>
      <c r="E350" s="3260">
        <v>0.15</v>
      </c>
      <c r="F350" s="3260">
        <v>0.14699999999999999</v>
      </c>
      <c r="G350" s="3261">
        <v>0.15</v>
      </c>
    </row>
    <row r="351" spans="1:7">
      <c r="A351" s="3270" t="s">
        <v>307</v>
      </c>
      <c r="B351" s="3259" t="s">
        <v>2932</v>
      </c>
      <c r="C351" s="3260">
        <v>0.15</v>
      </c>
      <c r="D351" s="3260">
        <v>0.15</v>
      </c>
      <c r="E351" s="3260">
        <v>0.15</v>
      </c>
      <c r="F351" s="3260">
        <v>0.13</v>
      </c>
      <c r="G351" s="3261">
        <v>0.15</v>
      </c>
    </row>
    <row r="352" spans="1:7">
      <c r="A352" s="3270" t="s">
        <v>307</v>
      </c>
      <c r="B352" s="3259" t="s">
        <v>2937</v>
      </c>
      <c r="C352" s="3260">
        <v>0.15</v>
      </c>
      <c r="D352" s="3260">
        <v>0.15</v>
      </c>
      <c r="E352" s="3260">
        <v>0.15</v>
      </c>
      <c r="F352" s="3260">
        <v>0.14599999999999999</v>
      </c>
      <c r="G352" s="3261">
        <v>0.15</v>
      </c>
    </row>
    <row r="353" spans="1:7">
      <c r="A353" s="3270" t="s">
        <v>307</v>
      </c>
      <c r="B353" s="3259" t="s">
        <v>2944</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2957</v>
      </c>
      <c r="C355" s="3260">
        <v>0.15</v>
      </c>
      <c r="D355" s="3260">
        <v>0.15</v>
      </c>
      <c r="E355" s="3260">
        <v>0.15</v>
      </c>
      <c r="F355" s="3260">
        <v>0.15</v>
      </c>
      <c r="G355" s="3261">
        <v>0.15</v>
      </c>
    </row>
    <row r="356" spans="1:7">
      <c r="A356" s="3270" t="s">
        <v>307</v>
      </c>
      <c r="B356" s="3259" t="s">
        <v>2964</v>
      </c>
      <c r="C356" s="3260">
        <v>0.15</v>
      </c>
      <c r="D356" s="3260">
        <v>0.15</v>
      </c>
      <c r="E356" s="3260">
        <v>0.15</v>
      </c>
      <c r="F356" s="3260">
        <v>0.15</v>
      </c>
      <c r="G356" s="3261">
        <v>0.15</v>
      </c>
    </row>
    <row r="357" spans="1:7" ht="14.25" thickBot="1">
      <c r="A357" s="3273" t="s">
        <v>307</v>
      </c>
      <c r="B357" s="3263" t="s">
        <v>2969</v>
      </c>
      <c r="C357" s="3264">
        <v>0.126</v>
      </c>
      <c r="D357" s="3264">
        <v>0.127</v>
      </c>
      <c r="E357" s="3264">
        <v>0.14299999999999999</v>
      </c>
      <c r="F357" s="3264">
        <v>0.125</v>
      </c>
      <c r="G357" s="3266">
        <v>0.129</v>
      </c>
    </row>
    <row r="358" spans="1:7">
      <c r="A358" s="3269" t="s">
        <v>2838</v>
      </c>
      <c r="B358" s="3255" t="s">
        <v>2852</v>
      </c>
      <c r="C358" s="3256">
        <v>0.15</v>
      </c>
      <c r="D358" s="3256">
        <v>0.15</v>
      </c>
      <c r="E358" s="3256">
        <v>0.15</v>
      </c>
      <c r="F358" s="3256">
        <v>0.15</v>
      </c>
      <c r="G358" s="3257">
        <v>0.15</v>
      </c>
    </row>
    <row r="359" spans="1:7">
      <c r="A359" s="3270" t="s">
        <v>2838</v>
      </c>
      <c r="B359" s="3259" t="s">
        <v>2858</v>
      </c>
      <c r="C359" s="3260">
        <v>0.1</v>
      </c>
      <c r="D359" s="3260">
        <v>0.1</v>
      </c>
      <c r="E359" s="3260">
        <v>0.1</v>
      </c>
      <c r="F359" s="3260">
        <v>0.1</v>
      </c>
      <c r="G359" s="3261">
        <v>0.1</v>
      </c>
    </row>
    <row r="360" spans="1:7">
      <c r="A360" s="3270" t="s">
        <v>2838</v>
      </c>
      <c r="B360" s="3259" t="s">
        <v>2864</v>
      </c>
      <c r="C360" s="3260">
        <v>0.15</v>
      </c>
      <c r="D360" s="3260">
        <v>0.15</v>
      </c>
      <c r="E360" s="3260">
        <v>0.15</v>
      </c>
      <c r="F360" s="3260">
        <v>0.14899999999999999</v>
      </c>
      <c r="G360" s="3261">
        <v>0.15</v>
      </c>
    </row>
    <row r="361" spans="1:7">
      <c r="A361" s="3270" t="s">
        <v>2838</v>
      </c>
      <c r="B361" s="3259" t="s">
        <v>153</v>
      </c>
      <c r="C361" s="3260">
        <v>0.15</v>
      </c>
      <c r="D361" s="3260">
        <v>0.15</v>
      </c>
      <c r="E361" s="3260">
        <v>0.15</v>
      </c>
      <c r="F361" s="3260">
        <v>0.115</v>
      </c>
      <c r="G361" s="3261">
        <v>0.15</v>
      </c>
    </row>
    <row r="362" spans="1:7">
      <c r="A362" s="3270" t="s">
        <v>2838</v>
      </c>
      <c r="B362" s="3259" t="s">
        <v>2871</v>
      </c>
      <c r="C362" s="3260">
        <v>0.15</v>
      </c>
      <c r="D362" s="3260">
        <v>0.15</v>
      </c>
      <c r="E362" s="3260">
        <v>0.15</v>
      </c>
      <c r="F362" s="3260">
        <v>0.106</v>
      </c>
      <c r="G362" s="3261">
        <v>0.15</v>
      </c>
    </row>
    <row r="363" spans="1:7">
      <c r="A363" s="3270" t="s">
        <v>2838</v>
      </c>
      <c r="B363" s="3259" t="s">
        <v>2876</v>
      </c>
      <c r="C363" s="3260">
        <v>0.15</v>
      </c>
      <c r="D363" s="3260">
        <v>0.15</v>
      </c>
      <c r="E363" s="3260">
        <v>0.15</v>
      </c>
      <c r="F363" s="3260">
        <v>0.14699999999999999</v>
      </c>
      <c r="G363" s="3261">
        <v>0.15</v>
      </c>
    </row>
    <row r="364" spans="1:7">
      <c r="A364" s="3270" t="s">
        <v>2838</v>
      </c>
      <c r="B364" s="3259" t="s">
        <v>2880</v>
      </c>
      <c r="C364" s="3260">
        <v>0.15</v>
      </c>
      <c r="D364" s="3260">
        <v>0.15</v>
      </c>
      <c r="E364" s="3260">
        <v>0.15</v>
      </c>
      <c r="F364" s="3260">
        <v>0.14799999999999999</v>
      </c>
      <c r="G364" s="3261">
        <v>0.15</v>
      </c>
    </row>
    <row r="365" spans="1:7">
      <c r="A365" s="3270" t="s">
        <v>2838</v>
      </c>
      <c r="B365" s="3259" t="s">
        <v>200</v>
      </c>
      <c r="C365" s="3260">
        <v>0.15</v>
      </c>
      <c r="D365" s="3260">
        <v>0.15</v>
      </c>
      <c r="E365" s="3260">
        <v>0.15</v>
      </c>
      <c r="F365" s="3260">
        <v>0.15</v>
      </c>
      <c r="G365" s="3261">
        <v>0.15</v>
      </c>
    </row>
    <row r="366" spans="1:7">
      <c r="A366" s="3270" t="s">
        <v>2838</v>
      </c>
      <c r="B366" s="3259" t="s">
        <v>2883</v>
      </c>
      <c r="C366" s="3260">
        <v>0.15</v>
      </c>
      <c r="D366" s="3260">
        <v>0.15</v>
      </c>
      <c r="E366" s="3260">
        <v>0.15</v>
      </c>
      <c r="F366" s="3260">
        <v>0.15</v>
      </c>
      <c r="G366" s="3261">
        <v>0.15</v>
      </c>
    </row>
    <row r="367" spans="1:7">
      <c r="A367" s="3270" t="s">
        <v>2838</v>
      </c>
      <c r="B367" s="3259" t="s">
        <v>2886</v>
      </c>
      <c r="C367" s="3260">
        <v>0.15</v>
      </c>
      <c r="D367" s="3260">
        <v>0.15</v>
      </c>
      <c r="E367" s="3260">
        <v>0.15</v>
      </c>
      <c r="F367" s="3260">
        <v>0.14699999999999999</v>
      </c>
      <c r="G367" s="3261">
        <v>0.15</v>
      </c>
    </row>
    <row r="368" spans="1:7">
      <c r="A368" s="3270" t="s">
        <v>2838</v>
      </c>
      <c r="B368" s="3259" t="s">
        <v>2891</v>
      </c>
      <c r="C368" s="3260">
        <v>0.15</v>
      </c>
      <c r="D368" s="3260">
        <v>0.15</v>
      </c>
      <c r="E368" s="3260">
        <v>0.15</v>
      </c>
      <c r="F368" s="3260">
        <v>0.13600000000000001</v>
      </c>
      <c r="G368" s="3261">
        <v>0.15</v>
      </c>
    </row>
    <row r="369" spans="1:7">
      <c r="A369" s="3270" t="s">
        <v>2838</v>
      </c>
      <c r="B369" s="3259" t="s">
        <v>214</v>
      </c>
      <c r="C369" s="3260">
        <v>0.15</v>
      </c>
      <c r="D369" s="3260">
        <v>0.15</v>
      </c>
      <c r="E369" s="3260">
        <v>0.15</v>
      </c>
      <c r="F369" s="3260">
        <v>0.14399999999999999</v>
      </c>
      <c r="G369" s="3261">
        <v>0.15</v>
      </c>
    </row>
    <row r="370" spans="1:7">
      <c r="A370" s="3270" t="s">
        <v>2838</v>
      </c>
      <c r="B370" s="3259" t="s">
        <v>221</v>
      </c>
      <c r="C370" s="3260">
        <v>0.15</v>
      </c>
      <c r="D370" s="3260">
        <v>0.15</v>
      </c>
      <c r="E370" s="3260">
        <v>0.15</v>
      </c>
      <c r="F370" s="3260">
        <v>0.14599999999999999</v>
      </c>
      <c r="G370" s="3261">
        <v>0.15</v>
      </c>
    </row>
    <row r="371" spans="1:7">
      <c r="A371" s="3270" t="s">
        <v>2838</v>
      </c>
      <c r="B371" s="3259" t="s">
        <v>229</v>
      </c>
      <c r="C371" s="3260">
        <v>0.15</v>
      </c>
      <c r="D371" s="3260">
        <v>0.15</v>
      </c>
      <c r="E371" s="3260">
        <v>0.15</v>
      </c>
      <c r="F371" s="3260">
        <v>0.12</v>
      </c>
      <c r="G371" s="3261">
        <v>0.15</v>
      </c>
    </row>
    <row r="372" spans="1:7">
      <c r="A372" s="3270" t="s">
        <v>2838</v>
      </c>
      <c r="B372" s="3259" t="s">
        <v>2899</v>
      </c>
      <c r="C372" s="3260">
        <v>0.15</v>
      </c>
      <c r="D372" s="3260">
        <v>0.15</v>
      </c>
      <c r="E372" s="3260">
        <v>0.15</v>
      </c>
      <c r="F372" s="3260">
        <v>0.14299999999999999</v>
      </c>
      <c r="G372" s="3261">
        <v>0.15</v>
      </c>
    </row>
    <row r="373" spans="1:7">
      <c r="A373" s="3270" t="s">
        <v>2838</v>
      </c>
      <c r="B373" s="3259" t="s">
        <v>258</v>
      </c>
      <c r="C373" s="3260">
        <v>0.15</v>
      </c>
      <c r="D373" s="3260">
        <v>0.15</v>
      </c>
      <c r="E373" s="3260">
        <v>0.15</v>
      </c>
      <c r="F373" s="3260">
        <v>0.14599999999999999</v>
      </c>
      <c r="G373" s="3261">
        <v>0.15</v>
      </c>
    </row>
    <row r="374" spans="1:7">
      <c r="A374" s="3270" t="s">
        <v>2838</v>
      </c>
      <c r="B374" s="3259" t="s">
        <v>266</v>
      </c>
      <c r="C374" s="3260">
        <v>0.15</v>
      </c>
      <c r="D374" s="3260">
        <v>0.15</v>
      </c>
      <c r="E374" s="3260">
        <v>0.15</v>
      </c>
      <c r="F374" s="3260">
        <v>0.14399999999999999</v>
      </c>
      <c r="G374" s="3261">
        <v>0.15</v>
      </c>
    </row>
    <row r="375" spans="1:7">
      <c r="A375" s="3270" t="s">
        <v>2838</v>
      </c>
      <c r="B375" s="3259" t="s">
        <v>2907</v>
      </c>
      <c r="C375" s="3260">
        <v>0.15</v>
      </c>
      <c r="D375" s="3260">
        <v>0.15</v>
      </c>
      <c r="E375" s="3260">
        <v>0.15</v>
      </c>
      <c r="F375" s="3260">
        <v>0.13</v>
      </c>
      <c r="G375" s="3261">
        <v>0.15</v>
      </c>
    </row>
    <row r="376" spans="1:7">
      <c r="A376" s="3270" t="s">
        <v>2838</v>
      </c>
      <c r="B376" s="3259" t="s">
        <v>277</v>
      </c>
      <c r="C376" s="3260">
        <v>0.15</v>
      </c>
      <c r="D376" s="3260">
        <v>0.15</v>
      </c>
      <c r="E376" s="3260">
        <v>0.15</v>
      </c>
      <c r="F376" s="3260">
        <v>0.14199999999999999</v>
      </c>
      <c r="G376" s="3261">
        <v>0.15</v>
      </c>
    </row>
    <row r="377" spans="1:7" ht="14.25" thickBot="1">
      <c r="A377" s="3273" t="s">
        <v>2838</v>
      </c>
      <c r="B377" s="3263" t="s">
        <v>2913</v>
      </c>
      <c r="C377" s="3264">
        <v>0.15</v>
      </c>
      <c r="D377" s="3264">
        <v>0.15</v>
      </c>
      <c r="E377" s="3264">
        <v>0.15</v>
      </c>
      <c r="F377" s="3264">
        <v>0.14000000000000001</v>
      </c>
      <c r="G377" s="3266">
        <v>0.15</v>
      </c>
    </row>
    <row r="378" spans="1:7">
      <c r="A378" s="3269" t="s">
        <v>2839</v>
      </c>
      <c r="B378" s="3255" t="s">
        <v>2853</v>
      </c>
      <c r="C378" s="3256">
        <v>0.15</v>
      </c>
      <c r="D378" s="3256">
        <v>0.15</v>
      </c>
      <c r="E378" s="3256">
        <v>0.15</v>
      </c>
      <c r="F378" s="3256">
        <v>0.107</v>
      </c>
      <c r="G378" s="3257">
        <v>0.15</v>
      </c>
    </row>
    <row r="379" spans="1:7">
      <c r="A379" s="3270" t="s">
        <v>2839</v>
      </c>
      <c r="B379" s="3259" t="s">
        <v>2859</v>
      </c>
      <c r="C379" s="3260">
        <v>0.15</v>
      </c>
      <c r="D379" s="3260">
        <v>0.15</v>
      </c>
      <c r="E379" s="3260">
        <v>0.15</v>
      </c>
      <c r="F379" s="3260">
        <v>0.115</v>
      </c>
      <c r="G379" s="3261">
        <v>0.14899999999999999</v>
      </c>
    </row>
    <row r="380" spans="1:7">
      <c r="A380" s="3270" t="s">
        <v>2839</v>
      </c>
      <c r="B380" s="3259" t="s">
        <v>2865</v>
      </c>
      <c r="C380" s="3260">
        <v>0.15</v>
      </c>
      <c r="D380" s="3260">
        <v>0.15</v>
      </c>
      <c r="E380" s="3260">
        <v>0.15</v>
      </c>
      <c r="F380" s="3260">
        <v>0.1</v>
      </c>
      <c r="G380" s="3261">
        <v>0.14799999999999999</v>
      </c>
    </row>
    <row r="381" spans="1:7">
      <c r="A381" s="3270" t="s">
        <v>2839</v>
      </c>
      <c r="B381" s="3259" t="s">
        <v>2868</v>
      </c>
      <c r="C381" s="3260">
        <v>0.15</v>
      </c>
      <c r="D381" s="3260">
        <v>0.15</v>
      </c>
      <c r="E381" s="3260">
        <v>0.15</v>
      </c>
      <c r="F381" s="3260">
        <v>0.126</v>
      </c>
      <c r="G381" s="3261">
        <v>0.15</v>
      </c>
    </row>
    <row r="382" spans="1:7">
      <c r="A382" s="3270" t="s">
        <v>2839</v>
      </c>
      <c r="B382" s="3259" t="s">
        <v>2872</v>
      </c>
      <c r="C382" s="3260">
        <v>0.15</v>
      </c>
      <c r="D382" s="3260">
        <v>0.15</v>
      </c>
      <c r="E382" s="3260">
        <v>0.15</v>
      </c>
      <c r="F382" s="3260">
        <v>0.15</v>
      </c>
      <c r="G382" s="3261">
        <v>0.15</v>
      </c>
    </row>
    <row r="383" spans="1:7">
      <c r="A383" s="3270" t="s">
        <v>2839</v>
      </c>
      <c r="B383" s="3259" t="s">
        <v>2877</v>
      </c>
      <c r="C383" s="3260">
        <v>0.15</v>
      </c>
      <c r="D383" s="3260">
        <v>0.15</v>
      </c>
      <c r="E383" s="3260">
        <v>0.15</v>
      </c>
      <c r="F383" s="3260">
        <v>0.14699999999999999</v>
      </c>
      <c r="G383" s="3261">
        <v>0.15</v>
      </c>
    </row>
    <row r="384" spans="1:7" ht="14.25" thickBot="1">
      <c r="A384" s="3280" t="s">
        <v>2839</v>
      </c>
      <c r="B384" s="3281" t="s">
        <v>2881</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826" t="s">
        <v>3220</v>
      </c>
      <c r="B1" s="3826"/>
      <c r="C1" s="3826"/>
      <c r="D1" s="3826"/>
      <c r="E1" s="3826"/>
      <c r="F1" s="3827"/>
    </row>
    <row r="2" spans="1:6">
      <c r="A2" s="3286" t="s">
        <v>3221</v>
      </c>
      <c r="B2" s="3287"/>
      <c r="C2" s="3287"/>
      <c r="D2" s="3287"/>
      <c r="E2" s="3287"/>
      <c r="F2" s="3287"/>
    </row>
    <row r="3" spans="1:6">
      <c r="A3" s="3286" t="s">
        <v>3222</v>
      </c>
      <c r="B3" s="3287"/>
      <c r="C3" s="3287"/>
      <c r="D3" s="3287"/>
      <c r="E3" s="3287"/>
      <c r="F3" s="3288" t="s">
        <v>3223</v>
      </c>
    </row>
    <row r="4" spans="1:6">
      <c r="A4" s="3289" t="s">
        <v>667</v>
      </c>
      <c r="B4" s="3289" t="s">
        <v>668</v>
      </c>
      <c r="C4" s="3289" t="s">
        <v>21</v>
      </c>
      <c r="D4" s="3289" t="s">
        <v>669</v>
      </c>
      <c r="E4" s="3289" t="s">
        <v>3</v>
      </c>
      <c r="F4" s="3289" t="s">
        <v>3224</v>
      </c>
    </row>
    <row r="5" spans="1:6">
      <c r="A5" s="3290" t="s">
        <v>670</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6">
        <f>基准地价修正!G23</f>
        <v>45352</v>
      </c>
      <c r="B1" s="3205" t="s">
        <v>3358</v>
      </c>
      <c r="C1" s="3206"/>
      <c r="D1" s="3206"/>
      <c r="E1" s="3206"/>
      <c r="F1" s="3206"/>
      <c r="G1" s="3206"/>
      <c r="H1" s="3206"/>
      <c r="I1" s="3206"/>
      <c r="J1" s="3160"/>
      <c r="K1" s="3206" t="s">
        <v>454</v>
      </c>
      <c r="L1" s="3206"/>
      <c r="M1" s="3206"/>
      <c r="N1" s="3206"/>
      <c r="O1" s="3206"/>
      <c r="P1" s="3206"/>
      <c r="Q1" s="3160"/>
      <c r="R1" s="3828" t="s">
        <v>456</v>
      </c>
      <c r="S1" s="3829"/>
      <c r="T1" s="3829"/>
      <c r="U1" s="3829"/>
      <c r="V1" s="3829"/>
      <c r="W1" s="3829"/>
      <c r="X1" s="3160"/>
      <c r="Y1" s="3828" t="s">
        <v>457</v>
      </c>
      <c r="Z1" s="3829"/>
      <c r="AA1" s="3829"/>
      <c r="AB1" s="3829"/>
      <c r="AC1" s="3829"/>
      <c r="AD1" s="3829"/>
    </row>
    <row r="2" spans="1:30" s="3138" customFormat="1" ht="14.25" thickBot="1">
      <c r="B2" s="3139"/>
      <c r="C2" s="3140"/>
      <c r="D2" s="3141" t="s">
        <v>2798</v>
      </c>
      <c r="E2" s="3142" t="s">
        <v>2799</v>
      </c>
      <c r="F2" s="3142" t="s">
        <v>2800</v>
      </c>
      <c r="G2" s="3142" t="s">
        <v>2801</v>
      </c>
      <c r="H2" s="3142" t="s">
        <v>2802</v>
      </c>
      <c r="I2" s="3142" t="s">
        <v>2619</v>
      </c>
      <c r="J2" s="3143"/>
      <c r="K2" s="3141" t="s">
        <v>2798</v>
      </c>
      <c r="L2" s="3142" t="s">
        <v>2799</v>
      </c>
      <c r="M2" s="3142" t="s">
        <v>2800</v>
      </c>
      <c r="N2" s="3142" t="s">
        <v>2801</v>
      </c>
      <c r="O2" s="3142" t="s">
        <v>2803</v>
      </c>
      <c r="P2" s="3142" t="s">
        <v>2619</v>
      </c>
      <c r="Q2" s="3143"/>
      <c r="R2" s="3141" t="s">
        <v>2798</v>
      </c>
      <c r="S2" s="3142" t="s">
        <v>2799</v>
      </c>
      <c r="T2" s="3142" t="s">
        <v>2800</v>
      </c>
      <c r="U2" s="3142" t="s">
        <v>2804</v>
      </c>
      <c r="V2" s="3142" t="s">
        <v>2805</v>
      </c>
      <c r="W2" s="3142" t="s">
        <v>2619</v>
      </c>
      <c r="X2" s="3143"/>
      <c r="Y2" s="3141" t="s">
        <v>2798</v>
      </c>
      <c r="Z2" s="3142" t="s">
        <v>2799</v>
      </c>
      <c r="AA2" s="3142" t="s">
        <v>2800</v>
      </c>
      <c r="AB2" s="3142" t="s">
        <v>2806</v>
      </c>
      <c r="AC2" s="3142" t="s">
        <v>2805</v>
      </c>
      <c r="AD2" s="3142" t="s">
        <v>2619</v>
      </c>
    </row>
    <row r="3" spans="1:30" s="3156" customFormat="1" ht="12.75">
      <c r="A3" s="3144" t="s">
        <v>2807</v>
      </c>
      <c r="B3" s="3145"/>
      <c r="C3" s="3146"/>
      <c r="D3" s="3146">
        <f>ROUND(AVERAGEIF(D4:D18,"&lt;&gt;0"),2)</f>
        <v>0.73</v>
      </c>
      <c r="E3" s="3146">
        <f t="shared" ref="E3:H3" si="0">ROUND(AVERAGEIF(E4:E18,"&lt;&gt;0"),2)</f>
        <v>0.4</v>
      </c>
      <c r="F3" s="3146">
        <f t="shared" si="0"/>
        <v>0.2</v>
      </c>
      <c r="G3" s="3146">
        <f t="shared" si="0"/>
        <v>0.78</v>
      </c>
      <c r="H3" s="3146">
        <f t="shared" si="0"/>
        <v>0.63</v>
      </c>
      <c r="I3" s="3146">
        <f>F3</f>
        <v>0.2</v>
      </c>
      <c r="J3" s="3147"/>
      <c r="K3" s="3148">
        <f>ROUND(AVERAGEIF(K4:K18,"&lt;&gt;0"),4)</f>
        <v>7.3000000000000001E-3</v>
      </c>
      <c r="L3" s="3149">
        <f t="shared" ref="L3:O3" si="1">ROUND(AVERAGEIF(L4:L18,"&lt;&gt;0"),4)</f>
        <v>4.0000000000000001E-3</v>
      </c>
      <c r="M3" s="3149">
        <f t="shared" si="1"/>
        <v>2E-3</v>
      </c>
      <c r="N3" s="3149">
        <f t="shared" si="1"/>
        <v>7.7999999999999996E-3</v>
      </c>
      <c r="O3" s="3149">
        <f t="shared" si="1"/>
        <v>6.3E-3</v>
      </c>
      <c r="P3" s="3149">
        <f>M3</f>
        <v>2E-3</v>
      </c>
      <c r="Q3" s="3147"/>
      <c r="R3" s="3150">
        <f>ROUND(SUMPRODUCT(PRODUCT(1+K4:K18)),4)</f>
        <v>1.0908</v>
      </c>
      <c r="S3" s="3151">
        <f t="shared" ref="S3:V3" si="2">ROUND(SUMPRODUCT(PRODUCT(1+L4:L18)),4)</f>
        <v>1.0488</v>
      </c>
      <c r="T3" s="3151">
        <f t="shared" si="2"/>
        <v>1.024</v>
      </c>
      <c r="U3" s="3151">
        <f t="shared" si="2"/>
        <v>1.0980000000000001</v>
      </c>
      <c r="V3" s="3151">
        <f t="shared" si="2"/>
        <v>1.0779000000000001</v>
      </c>
      <c r="W3" s="3150">
        <f>T3</f>
        <v>1.024</v>
      </c>
      <c r="X3" s="3147"/>
      <c r="Y3" s="3152">
        <f>ROUND(AVERAGEIF(Y5:Y18,"&lt;&gt;0"),4)</f>
        <v>8.6999999999999994E-3</v>
      </c>
      <c r="Z3" s="3153">
        <f t="shared" ref="Z3:AC3" si="3">ROUND(AVERAGEIF(Z5:Z18,"&lt;&gt;0"),4)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4" t="s">
        <v>3361</v>
      </c>
      <c r="B5" s="3172">
        <v>2024</v>
      </c>
      <c r="C5" s="3173">
        <v>2</v>
      </c>
      <c r="D5" s="3174">
        <v>0</v>
      </c>
      <c r="E5" s="3174">
        <v>0</v>
      </c>
      <c r="F5" s="3174">
        <v>0</v>
      </c>
      <c r="G5" s="3174">
        <v>0</v>
      </c>
      <c r="H5" s="3174">
        <v>0</v>
      </c>
      <c r="I5" s="3175">
        <f t="shared" ref="I5:I18" si="4">F5</f>
        <v>0</v>
      </c>
      <c r="J5" s="3176"/>
      <c r="K5" s="3177">
        <f t="shared" ref="K5:O18" si="5">D5/100</f>
        <v>0</v>
      </c>
      <c r="L5" s="3167">
        <f t="shared" si="5"/>
        <v>0</v>
      </c>
      <c r="M5" s="3167">
        <f t="shared" si="5"/>
        <v>0</v>
      </c>
      <c r="N5" s="3167">
        <f t="shared" si="5"/>
        <v>0</v>
      </c>
      <c r="O5" s="3167">
        <f t="shared" si="5"/>
        <v>0</v>
      </c>
      <c r="P5" s="3167">
        <f>M5</f>
        <v>0</v>
      </c>
      <c r="Q5" s="3176"/>
      <c r="R5" s="3178">
        <f>ROUND(IF(项目基本情况!$B$8="出让",SUMPRODUCT(PRODUCT(1+K5:$K$18)),SUMPRODUCT(PRODUCT(1+K5:$K$17))),4)</f>
        <v>1.0804</v>
      </c>
      <c r="S5" s="3178">
        <f>ROUND(IF(项目基本情况!$B$8="出让",SUMPRODUCT(PRODUCT(1+L5:$L$18)),SUMPRODUCT(PRODUCT(1+L5:$L$17))),4)</f>
        <v>1.0471999999999999</v>
      </c>
      <c r="T5" s="3178">
        <f>ROUND(IF(项目基本情况!$B$8="出让",SUMPRODUCT(PRODUCT(1+M5:$M$18)),SUMPRODUCT(PRODUCT(1+M5:$M$17))),4)</f>
        <v>1.0266</v>
      </c>
      <c r="U5" s="3178">
        <f>ROUND(IF(项目基本情况!$B$8="出让",SUMPRODUCT(PRODUCT(1+N5:$N$18)),SUMPRODUCT(PRODUCT(1+N5:$N$17))),4)</f>
        <v>1.0859000000000001</v>
      </c>
      <c r="V5" s="3178">
        <f>ROUND(IF(项目基本情况!$B$8="出让",SUMPRODUCT(PRODUCT(1+O5:$O$18)),SUMPRODUCT(PRODUCT(1+O5:$O$17))),4)</f>
        <v>1.0741000000000001</v>
      </c>
      <c r="W5" s="3178">
        <f>T5</f>
        <v>1.0266</v>
      </c>
      <c r="X5" s="3176"/>
      <c r="Y5" s="3179">
        <f>IF(D5=0,0,ROUND(AVERAGE(D5:D18)/100,4))</f>
        <v>0</v>
      </c>
      <c r="Z5" s="3179">
        <f t="shared" ref="Z5:AC5" si="6">IF(E5=0,0,ROUND(AVERAGE(E5:E18)/100,4))</f>
        <v>0</v>
      </c>
      <c r="AA5" s="3179">
        <f t="shared" si="6"/>
        <v>0</v>
      </c>
      <c r="AB5" s="3179">
        <f t="shared" si="6"/>
        <v>0</v>
      </c>
      <c r="AC5" s="3179">
        <f t="shared" si="6"/>
        <v>0</v>
      </c>
      <c r="AD5" s="3179">
        <f t="shared" ref="AD5:AD17" si="7">AA5</f>
        <v>0</v>
      </c>
    </row>
    <row r="6" spans="1:30" s="3180" customFormat="1" ht="12.75">
      <c r="A6" s="2204" t="s">
        <v>3362</v>
      </c>
      <c r="B6" s="3172">
        <v>2024</v>
      </c>
      <c r="C6" s="3173">
        <v>1</v>
      </c>
      <c r="D6" s="3174">
        <v>0</v>
      </c>
      <c r="E6" s="3174">
        <v>0</v>
      </c>
      <c r="F6" s="3174">
        <v>0</v>
      </c>
      <c r="G6" s="3174">
        <v>0</v>
      </c>
      <c r="H6" s="3191">
        <v>0</v>
      </c>
      <c r="I6" s="3175">
        <v>0</v>
      </c>
      <c r="J6" s="3176"/>
      <c r="K6" s="3177">
        <f t="shared" ref="K6" si="8">D6/100</f>
        <v>0</v>
      </c>
      <c r="L6" s="3167">
        <f t="shared" ref="L6" si="9">E6/100</f>
        <v>0</v>
      </c>
      <c r="M6" s="3167">
        <f t="shared" ref="M6" si="10">F6/100</f>
        <v>0</v>
      </c>
      <c r="N6" s="3167">
        <f t="shared" ref="N6" si="11">G6/100</f>
        <v>0</v>
      </c>
      <c r="O6" s="3167">
        <f t="shared" ref="O6" si="12">H6/100</f>
        <v>0</v>
      </c>
      <c r="P6" s="3167">
        <f t="shared" ref="P6" si="13">M6</f>
        <v>0</v>
      </c>
      <c r="Q6" s="3176"/>
      <c r="R6" s="3178">
        <f>ROUND(IF(项目基本情况!$B$8="出让",SUMPRODUCT(PRODUCT(1+K6:$K$18)),SUMPRODUCT(PRODUCT(1+K6:$K$17))),4)</f>
        <v>1.0804</v>
      </c>
      <c r="S6" s="3178">
        <f>ROUND(IF(项目基本情况!$B$8="出让",SUMPRODUCT(PRODUCT(1+L6:$L$18)),SUMPRODUCT(PRODUCT(1+L6:$L$17))),4)</f>
        <v>1.0471999999999999</v>
      </c>
      <c r="T6" s="3178">
        <f>ROUND(IF(项目基本情况!$B$8="出让",SUMPRODUCT(PRODUCT(1+M6:$M$18)),SUMPRODUCT(PRODUCT(1+M6:$M$17))),4)</f>
        <v>1.0266</v>
      </c>
      <c r="U6" s="3178">
        <f>ROUND(IF(项目基本情况!$B$8="出让",SUMPRODUCT(PRODUCT(1+N6:$N$18)),SUMPRODUCT(PRODUCT(1+N6:$N$17))),4)</f>
        <v>1.0859000000000001</v>
      </c>
      <c r="V6" s="3178">
        <f>ROUND(IF(项目基本情况!$B$8="出让",SUMPRODUCT(PRODUCT(1+O6:$O$18)),SUMPRODUCT(PRODUCT(1+O6:$O$17))),4)</f>
        <v>1.0741000000000001</v>
      </c>
      <c r="W6" s="3178">
        <f t="shared" ref="W6" si="14">T6</f>
        <v>1.0266</v>
      </c>
      <c r="X6" s="3176"/>
      <c r="Y6" s="3179"/>
      <c r="Z6" s="3179"/>
      <c r="AA6" s="3179"/>
      <c r="AB6" s="3179"/>
      <c r="AC6" s="3179"/>
      <c r="AD6" s="3179"/>
    </row>
    <row r="7" spans="1:30" s="3190" customFormat="1" ht="12.75">
      <c r="A7" s="3181" t="s">
        <v>3364</v>
      </c>
      <c r="B7" s="3182">
        <v>2023</v>
      </c>
      <c r="C7" s="3183">
        <v>4</v>
      </c>
      <c r="D7" s="3184">
        <v>0.19</v>
      </c>
      <c r="E7" s="3184">
        <v>0.24</v>
      </c>
      <c r="F7" s="3184">
        <v>-0.16</v>
      </c>
      <c r="G7" s="3184">
        <v>0.17</v>
      </c>
      <c r="H7" s="3185">
        <v>0.61</v>
      </c>
      <c r="I7" s="3186">
        <f>F7</f>
        <v>-0.16</v>
      </c>
      <c r="J7" s="3187"/>
      <c r="K7" s="3188">
        <f t="shared" si="5"/>
        <v>1.9E-3</v>
      </c>
      <c r="L7" s="3189">
        <f t="shared" si="5"/>
        <v>2.3999999999999998E-3</v>
      </c>
      <c r="M7" s="3189">
        <f t="shared" si="5"/>
        <v>-1.6000000000000001E-3</v>
      </c>
      <c r="N7" s="3189">
        <f t="shared" si="5"/>
        <v>1.7000000000000001E-3</v>
      </c>
      <c r="O7" s="3189">
        <f t="shared" si="5"/>
        <v>6.0999999999999995E-3</v>
      </c>
      <c r="P7" s="3189">
        <f t="shared" ref="P7" si="15">M7</f>
        <v>-1.6000000000000001E-3</v>
      </c>
      <c r="Q7" s="3187"/>
      <c r="R7" s="3187">
        <f>ROUND(IF(项目基本情况!$B$8="出让",SUMPRODUCT(PRODUCT(1+K7:$K$18)),SUMPRODUCT(PRODUCT(1+K7:$K$17))),4)</f>
        <v>1.0804</v>
      </c>
      <c r="S7" s="3187">
        <f>ROUND(IF(项目基本情况!$B$8="出让",SUMPRODUCT(PRODUCT(1+L7:$L$18)),SUMPRODUCT(PRODUCT(1+L7:$L$17))),4)</f>
        <v>1.0471999999999999</v>
      </c>
      <c r="T7" s="3187">
        <f>ROUND(IF(项目基本情况!$B$8="出让",SUMPRODUCT(PRODUCT(1+M7:$M$18)),SUMPRODUCT(PRODUCT(1+M7:$M$17))),4)</f>
        <v>1.0266</v>
      </c>
      <c r="U7" s="3187">
        <f>ROUND(IF(项目基本情况!$B$8="出让",SUMPRODUCT(PRODUCT(1+N7:$N$18)),SUMPRODUCT(PRODUCT(1+N7:$N$17))),4)</f>
        <v>1.0859000000000001</v>
      </c>
      <c r="V7" s="3187">
        <f>ROUND(IF(项目基本情况!$B$8="出让",SUMPRODUCT(PRODUCT(1+O7:$O$18)),SUMPRODUCT(PRODUCT(1+O7:$O$17))),4)</f>
        <v>1.0741000000000001</v>
      </c>
      <c r="W7" s="3187">
        <f t="shared" ref="W7" si="16">T7</f>
        <v>1.0266</v>
      </c>
      <c r="X7" s="3187"/>
      <c r="Y7" s="3189"/>
      <c r="Z7" s="3189"/>
      <c r="AA7" s="3189"/>
      <c r="AB7" s="3189"/>
      <c r="AC7" s="3189"/>
      <c r="AD7" s="3189"/>
    </row>
    <row r="8" spans="1:30" s="3180" customFormat="1" ht="12.75">
      <c r="A8" s="3171" t="s">
        <v>3365</v>
      </c>
      <c r="B8" s="3172">
        <v>2023</v>
      </c>
      <c r="C8" s="3173">
        <v>3</v>
      </c>
      <c r="D8" s="3174">
        <v>0.25</v>
      </c>
      <c r="E8" s="3174">
        <v>0.5</v>
      </c>
      <c r="F8" s="3174">
        <v>0.31</v>
      </c>
      <c r="G8" s="3174">
        <v>0.21</v>
      </c>
      <c r="H8" s="3191">
        <v>0.43</v>
      </c>
      <c r="I8" s="3175">
        <f t="shared" si="4"/>
        <v>0.31</v>
      </c>
      <c r="J8" s="3176"/>
      <c r="K8" s="3177">
        <f t="shared" ref="K8:K10" si="17">D8/100</f>
        <v>2.5000000000000001E-3</v>
      </c>
      <c r="L8" s="3167">
        <f t="shared" ref="L8:L10" si="18">E8/100</f>
        <v>5.0000000000000001E-3</v>
      </c>
      <c r="M8" s="3167">
        <f t="shared" ref="M8:M10" si="19">F8/100</f>
        <v>3.0999999999999999E-3</v>
      </c>
      <c r="N8" s="3167">
        <f t="shared" ref="N8:N10" si="20">G8/100</f>
        <v>2.0999999999999999E-3</v>
      </c>
      <c r="O8" s="3167">
        <f t="shared" ref="O8:O10" si="21">H8/100</f>
        <v>4.3E-3</v>
      </c>
      <c r="P8" s="3167">
        <f t="shared" ref="P8:P10" si="22">M8</f>
        <v>3.0999999999999999E-3</v>
      </c>
      <c r="Q8" s="3176"/>
      <c r="R8" s="3178">
        <f>ROUND(IF(项目基本情况!$B$8="出让",SUMPRODUCT(PRODUCT(1+K8:$K$18)),SUMPRODUCT(PRODUCT(1+K8:$K$17))),4)</f>
        <v>1.0783</v>
      </c>
      <c r="S8" s="3178">
        <f>ROUND(IF(项目基本情况!$B$8="出让",SUMPRODUCT(PRODUCT(1+L8:$L$18)),SUMPRODUCT(PRODUCT(1+L8:$L$17))),4)</f>
        <v>1.0447</v>
      </c>
      <c r="T8" s="3178">
        <f>ROUND(IF(项目基本情况!$B$8="出让",SUMPRODUCT(PRODUCT(1+M8:$M$18)),SUMPRODUCT(PRODUCT(1+M8:$M$17))),4)</f>
        <v>1.0282</v>
      </c>
      <c r="U8" s="3178">
        <f>ROUND(IF(项目基本情况!$B$8="出让",SUMPRODUCT(PRODUCT(1+N8:$N$18)),SUMPRODUCT(PRODUCT(1+N8:$N$17))),4)</f>
        <v>1.0841000000000001</v>
      </c>
      <c r="V8" s="3178">
        <f>ROUND(IF(项目基本情况!$B$8="出让",SUMPRODUCT(PRODUCT(1+O8:$O$18)),SUMPRODUCT(PRODUCT(1+O8:$O$17))),4)</f>
        <v>1.0674999999999999</v>
      </c>
      <c r="W8" s="3178">
        <f t="shared" ref="W8:W9" si="23">T8</f>
        <v>1.0282</v>
      </c>
      <c r="X8" s="3176"/>
      <c r="Y8" s="3179"/>
      <c r="Z8" s="3179"/>
      <c r="AA8" s="3179"/>
      <c r="AB8" s="3179"/>
      <c r="AC8" s="3179"/>
      <c r="AD8" s="3179"/>
    </row>
    <row r="9" spans="1:30" s="3180" customFormat="1" ht="12.75">
      <c r="A9" s="3171" t="s">
        <v>3357</v>
      </c>
      <c r="B9" s="3172">
        <v>2023</v>
      </c>
      <c r="C9" s="3173">
        <v>2</v>
      </c>
      <c r="D9" s="3174">
        <v>0.91</v>
      </c>
      <c r="E9" s="3174">
        <v>0.66</v>
      </c>
      <c r="F9" s="3174">
        <v>0.47</v>
      </c>
      <c r="G9" s="3174">
        <v>0.96</v>
      </c>
      <c r="H9" s="3191">
        <v>0.71</v>
      </c>
      <c r="I9" s="3175">
        <f t="shared" si="4"/>
        <v>0.47</v>
      </c>
      <c r="J9" s="3176"/>
      <c r="K9" s="3177">
        <f t="shared" si="17"/>
        <v>9.1000000000000004E-3</v>
      </c>
      <c r="L9" s="3167">
        <f t="shared" si="18"/>
        <v>6.6E-3</v>
      </c>
      <c r="M9" s="3167">
        <f t="shared" si="19"/>
        <v>4.6999999999999993E-3</v>
      </c>
      <c r="N9" s="3167">
        <f t="shared" si="20"/>
        <v>9.5999999999999992E-3</v>
      </c>
      <c r="O9" s="3167">
        <f t="shared" si="21"/>
        <v>7.0999999999999995E-3</v>
      </c>
      <c r="P9" s="3167">
        <f t="shared" si="22"/>
        <v>4.6999999999999993E-3</v>
      </c>
      <c r="Q9" s="3176"/>
      <c r="R9" s="3178">
        <f>ROUND(IF(项目基本情况!$B$8="出让",SUMPRODUCT(PRODUCT(1+K9:$K$18)),SUMPRODUCT(PRODUCT(1+K9:$K$17))),4)</f>
        <v>1.0755999999999999</v>
      </c>
      <c r="S9" s="3178">
        <f>ROUND(IF(项目基本情况!$B$8="出让",SUMPRODUCT(PRODUCT(1+L9:$L$18)),SUMPRODUCT(PRODUCT(1+L9:$L$17))),4)</f>
        <v>1.0395000000000001</v>
      </c>
      <c r="T9" s="3178">
        <f>ROUND(IF(项目基本情况!$B$8="出让",SUMPRODUCT(PRODUCT(1+M9:$M$18)),SUMPRODUCT(PRODUCT(1+M9:$M$17))),4)</f>
        <v>1.0250999999999999</v>
      </c>
      <c r="U9" s="3178">
        <f>ROUND(IF(项目基本情况!$B$8="出让",SUMPRODUCT(PRODUCT(1+N9:$N$18)),SUMPRODUCT(PRODUCT(1+N9:$N$17))),4)</f>
        <v>1.0818000000000001</v>
      </c>
      <c r="V9" s="3178">
        <f>ROUND(IF(项目基本情况!$B$8="出让",SUMPRODUCT(PRODUCT(1+O9:$O$18)),SUMPRODUCT(PRODUCT(1+O9:$O$17))),4)</f>
        <v>1.0629999999999999</v>
      </c>
      <c r="W9" s="3178">
        <f t="shared" si="23"/>
        <v>1.0250999999999999</v>
      </c>
      <c r="X9" s="3176"/>
      <c r="Y9" s="3179"/>
      <c r="Z9" s="3179"/>
      <c r="AA9" s="3179"/>
      <c r="AB9" s="3179"/>
      <c r="AC9" s="3179"/>
      <c r="AD9" s="3179"/>
    </row>
    <row r="10" spans="1:30" s="3180" customFormat="1" ht="12.75">
      <c r="A10" s="3171" t="s">
        <v>3356</v>
      </c>
      <c r="B10" s="3172">
        <v>2023</v>
      </c>
      <c r="C10" s="3173">
        <v>1</v>
      </c>
      <c r="D10" s="3174">
        <v>0.89</v>
      </c>
      <c r="E10" s="3174">
        <v>0.74</v>
      </c>
      <c r="F10" s="3174">
        <v>0.56999999999999995</v>
      </c>
      <c r="G10" s="3174">
        <v>0.92</v>
      </c>
      <c r="H10" s="3191">
        <v>0.5</v>
      </c>
      <c r="I10" s="3175">
        <f t="shared" si="4"/>
        <v>0.56999999999999995</v>
      </c>
      <c r="J10" s="3176"/>
      <c r="K10" s="3177">
        <f t="shared" si="17"/>
        <v>8.8999999999999999E-3</v>
      </c>
      <c r="L10" s="3167">
        <f t="shared" si="18"/>
        <v>7.4000000000000003E-3</v>
      </c>
      <c r="M10" s="3167">
        <f t="shared" si="19"/>
        <v>5.6999999999999993E-3</v>
      </c>
      <c r="N10" s="3167">
        <f t="shared" si="20"/>
        <v>9.1999999999999998E-3</v>
      </c>
      <c r="O10" s="3167">
        <f t="shared" si="21"/>
        <v>5.0000000000000001E-3</v>
      </c>
      <c r="P10" s="3167">
        <f t="shared" si="22"/>
        <v>5.6999999999999993E-3</v>
      </c>
      <c r="Q10" s="3176"/>
      <c r="R10" s="3178">
        <f>ROUND(IF(项目基本情况!$B$8="出让",SUMPRODUCT(PRODUCT(1+K10:$K$18)),SUMPRODUCT(PRODUCT(1+K10:$K$17))),4)</f>
        <v>1.0659000000000001</v>
      </c>
      <c r="S10" s="3178">
        <f>ROUND(IF(项目基本情况!$B$8="出让",SUMPRODUCT(PRODUCT(1+L10:$L$18)),SUMPRODUCT(PRODUCT(1+L10:$L$17))),4)</f>
        <v>1.0326</v>
      </c>
      <c r="T10" s="3178">
        <f>ROUND(IF(项目基本情况!$B$8="出让",SUMPRODUCT(PRODUCT(1+M10:$M$18)),SUMPRODUCT(PRODUCT(1+M10:$M$17))),4)</f>
        <v>1.0203</v>
      </c>
      <c r="U10" s="3178">
        <f>ROUND(IF(项目基本情况!$B$8="出让",SUMPRODUCT(PRODUCT(1+N10:$N$18)),SUMPRODUCT(PRODUCT(1+N10:$N$17))),4)</f>
        <v>1.0714999999999999</v>
      </c>
      <c r="V10" s="3178">
        <f>ROUND(IF(项目基本情况!$B$8="出让",SUMPRODUCT(PRODUCT(1+O10:$O$18)),SUMPRODUCT(PRODUCT(1+O10:$O$17))),4)</f>
        <v>1.0555000000000001</v>
      </c>
      <c r="W10" s="3178">
        <f t="shared" ref="W10:W17" si="24">T10</f>
        <v>1.0203</v>
      </c>
      <c r="X10" s="3176"/>
      <c r="Y10" s="3179"/>
      <c r="Z10" s="3179"/>
      <c r="AA10" s="3179"/>
      <c r="AB10" s="3179"/>
      <c r="AC10" s="3179"/>
      <c r="AD10" s="3179"/>
    </row>
    <row r="11" spans="1:30" s="3180" customFormat="1" ht="12.75">
      <c r="A11" s="3171" t="s">
        <v>3355</v>
      </c>
      <c r="B11" s="3172">
        <v>2022</v>
      </c>
      <c r="C11" s="3173">
        <v>4</v>
      </c>
      <c r="D11" s="3174">
        <v>0.62</v>
      </c>
      <c r="E11" s="3174">
        <v>0.2</v>
      </c>
      <c r="F11" s="3174">
        <v>0.11</v>
      </c>
      <c r="G11" s="3174">
        <v>0.69</v>
      </c>
      <c r="H11" s="3191">
        <v>0.53</v>
      </c>
      <c r="I11" s="3175">
        <f t="shared" si="4"/>
        <v>0.11</v>
      </c>
      <c r="J11" s="3176"/>
      <c r="K11" s="3177">
        <f t="shared" si="5"/>
        <v>6.1999999999999998E-3</v>
      </c>
      <c r="L11" s="3167">
        <f t="shared" si="5"/>
        <v>2E-3</v>
      </c>
      <c r="M11" s="3167">
        <f t="shared" si="5"/>
        <v>1.1000000000000001E-3</v>
      </c>
      <c r="N11" s="3167">
        <f t="shared" si="5"/>
        <v>6.8999999999999999E-3</v>
      </c>
      <c r="O11" s="3167">
        <f t="shared" si="5"/>
        <v>5.3E-3</v>
      </c>
      <c r="P11" s="3167">
        <f t="shared" ref="P11:P18" si="25">M11</f>
        <v>1.1000000000000001E-3</v>
      </c>
      <c r="Q11" s="3176"/>
      <c r="R11" s="3178">
        <f>ROUND(IF(项目基本情况!$B$8="出让",SUMPRODUCT(PRODUCT(1+K11:$K$18)),SUMPRODUCT(PRODUCT(1+K11:$K$17))),4)</f>
        <v>1.0565</v>
      </c>
      <c r="S11" s="3178">
        <f>ROUND(IF(项目基本情况!$B$8="出让",SUMPRODUCT(PRODUCT(1+L11:$L$18)),SUMPRODUCT(PRODUCT(1+L11:$L$17))),4)</f>
        <v>1.0250999999999999</v>
      </c>
      <c r="T11" s="3178">
        <f>ROUND(IF(项目基本情况!$B$8="出让",SUMPRODUCT(PRODUCT(1+M11:$M$18)),SUMPRODUCT(PRODUCT(1+M11:$M$17))),4)</f>
        <v>1.0145</v>
      </c>
      <c r="U11" s="3178">
        <f>ROUND(IF(项目基本情况!$B$8="出让",SUMPRODUCT(PRODUCT(1+N11:$N$18)),SUMPRODUCT(PRODUCT(1+N11:$N$17))),4)</f>
        <v>1.0618000000000001</v>
      </c>
      <c r="V11" s="3178">
        <f>ROUND(IF(项目基本情况!$B$8="出让",SUMPRODUCT(PRODUCT(1+O11:$O$18)),SUMPRODUCT(PRODUCT(1+O11:$O$17))),4)</f>
        <v>1.0502</v>
      </c>
      <c r="W11" s="3178">
        <f t="shared" si="24"/>
        <v>1.0145</v>
      </c>
      <c r="X11" s="3176"/>
      <c r="Y11" s="3179">
        <f>IF(D11=0,0,ROUND(AVERAGE(D11:D19)/100,4))</f>
        <v>8.0999999999999996E-3</v>
      </c>
      <c r="Z11" s="3179">
        <f t="shared" ref="Z11:AC11" si="26">IF(E11=0,0,ROUND(AVERAGE(E11:E18)/100,4))</f>
        <v>3.3E-3</v>
      </c>
      <c r="AA11" s="3179">
        <f t="shared" si="26"/>
        <v>1.5E-3</v>
      </c>
      <c r="AB11" s="3179">
        <f t="shared" si="26"/>
        <v>8.8999999999999999E-3</v>
      </c>
      <c r="AC11" s="3179">
        <f t="shared" si="26"/>
        <v>6.6E-3</v>
      </c>
      <c r="AD11" s="3179">
        <f t="shared" si="7"/>
        <v>1.5E-3</v>
      </c>
    </row>
    <row r="12" spans="1:30" s="3180" customFormat="1" ht="12.75">
      <c r="A12" s="3171" t="s">
        <v>3351</v>
      </c>
      <c r="B12" s="3172">
        <v>2022</v>
      </c>
      <c r="C12" s="3173">
        <v>3</v>
      </c>
      <c r="D12" s="3174">
        <v>0.66</v>
      </c>
      <c r="E12" s="3174">
        <v>0.32</v>
      </c>
      <c r="F12" s="3174">
        <v>0.23</v>
      </c>
      <c r="G12" s="3174">
        <v>0.72</v>
      </c>
      <c r="H12" s="3191">
        <v>0.63</v>
      </c>
      <c r="I12" s="3175">
        <f t="shared" si="4"/>
        <v>0.23</v>
      </c>
      <c r="J12" s="3176"/>
      <c r="K12" s="3177">
        <f t="shared" si="5"/>
        <v>6.6E-3</v>
      </c>
      <c r="L12" s="3167">
        <f t="shared" si="5"/>
        <v>3.2000000000000002E-3</v>
      </c>
      <c r="M12" s="3167">
        <f t="shared" si="5"/>
        <v>2.3E-3</v>
      </c>
      <c r="N12" s="3167">
        <f t="shared" si="5"/>
        <v>7.1999999999999998E-3</v>
      </c>
      <c r="O12" s="3167">
        <f t="shared" si="5"/>
        <v>6.3E-3</v>
      </c>
      <c r="P12" s="3167">
        <f t="shared" si="25"/>
        <v>2.3E-3</v>
      </c>
      <c r="Q12" s="3176"/>
      <c r="R12" s="3178">
        <f>ROUND(IF(项目基本情况!$B$8="出让",SUMPRODUCT(PRODUCT(1+K12:$K$18)),SUMPRODUCT(PRODUCT(1+K12:$K$17))),4)</f>
        <v>1.05</v>
      </c>
      <c r="S12" s="3178">
        <f>ROUND(IF(项目基本情况!$B$8="出让",SUMPRODUCT(PRODUCT(1+L12:$L$18)),SUMPRODUCT(PRODUCT(1+L12:$L$17))),4)</f>
        <v>1.0229999999999999</v>
      </c>
      <c r="T12" s="3178">
        <f>ROUND(IF(项目基本情况!$B$8="出让",SUMPRODUCT(PRODUCT(1+M12:$M$18)),SUMPRODUCT(PRODUCT(1+M12:$M$17))),4)</f>
        <v>1.0134000000000001</v>
      </c>
      <c r="U12" s="3178">
        <f>ROUND(IF(项目基本情况!$B$8="出让",SUMPRODUCT(PRODUCT(1+N12:$N$18)),SUMPRODUCT(PRODUCT(1+N12:$N$17))),4)</f>
        <v>1.0545</v>
      </c>
      <c r="V12" s="3178">
        <f>ROUND(IF(项目基本情况!$B$8="出让",SUMPRODUCT(PRODUCT(1+O12:$O$18)),SUMPRODUCT(PRODUCT(1+O12:$O$17))),4)</f>
        <v>1.0447</v>
      </c>
      <c r="W12" s="3178">
        <f t="shared" si="24"/>
        <v>1.0134000000000001</v>
      </c>
      <c r="X12" s="3176"/>
      <c r="Y12" s="3179">
        <f>IF(D12=0,0,ROUND(AVERAGE(D12:D18)/100,4))</f>
        <v>8.3999999999999995E-3</v>
      </c>
      <c r="Z12" s="3179">
        <f t="shared" ref="Z12:AC12" si="27">IF(E12=0,0,ROUND(AVERAGE(E12:E18)/100,4))</f>
        <v>3.5000000000000001E-3</v>
      </c>
      <c r="AA12" s="3179">
        <f t="shared" si="27"/>
        <v>1.5E-3</v>
      </c>
      <c r="AB12" s="3179">
        <f t="shared" si="27"/>
        <v>9.1999999999999998E-3</v>
      </c>
      <c r="AC12" s="3179">
        <f t="shared" si="27"/>
        <v>6.7999999999999996E-3</v>
      </c>
      <c r="AD12" s="3179">
        <f t="shared" si="7"/>
        <v>1.5E-3</v>
      </c>
    </row>
    <row r="13" spans="1:30" s="3180" customFormat="1" ht="12.75">
      <c r="A13" s="3171" t="s">
        <v>3343</v>
      </c>
      <c r="B13" s="3172">
        <v>2022</v>
      </c>
      <c r="C13" s="3173">
        <v>2</v>
      </c>
      <c r="D13" s="3174">
        <v>0.93</v>
      </c>
      <c r="E13" s="3174">
        <v>0.15</v>
      </c>
      <c r="F13" s="3174">
        <v>0.01</v>
      </c>
      <c r="G13" s="3174">
        <v>1.05</v>
      </c>
      <c r="H13" s="3191">
        <v>1.08</v>
      </c>
      <c r="I13" s="3175">
        <f t="shared" si="4"/>
        <v>0.01</v>
      </c>
      <c r="J13" s="3176"/>
      <c r="K13" s="3177">
        <f t="shared" si="5"/>
        <v>9.300000000000001E-3</v>
      </c>
      <c r="L13" s="3167">
        <f t="shared" si="5"/>
        <v>1.5E-3</v>
      </c>
      <c r="M13" s="3167">
        <f t="shared" si="5"/>
        <v>1E-4</v>
      </c>
      <c r="N13" s="3167">
        <f t="shared" si="5"/>
        <v>1.0500000000000001E-2</v>
      </c>
      <c r="O13" s="3167">
        <f t="shared" si="5"/>
        <v>1.0800000000000001E-2</v>
      </c>
      <c r="P13" s="3167">
        <f t="shared" si="25"/>
        <v>1E-4</v>
      </c>
      <c r="Q13" s="3176"/>
      <c r="R13" s="3178">
        <f>ROUND(IF(项目基本情况!$B$8="出让",SUMPRODUCT(PRODUCT(1+K13:$K$18)),SUMPRODUCT(PRODUCT(1+K13:$K$17))),4)</f>
        <v>1.0430999999999999</v>
      </c>
      <c r="S13" s="3178">
        <f>ROUND(IF(项目基本情况!$B$8="出让",SUMPRODUCT(PRODUCT(1+L13:$L$18)),SUMPRODUCT(PRODUCT(1+L13:$L$17))),4)</f>
        <v>1.0197000000000001</v>
      </c>
      <c r="T13" s="3178">
        <f>ROUND(IF(项目基本情况!$B$8="出让",SUMPRODUCT(PRODUCT(1+M13:$M$18)),SUMPRODUCT(PRODUCT(1+M13:$M$17))),4)</f>
        <v>1.0109999999999999</v>
      </c>
      <c r="U13" s="3178">
        <f>ROUND(IF(项目基本情况!$B$8="出让",SUMPRODUCT(PRODUCT(1+N13:$N$18)),SUMPRODUCT(PRODUCT(1+N13:$N$17))),4)</f>
        <v>1.0468999999999999</v>
      </c>
      <c r="V13" s="3178">
        <f>ROUND(IF(项目基本情况!$B$8="出让",SUMPRODUCT(PRODUCT(1+O13:$O$18)),SUMPRODUCT(PRODUCT(1+O13:$O$17))),4)</f>
        <v>1.0382</v>
      </c>
      <c r="W13" s="3178">
        <f t="shared" si="24"/>
        <v>1.0109999999999999</v>
      </c>
      <c r="X13" s="3176"/>
      <c r="Y13" s="3179">
        <f>IF(D13=0,0,ROUND(AVERAGE(D13:D18)/100,4))</f>
        <v>8.6999999999999994E-3</v>
      </c>
      <c r="Z13" s="3179">
        <f t="shared" ref="Z13:AC13" si="28">IF(E13=0,0,ROUND(AVERAGE(E13:E18)/100,4))</f>
        <v>3.5000000000000001E-3</v>
      </c>
      <c r="AA13" s="3179">
        <f t="shared" si="28"/>
        <v>1.4E-3</v>
      </c>
      <c r="AB13" s="3179">
        <f t="shared" si="28"/>
        <v>9.4999999999999998E-3</v>
      </c>
      <c r="AC13" s="3179">
        <f t="shared" si="28"/>
        <v>6.8999999999999999E-3</v>
      </c>
      <c r="AD13" s="3179">
        <f t="shared" si="7"/>
        <v>1.4E-3</v>
      </c>
    </row>
    <row r="14" spans="1:30" s="3180" customFormat="1" ht="12.75">
      <c r="A14" s="3171" t="s">
        <v>2808</v>
      </c>
      <c r="B14" s="3172">
        <v>2022</v>
      </c>
      <c r="C14" s="3173">
        <v>1</v>
      </c>
      <c r="D14" s="3174">
        <v>0.89</v>
      </c>
      <c r="E14" s="3174">
        <v>0.44</v>
      </c>
      <c r="F14" s="3174">
        <v>0.37</v>
      </c>
      <c r="G14" s="3174">
        <v>0.96</v>
      </c>
      <c r="H14" s="3191">
        <v>0.64</v>
      </c>
      <c r="I14" s="3175">
        <f t="shared" si="4"/>
        <v>0.37</v>
      </c>
      <c r="J14" s="3176"/>
      <c r="K14" s="3177">
        <f t="shared" si="5"/>
        <v>8.8999999999999999E-3</v>
      </c>
      <c r="L14" s="3167">
        <f t="shared" si="5"/>
        <v>4.4000000000000003E-3</v>
      </c>
      <c r="M14" s="3167">
        <f t="shared" si="5"/>
        <v>3.7000000000000002E-3</v>
      </c>
      <c r="N14" s="3167">
        <f t="shared" si="5"/>
        <v>9.5999999999999992E-3</v>
      </c>
      <c r="O14" s="3167">
        <f t="shared" si="5"/>
        <v>6.4000000000000003E-3</v>
      </c>
      <c r="P14" s="3167">
        <f t="shared" si="25"/>
        <v>3.7000000000000002E-3</v>
      </c>
      <c r="Q14" s="3176"/>
      <c r="R14" s="3178">
        <f>ROUND(IF(项目基本情况!$B$8="出让",SUMPRODUCT(PRODUCT(1+K14:$K$18)),SUMPRODUCT(PRODUCT(1+K14:$K$17))),4)</f>
        <v>1.0335000000000001</v>
      </c>
      <c r="S14" s="3178">
        <f>ROUND(IF(项目基本情况!$B$8="出让",SUMPRODUCT(PRODUCT(1+L14:$L$18)),SUMPRODUCT(PRODUCT(1+L14:$L$17))),4)</f>
        <v>1.0182</v>
      </c>
      <c r="T14" s="3178">
        <f>ROUND(IF(项目基本情况!$B$8="出让",SUMPRODUCT(PRODUCT(1+M14:$M$18)),SUMPRODUCT(PRODUCT(1+M14:$M$17))),4)</f>
        <v>1.0108999999999999</v>
      </c>
      <c r="U14" s="3178">
        <f>ROUND(IF(项目基本情况!$B$8="出让",SUMPRODUCT(PRODUCT(1+N14:$N$18)),SUMPRODUCT(PRODUCT(1+N14:$N$17))),4)</f>
        <v>1.0361</v>
      </c>
      <c r="V14" s="3178">
        <f>ROUND(IF(项目基本情况!$B$8="出让",SUMPRODUCT(PRODUCT(1+O14:$O$18)),SUMPRODUCT(PRODUCT(1+O14:$O$17))),4)</f>
        <v>1.0270999999999999</v>
      </c>
      <c r="W14" s="3178">
        <f t="shared" si="24"/>
        <v>1.0108999999999999</v>
      </c>
      <c r="X14" s="3176"/>
      <c r="Y14" s="3179">
        <f>IF(D14=0,0,ROUND(AVERAGE(D14:D18)/100,4))</f>
        <v>8.6E-3</v>
      </c>
      <c r="Z14" s="3179">
        <f t="shared" ref="Z14:AC14" si="29">IF(E14=0,0,ROUND(AVERAGE(E14:E18)/100,4))</f>
        <v>3.8999999999999998E-3</v>
      </c>
      <c r="AA14" s="3179">
        <f t="shared" si="29"/>
        <v>1.6999999999999999E-3</v>
      </c>
      <c r="AB14" s="3179">
        <f t="shared" si="29"/>
        <v>9.2999999999999992E-3</v>
      </c>
      <c r="AC14" s="3179">
        <f t="shared" si="29"/>
        <v>6.1000000000000004E-3</v>
      </c>
      <c r="AD14" s="3179">
        <f t="shared" si="7"/>
        <v>1.6999999999999999E-3</v>
      </c>
    </row>
    <row r="15" spans="1:30" s="3180" customFormat="1" ht="12.75">
      <c r="A15" s="3171" t="s">
        <v>2809</v>
      </c>
      <c r="B15" s="3172">
        <v>2021</v>
      </c>
      <c r="C15" s="3173">
        <v>4</v>
      </c>
      <c r="D15" s="3174">
        <v>1.03</v>
      </c>
      <c r="E15" s="3174">
        <v>0.24</v>
      </c>
      <c r="F15" s="3174">
        <v>7.0000000000000007E-2</v>
      </c>
      <c r="G15" s="3174">
        <v>1.17</v>
      </c>
      <c r="H15" s="3191">
        <v>0.55000000000000004</v>
      </c>
      <c r="I15" s="3175">
        <f t="shared" si="4"/>
        <v>7.0000000000000007E-2</v>
      </c>
      <c r="J15" s="3176"/>
      <c r="K15" s="3177">
        <f t="shared" si="5"/>
        <v>1.03E-2</v>
      </c>
      <c r="L15" s="3167">
        <f t="shared" si="5"/>
        <v>2.3999999999999998E-3</v>
      </c>
      <c r="M15" s="3167">
        <f t="shared" si="5"/>
        <v>7.000000000000001E-4</v>
      </c>
      <c r="N15" s="3167">
        <f t="shared" si="5"/>
        <v>1.1699999999999999E-2</v>
      </c>
      <c r="O15" s="3167">
        <f t="shared" si="5"/>
        <v>5.5000000000000005E-3</v>
      </c>
      <c r="P15" s="3167">
        <f t="shared" si="25"/>
        <v>7.000000000000001E-4</v>
      </c>
      <c r="Q15" s="3176"/>
      <c r="R15" s="3178">
        <f>ROUND(IF(项目基本情况!$B$8="出让",SUMPRODUCT(PRODUCT(1+K15:$K$18)),SUMPRODUCT(PRODUCT(1+K15:$K$17))),4)</f>
        <v>1.0244</v>
      </c>
      <c r="S15" s="3178">
        <f>ROUND(IF(项目基本情况!$B$8="出让",SUMPRODUCT(PRODUCT(1+L15:$L$18)),SUMPRODUCT(PRODUCT(1+L15:$L$17))),4)</f>
        <v>1.0138</v>
      </c>
      <c r="T15" s="3178">
        <f>ROUND(IF(项目基本情况!$B$8="出让",SUMPRODUCT(PRODUCT(1+M15:$M$18)),SUMPRODUCT(PRODUCT(1+M15:$M$17))),4)</f>
        <v>1.0072000000000001</v>
      </c>
      <c r="U15" s="3178">
        <f>ROUND(IF(项目基本情况!$B$8="出让",SUMPRODUCT(PRODUCT(1+N15:$N$18)),SUMPRODUCT(PRODUCT(1+N15:$N$17))),4)</f>
        <v>1.0262</v>
      </c>
      <c r="V15" s="3178">
        <f>ROUND(IF(项目基本情况!$B$8="出让",SUMPRODUCT(PRODUCT(1+O15:$O$18)),SUMPRODUCT(PRODUCT(1+O15:$O$17))),4)</f>
        <v>1.0205</v>
      </c>
      <c r="W15" s="3178">
        <f t="shared" si="24"/>
        <v>1.0072000000000001</v>
      </c>
      <c r="X15" s="3176"/>
      <c r="Y15" s="3179">
        <f>IF(D15=0,0,ROUND(AVERAGE(D15:D18)/100,4))</f>
        <v>8.5000000000000006E-3</v>
      </c>
      <c r="Z15" s="3179">
        <f t="shared" ref="Z15:AC15" si="30">IF(E15=0,0,ROUND(AVERAGE(E15:E18)/100,4))</f>
        <v>3.8E-3</v>
      </c>
      <c r="AA15" s="3179">
        <f t="shared" si="30"/>
        <v>1.1999999999999999E-3</v>
      </c>
      <c r="AB15" s="3179">
        <f t="shared" si="30"/>
        <v>9.2999999999999992E-3</v>
      </c>
      <c r="AC15" s="3179">
        <f t="shared" si="30"/>
        <v>6.0000000000000001E-3</v>
      </c>
      <c r="AD15" s="3179">
        <f t="shared" si="7"/>
        <v>1.1999999999999999E-3</v>
      </c>
    </row>
    <row r="16" spans="1:30" s="3180" customFormat="1" ht="12.75">
      <c r="A16" s="3171" t="s">
        <v>2810</v>
      </c>
      <c r="B16" s="3172">
        <v>2021</v>
      </c>
      <c r="C16" s="3173">
        <v>3</v>
      </c>
      <c r="D16" s="3174">
        <v>0.47</v>
      </c>
      <c r="E16" s="3174">
        <v>0.41</v>
      </c>
      <c r="F16" s="3174">
        <v>0.24</v>
      </c>
      <c r="G16" s="3174">
        <v>0.48</v>
      </c>
      <c r="H16" s="3191">
        <v>0.48</v>
      </c>
      <c r="I16" s="3175">
        <f t="shared" si="4"/>
        <v>0.24</v>
      </c>
      <c r="J16" s="3176"/>
      <c r="K16" s="3177">
        <f t="shared" si="5"/>
        <v>4.6999999999999993E-3</v>
      </c>
      <c r="L16" s="3167">
        <f t="shared" si="5"/>
        <v>4.0999999999999995E-3</v>
      </c>
      <c r="M16" s="3167">
        <f t="shared" si="5"/>
        <v>2.3999999999999998E-3</v>
      </c>
      <c r="N16" s="3167">
        <f t="shared" si="5"/>
        <v>4.7999999999999996E-3</v>
      </c>
      <c r="O16" s="3167">
        <f t="shared" si="5"/>
        <v>4.7999999999999996E-3</v>
      </c>
      <c r="P16" s="3167">
        <f t="shared" si="25"/>
        <v>2.3999999999999998E-3</v>
      </c>
      <c r="Q16" s="3176"/>
      <c r="R16" s="3178">
        <f>ROUND(IF(项目基本情况!$B$8="出让",SUMPRODUCT(PRODUCT(1+K16:$K$18)),SUMPRODUCT(PRODUCT(1+K16:$K$17))),4)</f>
        <v>1.0139</v>
      </c>
      <c r="S16" s="3178">
        <f>ROUND(IF(项目基本情况!$B$8="出让",SUMPRODUCT(PRODUCT(1+L16:$L$18)),SUMPRODUCT(PRODUCT(1+L16:$L$17))),4)</f>
        <v>1.0113000000000001</v>
      </c>
      <c r="T16" s="3178">
        <f>ROUND(IF(项目基本情况!$B$8="出让",SUMPRODUCT(PRODUCT(1+M16:$M$18)),SUMPRODUCT(PRODUCT(1+M16:$M$17))),4)</f>
        <v>1.0065</v>
      </c>
      <c r="U16" s="3178">
        <f>ROUND(IF(项目基本情况!$B$8="出让",SUMPRODUCT(PRODUCT(1+N16:$N$18)),SUMPRODUCT(PRODUCT(1+N16:$N$17))),4)</f>
        <v>1.0143</v>
      </c>
      <c r="V16" s="3178">
        <f>ROUND(IF(项目基本情况!$B$8="出让",SUMPRODUCT(PRODUCT(1+O16:$O$18)),SUMPRODUCT(PRODUCT(1+O16:$O$17))),4)</f>
        <v>1.0148999999999999</v>
      </c>
      <c r="W16" s="3178">
        <f t="shared" si="24"/>
        <v>1.0065</v>
      </c>
      <c r="X16" s="3176"/>
      <c r="Y16" s="3179">
        <f>IF(D16=0,0,ROUND(AVERAGE(D16:D18)/100,4))</f>
        <v>7.9000000000000008E-3</v>
      </c>
      <c r="Z16" s="3179">
        <f>IF(E16=0,0,ROUND(AVERAGE(E16:E18)/100,4))</f>
        <v>4.3E-3</v>
      </c>
      <c r="AA16" s="3179">
        <f>IF(F16=0,0,ROUND(AVERAGE(F16:F18)/100,4))</f>
        <v>1.2999999999999999E-3</v>
      </c>
      <c r="AB16" s="3179">
        <f>IF(G16=0,0,ROUND(AVERAGE(G16:G18)/100,4))</f>
        <v>8.5000000000000006E-3</v>
      </c>
      <c r="AC16" s="3179">
        <f>IF(H16=0,0,ROUND(AVERAGE(H16:H18)/100,4))</f>
        <v>6.1999999999999998E-3</v>
      </c>
      <c r="AD16" s="3179">
        <f t="shared" si="7"/>
        <v>1.2999999999999999E-3</v>
      </c>
    </row>
    <row r="17" spans="1:30" s="3180" customFormat="1" ht="12.75">
      <c r="A17" s="3171" t="s">
        <v>2811</v>
      </c>
      <c r="B17" s="3172">
        <v>2021</v>
      </c>
      <c r="C17" s="3173">
        <v>2</v>
      </c>
      <c r="D17" s="3174">
        <v>0.92</v>
      </c>
      <c r="E17" s="3174">
        <v>0.72</v>
      </c>
      <c r="F17" s="3174">
        <v>0.41</v>
      </c>
      <c r="G17" s="3174">
        <v>0.95</v>
      </c>
      <c r="H17" s="3191">
        <v>1.01</v>
      </c>
      <c r="I17" s="3175">
        <f t="shared" si="4"/>
        <v>0.41</v>
      </c>
      <c r="J17" s="3176"/>
      <c r="K17" s="3177">
        <f t="shared" si="5"/>
        <v>9.1999999999999998E-3</v>
      </c>
      <c r="L17" s="3167">
        <f t="shared" si="5"/>
        <v>7.1999999999999998E-3</v>
      </c>
      <c r="M17" s="3167">
        <f t="shared" si="5"/>
        <v>4.0999999999999995E-3</v>
      </c>
      <c r="N17" s="3167">
        <f t="shared" si="5"/>
        <v>9.4999999999999998E-3</v>
      </c>
      <c r="O17" s="3167">
        <f t="shared" si="5"/>
        <v>1.01E-2</v>
      </c>
      <c r="P17" s="3167">
        <f t="shared" si="25"/>
        <v>4.0999999999999995E-3</v>
      </c>
      <c r="Q17" s="3176"/>
      <c r="R17" s="3178">
        <f>ROUND(IF(项目基本情况!$B$8="出让",SUMPRODUCT(PRODUCT(1+K17:$K$18)),SUMPRODUCT(PRODUCT(1+K17:$K$17))),4)</f>
        <v>1.0092000000000001</v>
      </c>
      <c r="S17" s="3178">
        <f>ROUND(IF(项目基本情况!$B$8="出让",SUMPRODUCT(PRODUCT(1+L17:$L$18)),SUMPRODUCT(PRODUCT(1+L17:$L$17))),4)</f>
        <v>1.0072000000000001</v>
      </c>
      <c r="T17" s="3178">
        <f>ROUND(IF(项目基本情况!$B$8="出让",SUMPRODUCT(PRODUCT(1+M17:$M$18)),SUMPRODUCT(PRODUCT(1+M17:$M$17))),4)</f>
        <v>1.0041</v>
      </c>
      <c r="U17" s="3178">
        <f>ROUND(IF(项目基本情况!$B$8="出让",SUMPRODUCT(PRODUCT(1+N17:$N$18)),SUMPRODUCT(PRODUCT(1+N17:$N$17))),4)</f>
        <v>1.0095000000000001</v>
      </c>
      <c r="V17" s="3178">
        <f>ROUND(IF(项目基本情况!$B$8="出让",SUMPRODUCT(PRODUCT(1+O17:$O$18)),SUMPRODUCT(PRODUCT(1+O17:$O$17))),4)</f>
        <v>1.0101</v>
      </c>
      <c r="W17" s="3178">
        <f t="shared" si="24"/>
        <v>1.0041</v>
      </c>
      <c r="X17" s="3176"/>
      <c r="Y17" s="3179">
        <f>IF(D17=0,0,ROUND(AVERAGE(D17:D18)/100,4))</f>
        <v>9.4999999999999998E-3</v>
      </c>
      <c r="Z17" s="3179">
        <f>IF(E17=0,0,ROUND(AVERAGE(E17:E18)/100,4))</f>
        <v>4.4000000000000003E-3</v>
      </c>
      <c r="AA17" s="3179">
        <f>IF(F17=0,0,ROUND(AVERAGE(F17:F18)/100,4))</f>
        <v>8.0000000000000004E-4</v>
      </c>
      <c r="AB17" s="3179">
        <f>IF(G17=0,0,ROUND(AVERAGE(G17:G18)/100,4))</f>
        <v>1.03E-2</v>
      </c>
      <c r="AC17" s="3179">
        <f>IF(H17=0,0,ROUND(AVERAGE(H17:H18)/100,4))</f>
        <v>6.8999999999999999E-3</v>
      </c>
      <c r="AD17" s="3179">
        <f t="shared" si="7"/>
        <v>8.0000000000000004E-4</v>
      </c>
    </row>
    <row r="18" spans="1:30" s="3202" customFormat="1" thickBot="1">
      <c r="A18" s="3192" t="s">
        <v>2812</v>
      </c>
      <c r="B18" s="3193">
        <v>2021</v>
      </c>
      <c r="C18" s="3194">
        <v>1</v>
      </c>
      <c r="D18" s="3195">
        <v>0.97</v>
      </c>
      <c r="E18" s="3195">
        <v>0.16</v>
      </c>
      <c r="F18" s="3195">
        <v>-0.25</v>
      </c>
      <c r="G18" s="3195">
        <v>1.1100000000000001</v>
      </c>
      <c r="H18" s="3196">
        <v>0.36</v>
      </c>
      <c r="I18" s="3197">
        <f t="shared" si="4"/>
        <v>-0.25</v>
      </c>
      <c r="J18" s="3198"/>
      <c r="K18" s="3199">
        <f t="shared" si="5"/>
        <v>9.7000000000000003E-3</v>
      </c>
      <c r="L18" s="3200">
        <f t="shared" si="5"/>
        <v>1.6000000000000001E-3</v>
      </c>
      <c r="M18" s="3200">
        <f>F18/100</f>
        <v>-2.5000000000000001E-3</v>
      </c>
      <c r="N18" s="3200">
        <f t="shared" si="5"/>
        <v>1.11E-2</v>
      </c>
      <c r="O18" s="3200">
        <f t="shared" si="5"/>
        <v>3.5999999999999999E-3</v>
      </c>
      <c r="P18" s="3200">
        <f t="shared" si="25"/>
        <v>-2.5000000000000001E-3</v>
      </c>
      <c r="Q18" s="3198"/>
      <c r="R18" s="3201">
        <v>1</v>
      </c>
      <c r="S18" s="3201">
        <v>1</v>
      </c>
      <c r="T18" s="3201">
        <v>1</v>
      </c>
      <c r="U18" s="3201">
        <v>1</v>
      </c>
      <c r="V18" s="3201">
        <v>1</v>
      </c>
      <c r="W18" s="3201">
        <f t="shared" ref="W18" si="31">T18</f>
        <v>1</v>
      </c>
      <c r="X18" s="3198"/>
      <c r="Y18" s="3200">
        <f>IF(D18=0,0,ROUND(AVERAGE(D18:D18)/100,4))</f>
        <v>9.7000000000000003E-3</v>
      </c>
      <c r="Z18" s="3200">
        <f>IF(E18=0,0,ROUND(AVERAGE(E18:E18)/100,4))</f>
        <v>1.6000000000000001E-3</v>
      </c>
      <c r="AA18" s="3200">
        <f>IF(F18=0,0,ROUND(AVERAGE(F18:F18)/100,4))</f>
        <v>-2.5000000000000001E-3</v>
      </c>
      <c r="AB18" s="3200">
        <f>IF(G18=0,0,ROUND(AVERAGE(G18:G18)/100,4))</f>
        <v>1.11E-2</v>
      </c>
      <c r="AC18" s="3200">
        <f>IF(H18=0,0,ROUND(AVERAGE(H18:H18)/100,4))</f>
        <v>3.5999999999999999E-3</v>
      </c>
      <c r="AD18" s="3200">
        <f>AA18</f>
        <v>-2.5000000000000001E-3</v>
      </c>
    </row>
    <row r="19" spans="1:30" s="3004" customFormat="1" ht="14.25" thickTop="1"/>
    <row r="20" spans="1:30" s="3004" customFormat="1">
      <c r="A20" s="3443" t="s">
        <v>3353</v>
      </c>
    </row>
    <row r="21" spans="1:30" s="3004" customFormat="1">
      <c r="I21" s="3203" t="s">
        <v>2813</v>
      </c>
    </row>
    <row r="22" spans="1:30" s="3004" customFormat="1"/>
    <row r="23" spans="1:30" s="3204" customFormat="1" ht="12.75">
      <c r="B23" s="3205" t="s">
        <v>3359</v>
      </c>
      <c r="C23" s="3206"/>
      <c r="D23" s="3206"/>
      <c r="E23" s="3206"/>
      <c r="F23" s="3206"/>
      <c r="G23" s="3206"/>
      <c r="H23" s="3206"/>
      <c r="I23" s="3206"/>
      <c r="J23" s="3160"/>
      <c r="K23" s="3206" t="s">
        <v>2814</v>
      </c>
      <c r="L23" s="3206"/>
      <c r="M23" s="3206"/>
      <c r="N23" s="3206"/>
      <c r="O23" s="3206"/>
      <c r="P23" s="3206"/>
      <c r="Q23" s="3160"/>
      <c r="R23" s="3828" t="s">
        <v>2815</v>
      </c>
      <c r="S23" s="3829"/>
      <c r="T23" s="3829"/>
      <c r="U23" s="3829"/>
      <c r="V23" s="3829"/>
      <c r="W23" s="3829"/>
      <c r="X23" s="3160"/>
      <c r="Y23" s="3828" t="s">
        <v>2816</v>
      </c>
      <c r="Z23" s="3829"/>
      <c r="AA23" s="3829"/>
      <c r="AB23" s="3829"/>
      <c r="AC23" s="3829"/>
      <c r="AD23" s="3829"/>
    </row>
    <row r="24" spans="1:30" s="3138" customFormat="1" ht="14.25" thickBot="1">
      <c r="B24" s="3139"/>
      <c r="C24" s="3140"/>
      <c r="D24" s="3141" t="s">
        <v>2817</v>
      </c>
      <c r="E24" s="3142" t="s">
        <v>2818</v>
      </c>
      <c r="F24" s="3142" t="s">
        <v>2819</v>
      </c>
      <c r="G24" s="3142" t="s">
        <v>2820</v>
      </c>
      <c r="H24" s="3142"/>
      <c r="I24" s="3142" t="s">
        <v>2821</v>
      </c>
      <c r="J24" s="3143"/>
      <c r="K24" s="3141" t="s">
        <v>2817</v>
      </c>
      <c r="L24" s="3142" t="s">
        <v>2818</v>
      </c>
      <c r="M24" s="3142" t="s">
        <v>2819</v>
      </c>
      <c r="N24" s="3142" t="s">
        <v>2820</v>
      </c>
      <c r="O24" s="3142"/>
      <c r="P24" s="3142" t="s">
        <v>2821</v>
      </c>
      <c r="Q24" s="3143"/>
      <c r="R24" s="3141" t="s">
        <v>2817</v>
      </c>
      <c r="S24" s="3142" t="s">
        <v>2818</v>
      </c>
      <c r="T24" s="3142" t="s">
        <v>2819</v>
      </c>
      <c r="U24" s="3142" t="s">
        <v>2820</v>
      </c>
      <c r="V24" s="3142"/>
      <c r="W24" s="3142" t="s">
        <v>2821</v>
      </c>
      <c r="X24" s="3143"/>
      <c r="Y24" s="3141" t="s">
        <v>2817</v>
      </c>
      <c r="Z24" s="3142" t="s">
        <v>2818</v>
      </c>
      <c r="AA24" s="3142" t="s">
        <v>2819</v>
      </c>
      <c r="AB24" s="3142" t="s">
        <v>2820</v>
      </c>
      <c r="AC24" s="3142"/>
      <c r="AD24" s="3142" t="s">
        <v>2821</v>
      </c>
    </row>
    <row r="25" spans="1:30" s="3156" customFormat="1" ht="12.75">
      <c r="A25" s="3144" t="s">
        <v>2822</v>
      </c>
      <c r="B25" s="3145"/>
      <c r="C25" s="3146"/>
      <c r="D25" s="3146"/>
      <c r="E25" s="3146">
        <f t="shared" ref="E25:G25" si="32">ROUND(AVERAGEIF(E26:E40,"&lt;&gt;0"),2)</f>
        <v>0.39</v>
      </c>
      <c r="F25" s="3146">
        <f t="shared" si="32"/>
        <v>0.28000000000000003</v>
      </c>
      <c r="G25" s="3146">
        <f t="shared" si="32"/>
        <v>0.67</v>
      </c>
      <c r="H25" s="3146"/>
      <c r="I25" s="3146">
        <f>F25</f>
        <v>0.28000000000000003</v>
      </c>
      <c r="J25" s="3147"/>
      <c r="K25" s="3148"/>
      <c r="L25" s="3149">
        <f t="shared" ref="L25:N25" si="33">ROUND(AVERAGEIF(L26:L40,"&lt;&gt;0"),4)</f>
        <v>3.8999999999999998E-3</v>
      </c>
      <c r="M25" s="3149">
        <f t="shared" si="33"/>
        <v>2.8E-3</v>
      </c>
      <c r="N25" s="3149">
        <f t="shared" si="33"/>
        <v>6.7000000000000002E-3</v>
      </c>
      <c r="O25" s="3149"/>
      <c r="P25" s="3149">
        <f>M25</f>
        <v>2.8E-3</v>
      </c>
      <c r="Q25" s="3147"/>
      <c r="R25" s="3150"/>
      <c r="S25" s="3151">
        <f>ROUND(SUMPRODUCT(PRODUCT(1+L26:L40)),4)</f>
        <v>1.0476000000000001</v>
      </c>
      <c r="T25" s="3151">
        <f t="shared" ref="T25:U25" si="34">ROUND(SUMPRODUCT(PRODUCT(1+M26:M40)),4)</f>
        <v>1.0346</v>
      </c>
      <c r="U25" s="3151">
        <f t="shared" si="34"/>
        <v>1.0831999999999999</v>
      </c>
      <c r="V25" s="3151"/>
      <c r="W25" s="3150">
        <f>T25</f>
        <v>1.0346</v>
      </c>
      <c r="X25" s="3147"/>
      <c r="Y25" s="3152"/>
      <c r="Z25" s="3153">
        <f t="shared" ref="Z25:AB25" si="35">ROUND(AVERAGEIF(Z26:Z40,"&lt;&gt;0"),4)</f>
        <v>4.3E-3</v>
      </c>
      <c r="AA25" s="3154">
        <f t="shared" si="35"/>
        <v>3.5999999999999999E-3</v>
      </c>
      <c r="AB25" s="3152">
        <f t="shared" si="35"/>
        <v>8.8999999999999999E-3</v>
      </c>
      <c r="AC25" s="3155"/>
      <c r="AD25" s="3152">
        <f>AA25</f>
        <v>3.5999999999999999E-3</v>
      </c>
    </row>
    <row r="26" spans="1:30" s="3157" customFormat="1" ht="12.75">
      <c r="B26" s="3158"/>
      <c r="C26" s="3159"/>
      <c r="D26" s="3159"/>
      <c r="E26" s="3159"/>
      <c r="F26" s="3159"/>
      <c r="G26" s="3159"/>
      <c r="H26" s="3159"/>
      <c r="I26" s="3159"/>
      <c r="J26" s="3160"/>
      <c r="K26" s="3161"/>
      <c r="L26" s="3162"/>
      <c r="M26" s="3162"/>
      <c r="N26" s="3162"/>
      <c r="O26" s="3162"/>
      <c r="P26" s="3162"/>
      <c r="Q26" s="3160"/>
      <c r="R26" s="3163"/>
      <c r="S26" s="3164"/>
      <c r="T26" s="3165"/>
      <c r="U26" s="3163"/>
      <c r="V26" s="3166"/>
      <c r="W26" s="3163"/>
      <c r="X26" s="3160"/>
      <c r="Y26" s="3167"/>
      <c r="Z26" s="3168"/>
      <c r="AA26" s="3169"/>
      <c r="AB26" s="3167"/>
      <c r="AC26" s="3170"/>
      <c r="AD26" s="3167"/>
    </row>
    <row r="27" spans="1:30" s="3180" customFormat="1" ht="12.75">
      <c r="A27" s="2204" t="s">
        <v>3361</v>
      </c>
      <c r="B27" s="3172">
        <v>2024</v>
      </c>
      <c r="C27" s="3173">
        <v>2</v>
      </c>
      <c r="D27" s="3174"/>
      <c r="E27" s="3174">
        <v>0</v>
      </c>
      <c r="F27" s="3174">
        <v>0</v>
      </c>
      <c r="G27" s="3174">
        <v>0</v>
      </c>
      <c r="H27" s="3174"/>
      <c r="I27" s="3175">
        <f t="shared" ref="I27:I40" si="36">F27</f>
        <v>0</v>
      </c>
      <c r="J27" s="3176"/>
      <c r="K27" s="3177"/>
      <c r="L27" s="3167">
        <f t="shared" ref="L27:N40" si="37">E27/100</f>
        <v>0</v>
      </c>
      <c r="M27" s="3167">
        <f t="shared" si="37"/>
        <v>0</v>
      </c>
      <c r="N27" s="3167">
        <f t="shared" si="37"/>
        <v>0</v>
      </c>
      <c r="O27" s="3167"/>
      <c r="P27" s="3167">
        <f>M27</f>
        <v>0</v>
      </c>
      <c r="Q27" s="3176"/>
      <c r="R27" s="3178"/>
      <c r="S27" s="3178">
        <f>ROUND(IF(项目基本情况!$B$8="出让",SUMPRODUCT(PRODUCT(1+L27:L$40)),SUMPRODUCT(PRODUCT(1+L27:L$39))),4)</f>
        <v>1.0439000000000001</v>
      </c>
      <c r="T27" s="3178">
        <f>ROUND(IF(项目基本情况!$B$8="出让",SUMPRODUCT(PRODUCT(1+M27:M$40)),SUMPRODUCT(PRODUCT(1+M27:M$39))),4)</f>
        <v>1.0297000000000001</v>
      </c>
      <c r="U27" s="3178">
        <f>ROUND(IF(项目基本情况!$B$8="出让",SUMPRODUCT(PRODUCT(1+N27:N$40)),SUMPRODUCT(PRODUCT(1+N27:N$39))),4)</f>
        <v>1.0727</v>
      </c>
      <c r="V27" s="3178"/>
      <c r="W27" s="3178">
        <f>T27</f>
        <v>1.0297000000000001</v>
      </c>
      <c r="X27" s="3176"/>
      <c r="Y27" s="3179"/>
      <c r="Z27" s="3207">
        <f>IF(E27=0,0,ROUND(AVERAGE(E27:E40)/100,4))</f>
        <v>0</v>
      </c>
      <c r="AA27" s="3207">
        <f>IF(F27=0,0,ROUND(AVERAGE(F27:F40)/100,4))</f>
        <v>0</v>
      </c>
      <c r="AB27" s="3207">
        <f>IF(G27=0,0,ROUND(AVERAGE(G27:G40)/100,4))</f>
        <v>0</v>
      </c>
      <c r="AC27" s="3208"/>
      <c r="AD27" s="3179">
        <f>IF(I27=0,0,ROUND(AVERAGE(I27:I40)/100,4))</f>
        <v>0</v>
      </c>
    </row>
    <row r="28" spans="1:30" s="3180" customFormat="1" ht="12.75">
      <c r="A28" s="2204" t="s">
        <v>3362</v>
      </c>
      <c r="B28" s="3172">
        <v>2024</v>
      </c>
      <c r="C28" s="3173">
        <v>1</v>
      </c>
      <c r="D28" s="3174"/>
      <c r="E28" s="3174">
        <v>0</v>
      </c>
      <c r="F28" s="3174">
        <v>0</v>
      </c>
      <c r="G28" s="3174">
        <v>0</v>
      </c>
      <c r="H28" s="3174"/>
      <c r="I28" s="3175">
        <f t="shared" ref="I28:I29" si="38">F28</f>
        <v>0</v>
      </c>
      <c r="J28" s="3176"/>
      <c r="K28" s="3177"/>
      <c r="L28" s="3167">
        <f t="shared" ref="L28" si="39">E28/100</f>
        <v>0</v>
      </c>
      <c r="M28" s="3167">
        <f t="shared" ref="M28" si="40">F28/100</f>
        <v>0</v>
      </c>
      <c r="N28" s="3167">
        <f t="shared" ref="N28" si="41">G28/100</f>
        <v>0</v>
      </c>
      <c r="O28" s="3167"/>
      <c r="P28" s="3167">
        <f t="shared" ref="P28" si="42">M28</f>
        <v>0</v>
      </c>
      <c r="Q28" s="3176"/>
      <c r="R28" s="3178"/>
      <c r="S28" s="3178">
        <f>ROUND(IF(项目基本情况!$B$8="出让",SUMPRODUCT(PRODUCT(1+L28:L$40)),SUMPRODUCT(PRODUCT(1+L28:L$39))),4)</f>
        <v>1.0439000000000001</v>
      </c>
      <c r="T28" s="3178">
        <f>ROUND(IF(项目基本情况!$B$8="出让",SUMPRODUCT(PRODUCT(1+M28:M$40)),SUMPRODUCT(PRODUCT(1+M28:M$39))),4)</f>
        <v>1.0297000000000001</v>
      </c>
      <c r="U28" s="3178">
        <f>ROUND(IF(项目基本情况!$B$8="出让",SUMPRODUCT(PRODUCT(1+N28:N$40)),SUMPRODUCT(PRODUCT(1+N28:N$39))),4)</f>
        <v>1.0727</v>
      </c>
      <c r="V28" s="3178"/>
      <c r="W28" s="3178">
        <f t="shared" ref="W28" si="43">T28</f>
        <v>1.0297000000000001</v>
      </c>
      <c r="X28" s="3176"/>
      <c r="Y28" s="3179"/>
      <c r="Z28" s="3207"/>
      <c r="AA28" s="3209"/>
      <c r="AB28" s="3179"/>
      <c r="AC28" s="3208"/>
      <c r="AD28" s="3179"/>
    </row>
    <row r="29" spans="1:30" s="3190" customFormat="1" ht="12.75">
      <c r="A29" s="3181" t="s">
        <v>3366</v>
      </c>
      <c r="B29" s="3182">
        <v>2023</v>
      </c>
      <c r="C29" s="3183">
        <v>4</v>
      </c>
      <c r="D29" s="3184"/>
      <c r="E29" s="3184">
        <v>7.0000000000000007E-2</v>
      </c>
      <c r="F29" s="3184">
        <v>0.09</v>
      </c>
      <c r="G29" s="3184">
        <v>0.03</v>
      </c>
      <c r="H29" s="3185"/>
      <c r="I29" s="3186">
        <f t="shared" si="38"/>
        <v>0.09</v>
      </c>
      <c r="J29" s="3187"/>
      <c r="K29" s="3188"/>
      <c r="L29" s="3189">
        <f t="shared" si="37"/>
        <v>7.000000000000001E-4</v>
      </c>
      <c r="M29" s="3189">
        <f t="shared" si="37"/>
        <v>8.9999999999999998E-4</v>
      </c>
      <c r="N29" s="3189">
        <f t="shared" si="37"/>
        <v>2.9999999999999997E-4</v>
      </c>
      <c r="O29" s="3189"/>
      <c r="P29" s="3189">
        <f t="shared" ref="P29" si="44">M29</f>
        <v>8.9999999999999998E-4</v>
      </c>
      <c r="Q29" s="3187"/>
      <c r="R29" s="3187"/>
      <c r="S29" s="3187">
        <f>ROUND(IF(项目基本情况!$B$8="出让",SUMPRODUCT(PRODUCT(1+L29:L$40)),SUMPRODUCT(PRODUCT(1+L29:L$39))),4)</f>
        <v>1.0439000000000001</v>
      </c>
      <c r="T29" s="3187">
        <f>ROUND(IF(项目基本情况!$B$8="出让",SUMPRODUCT(PRODUCT(1+M29:M$40)),SUMPRODUCT(PRODUCT(1+M29:M$39))),4)</f>
        <v>1.0297000000000001</v>
      </c>
      <c r="U29" s="3187">
        <f>ROUND(IF(项目基本情况!$B$8="出让",SUMPRODUCT(PRODUCT(1+N29:N$40)),SUMPRODUCT(PRODUCT(1+N29:N$39))),4)</f>
        <v>1.0727</v>
      </c>
      <c r="V29" s="3187"/>
      <c r="W29" s="3187">
        <f t="shared" ref="W29" si="45">T29</f>
        <v>1.0297000000000001</v>
      </c>
      <c r="X29" s="3187"/>
      <c r="Y29" s="3189"/>
      <c r="Z29" s="3210"/>
      <c r="AA29" s="3211"/>
      <c r="AB29" s="3189"/>
      <c r="AC29" s="3212"/>
      <c r="AD29" s="3189"/>
    </row>
    <row r="30" spans="1:30" s="3180" customFormat="1" ht="12.75">
      <c r="A30" s="3171" t="s">
        <v>3365</v>
      </c>
      <c r="B30" s="3172">
        <v>2023</v>
      </c>
      <c r="C30" s="3173">
        <v>3</v>
      </c>
      <c r="D30" s="3174"/>
      <c r="E30" s="3174">
        <v>0.35</v>
      </c>
      <c r="F30" s="3174">
        <v>0.17</v>
      </c>
      <c r="G30" s="3174">
        <v>0.52</v>
      </c>
      <c r="H30" s="3191"/>
      <c r="I30" s="3175">
        <f t="shared" si="36"/>
        <v>0.17</v>
      </c>
      <c r="J30" s="3176"/>
      <c r="K30" s="3177"/>
      <c r="L30" s="3167">
        <f t="shared" ref="L30:L32" si="46">E30/100</f>
        <v>3.4999999999999996E-3</v>
      </c>
      <c r="M30" s="3167">
        <f t="shared" ref="M30:M32" si="47">F30/100</f>
        <v>1.7000000000000001E-3</v>
      </c>
      <c r="N30" s="3167">
        <f t="shared" ref="N30:N32" si="48">G30/100</f>
        <v>5.1999999999999998E-3</v>
      </c>
      <c r="O30" s="3167"/>
      <c r="P30" s="3167">
        <f t="shared" ref="P30:P32" si="49">M30</f>
        <v>1.7000000000000001E-3</v>
      </c>
      <c r="Q30" s="3176"/>
      <c r="R30" s="3178"/>
      <c r="S30" s="3178">
        <f>ROUND(IF(项目基本情况!$B$8="出让",SUMPRODUCT(PRODUCT(1+L30:L$40)),SUMPRODUCT(PRODUCT(1+L30:L$39))),4)</f>
        <v>1.0431999999999999</v>
      </c>
      <c r="T30" s="3178">
        <f>ROUND(IF(项目基本情况!$B$8="出让",SUMPRODUCT(PRODUCT(1+M30:M$40)),SUMPRODUCT(PRODUCT(1+M30:M$39))),4)</f>
        <v>1.0286999999999999</v>
      </c>
      <c r="U30" s="3178">
        <f>ROUND(IF(项目基本情况!$B$8="出让",SUMPRODUCT(PRODUCT(1+N30:N$40)),SUMPRODUCT(PRODUCT(1+N30:N$39))),4)</f>
        <v>1.0723</v>
      </c>
      <c r="V30" s="3178"/>
      <c r="W30" s="3178">
        <f t="shared" ref="W30:W32" si="50">T30</f>
        <v>1.0286999999999999</v>
      </c>
      <c r="X30" s="3176"/>
      <c r="Y30" s="3179"/>
      <c r="Z30" s="3207"/>
      <c r="AA30" s="3209"/>
      <c r="AB30" s="3179"/>
      <c r="AC30" s="3208"/>
      <c r="AD30" s="3179"/>
    </row>
    <row r="31" spans="1:30" s="3180" customFormat="1" ht="12.75">
      <c r="A31" s="3171" t="s">
        <v>3360</v>
      </c>
      <c r="B31" s="3172">
        <v>2023</v>
      </c>
      <c r="C31" s="3173">
        <v>2</v>
      </c>
      <c r="D31" s="3174"/>
      <c r="E31" s="3174">
        <v>0.5</v>
      </c>
      <c r="F31" s="3174">
        <v>0.45</v>
      </c>
      <c r="G31" s="3174">
        <v>0.89</v>
      </c>
      <c r="H31" s="3191"/>
      <c r="I31" s="3175">
        <f t="shared" si="36"/>
        <v>0.45</v>
      </c>
      <c r="J31" s="3176"/>
      <c r="K31" s="3177"/>
      <c r="L31" s="3167">
        <f t="shared" si="46"/>
        <v>5.0000000000000001E-3</v>
      </c>
      <c r="M31" s="3167">
        <f t="shared" si="47"/>
        <v>4.5000000000000005E-3</v>
      </c>
      <c r="N31" s="3167">
        <f t="shared" si="48"/>
        <v>8.8999999999999999E-3</v>
      </c>
      <c r="O31" s="3167"/>
      <c r="P31" s="3167">
        <f t="shared" si="49"/>
        <v>4.5000000000000005E-3</v>
      </c>
      <c r="Q31" s="3176"/>
      <c r="R31" s="3178"/>
      <c r="S31" s="3178">
        <f>ROUND(IF(项目基本情况!$B$8="出让",SUMPRODUCT(PRODUCT(1+L31:L$40)),SUMPRODUCT(PRODUCT(1+L31:L$39))),4)</f>
        <v>1.0396000000000001</v>
      </c>
      <c r="T31" s="3178">
        <f>ROUND(IF(项目基本情况!$B$8="出让",SUMPRODUCT(PRODUCT(1+M31:M$40)),SUMPRODUCT(PRODUCT(1+M31:M$39))),4)</f>
        <v>1.0269999999999999</v>
      </c>
      <c r="U31" s="3178">
        <f>ROUND(IF(项目基本情况!$B$8="出让",SUMPRODUCT(PRODUCT(1+N31:N$40)),SUMPRODUCT(PRODUCT(1+N31:N$39))),4)</f>
        <v>1.0668</v>
      </c>
      <c r="V31" s="3178"/>
      <c r="W31" s="3178">
        <f t="shared" si="50"/>
        <v>1.0269999999999999</v>
      </c>
      <c r="X31" s="3176"/>
      <c r="Y31" s="3179"/>
      <c r="Z31" s="3207"/>
      <c r="AA31" s="3209"/>
      <c r="AB31" s="3179"/>
      <c r="AC31" s="3208"/>
      <c r="AD31" s="3179"/>
    </row>
    <row r="32" spans="1:30" s="3180" customFormat="1" ht="12.75">
      <c r="A32" s="3171" t="s">
        <v>3356</v>
      </c>
      <c r="B32" s="3172">
        <v>2023</v>
      </c>
      <c r="C32" s="3173">
        <v>1</v>
      </c>
      <c r="D32" s="3174"/>
      <c r="E32" s="3174">
        <v>0.55000000000000004</v>
      </c>
      <c r="F32" s="3174">
        <v>0.59</v>
      </c>
      <c r="G32" s="3174">
        <v>0.64</v>
      </c>
      <c r="H32" s="3191"/>
      <c r="I32" s="3175">
        <f t="shared" si="36"/>
        <v>0.59</v>
      </c>
      <c r="J32" s="3176"/>
      <c r="K32" s="3177"/>
      <c r="L32" s="3167">
        <f t="shared" si="46"/>
        <v>5.5000000000000005E-3</v>
      </c>
      <c r="M32" s="3167">
        <f t="shared" si="47"/>
        <v>5.8999999999999999E-3</v>
      </c>
      <c r="N32" s="3167">
        <f t="shared" si="48"/>
        <v>6.4000000000000003E-3</v>
      </c>
      <c r="O32" s="3167"/>
      <c r="P32" s="3167">
        <f t="shared" si="49"/>
        <v>5.8999999999999999E-3</v>
      </c>
      <c r="Q32" s="3176"/>
      <c r="R32" s="3178"/>
      <c r="S32" s="3178">
        <f>ROUND(IF(项目基本情况!$B$8="出让",SUMPRODUCT(PRODUCT(1+L32:L$40)),SUMPRODUCT(PRODUCT(1+L32:L$39))),4)</f>
        <v>1.0344</v>
      </c>
      <c r="T32" s="3178">
        <f>ROUND(IF(项目基本情况!$B$8="出让",SUMPRODUCT(PRODUCT(1+M32:M$40)),SUMPRODUCT(PRODUCT(1+M32:M$39))),4)</f>
        <v>1.0224</v>
      </c>
      <c r="U32" s="3178">
        <f>ROUND(IF(项目基本情况!$B$8="出让",SUMPRODUCT(PRODUCT(1+N32:N$40)),SUMPRODUCT(PRODUCT(1+N32:N$39))),4)</f>
        <v>1.0573999999999999</v>
      </c>
      <c r="V32" s="3178"/>
      <c r="W32" s="3178">
        <f t="shared" si="50"/>
        <v>1.0224</v>
      </c>
      <c r="X32" s="3176"/>
      <c r="Y32" s="3179"/>
      <c r="Z32" s="3207"/>
      <c r="AA32" s="3209"/>
      <c r="AB32" s="3179"/>
      <c r="AC32" s="3208"/>
      <c r="AD32" s="3179"/>
    </row>
    <row r="33" spans="1:30" s="3180" customFormat="1" ht="12.75">
      <c r="A33" s="3171" t="s">
        <v>3355</v>
      </c>
      <c r="B33" s="3172">
        <v>2022</v>
      </c>
      <c r="C33" s="3173">
        <v>4</v>
      </c>
      <c r="D33" s="3174"/>
      <c r="E33" s="3174">
        <v>0.45</v>
      </c>
      <c r="F33" s="3174">
        <v>0.2</v>
      </c>
      <c r="G33" s="3174">
        <v>0.38</v>
      </c>
      <c r="H33" s="3191"/>
      <c r="I33" s="3175">
        <f t="shared" si="36"/>
        <v>0.2</v>
      </c>
      <c r="J33" s="3176"/>
      <c r="K33" s="3177"/>
      <c r="L33" s="3167">
        <f t="shared" si="37"/>
        <v>4.5000000000000005E-3</v>
      </c>
      <c r="M33" s="3167">
        <f t="shared" si="37"/>
        <v>2E-3</v>
      </c>
      <c r="N33" s="3167">
        <f t="shared" si="37"/>
        <v>3.8E-3</v>
      </c>
      <c r="O33" s="3167"/>
      <c r="P33" s="3167">
        <f t="shared" ref="P33:P40" si="51">M33</f>
        <v>2E-3</v>
      </c>
      <c r="Q33" s="3176"/>
      <c r="R33" s="3178"/>
      <c r="S33" s="3178">
        <f>ROUND(IF(项目基本情况!$B$8="出让",SUMPRODUCT(PRODUCT(1+L33:L$40)),SUMPRODUCT(PRODUCT(1+L33:L$39))),4)</f>
        <v>1.0286999999999999</v>
      </c>
      <c r="T33" s="3178">
        <f>ROUND(IF(项目基本情况!$B$8="出让",SUMPRODUCT(PRODUCT(1+M33:M$40)),SUMPRODUCT(PRODUCT(1+M33:M$39))),4)</f>
        <v>1.0164</v>
      </c>
      <c r="U33" s="3178">
        <f>ROUND(IF(项目基本情况!$B$8="出让",SUMPRODUCT(PRODUCT(1+N33:N$40)),SUMPRODUCT(PRODUCT(1+N33:N$39))),4)</f>
        <v>1.0506</v>
      </c>
      <c r="V33" s="3178"/>
      <c r="W33" s="3178">
        <f t="shared" ref="W33:W40" si="52">T33</f>
        <v>1.0164</v>
      </c>
      <c r="X33" s="3176"/>
      <c r="Y33" s="3179"/>
      <c r="Z33" s="3207">
        <f t="shared" ref="Z33:AD40" si="53">IF(E33=0,0,ROUND(AVERAGE(E33:E41)/100,4))</f>
        <v>4.0000000000000001E-3</v>
      </c>
      <c r="AA33" s="3209">
        <f t="shared" si="53"/>
        <v>2.5999999999999999E-3</v>
      </c>
      <c r="AB33" s="3179">
        <f t="shared" si="53"/>
        <v>7.4000000000000003E-3</v>
      </c>
      <c r="AC33" s="3208"/>
      <c r="AD33" s="3179">
        <f t="shared" si="53"/>
        <v>2.5999999999999999E-3</v>
      </c>
    </row>
    <row r="34" spans="1:30" s="3180" customFormat="1" ht="12.75">
      <c r="A34" s="3171" t="s">
        <v>3352</v>
      </c>
      <c r="B34" s="3172">
        <v>2022</v>
      </c>
      <c r="C34" s="3173">
        <v>3</v>
      </c>
      <c r="D34" s="3174"/>
      <c r="E34" s="3174">
        <v>0.3</v>
      </c>
      <c r="F34" s="3174">
        <v>0.28999999999999998</v>
      </c>
      <c r="G34" s="3174">
        <v>0.83</v>
      </c>
      <c r="H34" s="3191"/>
      <c r="I34" s="3175">
        <f t="shared" si="36"/>
        <v>0.28999999999999998</v>
      </c>
      <c r="J34" s="3176"/>
      <c r="K34" s="3177"/>
      <c r="L34" s="3167">
        <f t="shared" si="37"/>
        <v>3.0000000000000001E-3</v>
      </c>
      <c r="M34" s="3167">
        <f t="shared" si="37"/>
        <v>2.8999999999999998E-3</v>
      </c>
      <c r="N34" s="3167">
        <f t="shared" si="37"/>
        <v>8.3000000000000001E-3</v>
      </c>
      <c r="O34" s="3167"/>
      <c r="P34" s="3167">
        <f t="shared" si="51"/>
        <v>2.8999999999999998E-3</v>
      </c>
      <c r="Q34" s="3176"/>
      <c r="R34" s="3178"/>
      <c r="S34" s="3178">
        <f>ROUND(IF(项目基本情况!$B$8="出让",SUMPRODUCT(PRODUCT(1+L34:L$40)),SUMPRODUCT(PRODUCT(1+L34:L$39))),4)</f>
        <v>1.0241</v>
      </c>
      <c r="T34" s="3178">
        <f>ROUND(IF(项目基本情况!$B$8="出让",SUMPRODUCT(PRODUCT(1+M34:M$40)),SUMPRODUCT(PRODUCT(1+M34:M$39))),4)</f>
        <v>1.0144</v>
      </c>
      <c r="U34" s="3178">
        <f>ROUND(IF(项目基本情况!$B$8="出让",SUMPRODUCT(PRODUCT(1+N34:N$40)),SUMPRODUCT(PRODUCT(1+N34:N$39))),4)</f>
        <v>1.0467</v>
      </c>
      <c r="V34" s="3178"/>
      <c r="W34" s="3178">
        <f t="shared" si="52"/>
        <v>1.0144</v>
      </c>
      <c r="X34" s="3176"/>
      <c r="Y34" s="3179"/>
      <c r="Z34" s="3207">
        <f t="shared" si="53"/>
        <v>3.8999999999999998E-3</v>
      </c>
      <c r="AA34" s="3209">
        <f t="shared" si="53"/>
        <v>2.7000000000000001E-3</v>
      </c>
      <c r="AB34" s="3179">
        <f t="shared" si="53"/>
        <v>7.9000000000000008E-3</v>
      </c>
      <c r="AC34" s="3208"/>
      <c r="AD34" s="3179">
        <f t="shared" si="53"/>
        <v>2.7000000000000001E-3</v>
      </c>
    </row>
    <row r="35" spans="1:30" s="3180" customFormat="1" ht="12.75">
      <c r="A35" s="3171" t="s">
        <v>3343</v>
      </c>
      <c r="B35" s="3172">
        <v>2022</v>
      </c>
      <c r="C35" s="3173">
        <v>2</v>
      </c>
      <c r="D35" s="3174"/>
      <c r="E35" s="3174">
        <v>-0.11</v>
      </c>
      <c r="F35" s="3174">
        <v>-0.13</v>
      </c>
      <c r="G35" s="3174">
        <v>0.53</v>
      </c>
      <c r="H35" s="3191"/>
      <c r="I35" s="3175">
        <f t="shared" si="36"/>
        <v>-0.13</v>
      </c>
      <c r="J35" s="3176"/>
      <c r="K35" s="3177"/>
      <c r="L35" s="3167">
        <f t="shared" si="37"/>
        <v>-1.1000000000000001E-3</v>
      </c>
      <c r="M35" s="3167">
        <f t="shared" si="37"/>
        <v>-1.2999999999999999E-3</v>
      </c>
      <c r="N35" s="3167">
        <f t="shared" si="37"/>
        <v>5.3E-3</v>
      </c>
      <c r="O35" s="3167"/>
      <c r="P35" s="3167">
        <f t="shared" si="51"/>
        <v>-1.2999999999999999E-3</v>
      </c>
      <c r="Q35" s="3176"/>
      <c r="R35" s="3178"/>
      <c r="S35" s="3178">
        <f>ROUND(IF(项目基本情况!$B$8="出让",SUMPRODUCT(PRODUCT(1+L35:L$40)),SUMPRODUCT(PRODUCT(1+L35:L$39))),4)</f>
        <v>1.0210999999999999</v>
      </c>
      <c r="T35" s="3178">
        <f>ROUND(IF(项目基本情况!$B$8="出让",SUMPRODUCT(PRODUCT(1+M35:M$40)),SUMPRODUCT(PRODUCT(1+M35:M$39))),4)</f>
        <v>1.0114000000000001</v>
      </c>
      <c r="U35" s="3178">
        <f>ROUND(IF(项目基本情况!$B$8="出让",SUMPRODUCT(PRODUCT(1+N35:N$40)),SUMPRODUCT(PRODUCT(1+N35:N$39))),4)</f>
        <v>1.0381</v>
      </c>
      <c r="V35" s="3178"/>
      <c r="W35" s="3178">
        <f t="shared" si="52"/>
        <v>1.0114000000000001</v>
      </c>
      <c r="X35" s="3176"/>
      <c r="Y35" s="3179"/>
      <c r="Z35" s="3207">
        <f t="shared" si="53"/>
        <v>4.1000000000000003E-3</v>
      </c>
      <c r="AA35" s="3209">
        <f t="shared" si="53"/>
        <v>2.7000000000000001E-3</v>
      </c>
      <c r="AB35" s="3179">
        <f t="shared" si="53"/>
        <v>7.9000000000000008E-3</v>
      </c>
      <c r="AC35" s="3208"/>
      <c r="AD35" s="3179">
        <f t="shared" si="53"/>
        <v>2.7000000000000001E-3</v>
      </c>
    </row>
    <row r="36" spans="1:30" s="3180" customFormat="1" ht="12.75">
      <c r="A36" s="3171" t="s">
        <v>2823</v>
      </c>
      <c r="B36" s="3172">
        <v>2022</v>
      </c>
      <c r="C36" s="3173">
        <v>1</v>
      </c>
      <c r="D36" s="3174"/>
      <c r="E36" s="3174">
        <v>0.6</v>
      </c>
      <c r="F36" s="3174">
        <v>0.45</v>
      </c>
      <c r="G36" s="3174">
        <v>0.53</v>
      </c>
      <c r="H36" s="3191"/>
      <c r="I36" s="3175">
        <f t="shared" si="36"/>
        <v>0.45</v>
      </c>
      <c r="J36" s="3176"/>
      <c r="K36" s="3177"/>
      <c r="L36" s="3167">
        <f t="shared" si="37"/>
        <v>6.0000000000000001E-3</v>
      </c>
      <c r="M36" s="3167">
        <f t="shared" si="37"/>
        <v>4.5000000000000005E-3</v>
      </c>
      <c r="N36" s="3167">
        <f t="shared" si="37"/>
        <v>5.3E-3</v>
      </c>
      <c r="O36" s="3167"/>
      <c r="P36" s="3167">
        <f t="shared" si="51"/>
        <v>4.5000000000000005E-3</v>
      </c>
      <c r="Q36" s="3176"/>
      <c r="R36" s="3178"/>
      <c r="S36" s="3178">
        <f>ROUND(IF(项目基本情况!$B$8="出让",SUMPRODUCT(PRODUCT(1+L36:L$40)),SUMPRODUCT(PRODUCT(1+L36:L$39))),4)</f>
        <v>1.0222</v>
      </c>
      <c r="T36" s="3178">
        <f>ROUND(IF(项目基本情况!$B$8="出让",SUMPRODUCT(PRODUCT(1+M36:M$40)),SUMPRODUCT(PRODUCT(1+M36:M$39))),4)</f>
        <v>1.0127999999999999</v>
      </c>
      <c r="U36" s="3178">
        <f>ROUND(IF(项目基本情况!$B$8="出让",SUMPRODUCT(PRODUCT(1+N36:N$40)),SUMPRODUCT(PRODUCT(1+N36:N$39))),4)</f>
        <v>1.0326</v>
      </c>
      <c r="V36" s="3178"/>
      <c r="W36" s="3178">
        <f t="shared" si="52"/>
        <v>1.0127999999999999</v>
      </c>
      <c r="X36" s="3176"/>
      <c r="Y36" s="3179"/>
      <c r="Z36" s="3207">
        <f t="shared" si="53"/>
        <v>5.1000000000000004E-3</v>
      </c>
      <c r="AA36" s="3209">
        <f t="shared" si="53"/>
        <v>3.5000000000000001E-3</v>
      </c>
      <c r="AB36" s="3179">
        <f t="shared" si="53"/>
        <v>8.3999999999999995E-3</v>
      </c>
      <c r="AC36" s="3208"/>
      <c r="AD36" s="3179">
        <f t="shared" si="53"/>
        <v>3.5000000000000001E-3</v>
      </c>
    </row>
    <row r="37" spans="1:30" s="3180" customFormat="1" ht="12.75">
      <c r="A37" s="3171" t="s">
        <v>2824</v>
      </c>
      <c r="B37" s="3172">
        <v>2021</v>
      </c>
      <c r="C37" s="3173">
        <v>4</v>
      </c>
      <c r="D37" s="3174"/>
      <c r="E37" s="3174">
        <v>0.57999999999999996</v>
      </c>
      <c r="F37" s="3174">
        <v>0.08</v>
      </c>
      <c r="G37" s="3174">
        <v>0.68</v>
      </c>
      <c r="H37" s="3191"/>
      <c r="I37" s="3175">
        <f t="shared" si="36"/>
        <v>0.08</v>
      </c>
      <c r="J37" s="3176"/>
      <c r="K37" s="3177"/>
      <c r="L37" s="3167">
        <f t="shared" si="37"/>
        <v>5.7999999999999996E-3</v>
      </c>
      <c r="M37" s="3167">
        <f t="shared" si="37"/>
        <v>8.0000000000000004E-4</v>
      </c>
      <c r="N37" s="3167">
        <f t="shared" si="37"/>
        <v>6.8000000000000005E-3</v>
      </c>
      <c r="O37" s="3167"/>
      <c r="P37" s="3167">
        <f t="shared" si="51"/>
        <v>8.0000000000000004E-4</v>
      </c>
      <c r="Q37" s="3176"/>
      <c r="R37" s="3178"/>
      <c r="S37" s="3178">
        <f>ROUND(IF(项目基本情况!$B$8="出让",SUMPRODUCT(PRODUCT(1+L37:L$40)),SUMPRODUCT(PRODUCT(1+L37:L$39))),4)</f>
        <v>1.0161</v>
      </c>
      <c r="T37" s="3178">
        <f>ROUND(IF(项目基本情况!$B$8="出让",SUMPRODUCT(PRODUCT(1+M37:M$40)),SUMPRODUCT(PRODUCT(1+M37:M$39))),4)</f>
        <v>1.0082</v>
      </c>
      <c r="U37" s="3178">
        <f>ROUND(IF(项目基本情况!$B$8="出让",SUMPRODUCT(PRODUCT(1+N37:N$40)),SUMPRODUCT(PRODUCT(1+N37:N$39))),4)</f>
        <v>1.0270999999999999</v>
      </c>
      <c r="V37" s="3178"/>
      <c r="W37" s="3178">
        <f t="shared" si="52"/>
        <v>1.0082</v>
      </c>
      <c r="X37" s="3176"/>
      <c r="Y37" s="3179"/>
      <c r="Z37" s="3207">
        <f t="shared" si="53"/>
        <v>4.8999999999999998E-3</v>
      </c>
      <c r="AA37" s="3209">
        <f t="shared" si="53"/>
        <v>3.3E-3</v>
      </c>
      <c r="AB37" s="3179">
        <f t="shared" si="53"/>
        <v>9.1999999999999998E-3</v>
      </c>
      <c r="AC37" s="3208"/>
      <c r="AD37" s="3179">
        <f t="shared" si="53"/>
        <v>3.3E-3</v>
      </c>
    </row>
    <row r="38" spans="1:30" s="3180" customFormat="1" ht="12.75">
      <c r="A38" s="3171" t="s">
        <v>2825</v>
      </c>
      <c r="B38" s="3172">
        <v>2021</v>
      </c>
      <c r="C38" s="3173">
        <v>3</v>
      </c>
      <c r="D38" s="3174"/>
      <c r="E38" s="3174">
        <v>0.47</v>
      </c>
      <c r="F38" s="3174">
        <v>0.28000000000000003</v>
      </c>
      <c r="G38" s="3174">
        <v>0.91</v>
      </c>
      <c r="H38" s="3191"/>
      <c r="I38" s="3175">
        <f t="shared" si="36"/>
        <v>0.28000000000000003</v>
      </c>
      <c r="J38" s="3176"/>
      <c r="K38" s="3177"/>
      <c r="L38" s="3167">
        <f t="shared" si="37"/>
        <v>4.6999999999999993E-3</v>
      </c>
      <c r="M38" s="3167">
        <f t="shared" si="37"/>
        <v>2.8000000000000004E-3</v>
      </c>
      <c r="N38" s="3167">
        <f t="shared" si="37"/>
        <v>9.1000000000000004E-3</v>
      </c>
      <c r="O38" s="3167"/>
      <c r="P38" s="3167">
        <f t="shared" si="51"/>
        <v>2.8000000000000004E-3</v>
      </c>
      <c r="Q38" s="3176"/>
      <c r="R38" s="3178"/>
      <c r="S38" s="3178">
        <f>ROUND(IF(项目基本情况!$B$8="出让",SUMPRODUCT(PRODUCT(1+L38:L$40)),SUMPRODUCT(PRODUCT(1+L38:L$39))),4)</f>
        <v>1.0102</v>
      </c>
      <c r="T38" s="3178">
        <f>ROUND(IF(项目基本情况!$B$8="出让",SUMPRODUCT(PRODUCT(1+M38:M$40)),SUMPRODUCT(PRODUCT(1+M38:M$39))),4)</f>
        <v>1.0074000000000001</v>
      </c>
      <c r="U38" s="3178">
        <f>ROUND(IF(项目基本情况!$B$8="出让",SUMPRODUCT(PRODUCT(1+N38:N$40)),SUMPRODUCT(PRODUCT(1+N38:N$39))),4)</f>
        <v>1.0202</v>
      </c>
      <c r="V38" s="3178"/>
      <c r="W38" s="3178">
        <f t="shared" si="52"/>
        <v>1.0074000000000001</v>
      </c>
      <c r="X38" s="3176"/>
      <c r="Y38" s="3179"/>
      <c r="Z38" s="3207">
        <f t="shared" si="53"/>
        <v>4.5999999999999999E-3</v>
      </c>
      <c r="AA38" s="3209">
        <f t="shared" si="53"/>
        <v>4.1000000000000003E-3</v>
      </c>
      <c r="AB38" s="3179">
        <f t="shared" si="53"/>
        <v>0.01</v>
      </c>
      <c r="AC38" s="3208"/>
      <c r="AD38" s="3179">
        <f t="shared" si="53"/>
        <v>4.1000000000000003E-3</v>
      </c>
    </row>
    <row r="39" spans="1:30" s="3180" customFormat="1" ht="12.75">
      <c r="A39" s="3171" t="s">
        <v>2826</v>
      </c>
      <c r="B39" s="3172">
        <v>2021</v>
      </c>
      <c r="C39" s="3173">
        <v>2</v>
      </c>
      <c r="D39" s="3174"/>
      <c r="E39" s="3174">
        <v>0.55000000000000004</v>
      </c>
      <c r="F39" s="3174">
        <v>0.46</v>
      </c>
      <c r="G39" s="3174">
        <v>1.1000000000000001</v>
      </c>
      <c r="H39" s="3191"/>
      <c r="I39" s="3175">
        <f t="shared" si="36"/>
        <v>0.46</v>
      </c>
      <c r="J39" s="3176"/>
      <c r="K39" s="3177"/>
      <c r="L39" s="3167">
        <f t="shared" si="37"/>
        <v>5.5000000000000005E-3</v>
      </c>
      <c r="M39" s="3167">
        <f t="shared" si="37"/>
        <v>4.5999999999999999E-3</v>
      </c>
      <c r="N39" s="3167">
        <f t="shared" si="37"/>
        <v>1.1000000000000001E-2</v>
      </c>
      <c r="O39" s="3167"/>
      <c r="P39" s="3167">
        <f t="shared" si="51"/>
        <v>4.5999999999999999E-3</v>
      </c>
      <c r="Q39" s="3176"/>
      <c r="R39" s="3178"/>
      <c r="S39" s="3178">
        <f>ROUND(IF(项目基本情况!$B$8="出让",SUMPRODUCT(PRODUCT(1+L39:L$40)),SUMPRODUCT(PRODUCT(1+L39:L$39))),4)</f>
        <v>1.0055000000000001</v>
      </c>
      <c r="T39" s="3178">
        <f>ROUND(IF(项目基本情况!$B$8="出让",SUMPRODUCT(PRODUCT(1+M39:M$40)),SUMPRODUCT(PRODUCT(1+M39:M$39))),4)</f>
        <v>1.0045999999999999</v>
      </c>
      <c r="U39" s="3178">
        <f>ROUND(IF(项目基本情况!$B$8="出让",SUMPRODUCT(PRODUCT(1+N39:N$40)),SUMPRODUCT(PRODUCT(1+N39:N$39))),4)</f>
        <v>1.0109999999999999</v>
      </c>
      <c r="V39" s="3178"/>
      <c r="W39" s="3178">
        <f t="shared" si="52"/>
        <v>1.0045999999999999</v>
      </c>
      <c r="X39" s="3176"/>
      <c r="Y39" s="3179"/>
      <c r="Z39" s="3207">
        <f t="shared" si="53"/>
        <v>4.4999999999999997E-3</v>
      </c>
      <c r="AA39" s="3209">
        <f t="shared" si="53"/>
        <v>4.7000000000000002E-3</v>
      </c>
      <c r="AB39" s="3179">
        <f t="shared" si="53"/>
        <v>1.04E-2</v>
      </c>
      <c r="AC39" s="3208"/>
      <c r="AD39" s="3179">
        <f t="shared" si="53"/>
        <v>4.7000000000000002E-3</v>
      </c>
    </row>
    <row r="40" spans="1:30" s="3202" customFormat="1" thickBot="1">
      <c r="A40" s="3192" t="s">
        <v>2812</v>
      </c>
      <c r="B40" s="3193">
        <v>2021</v>
      </c>
      <c r="C40" s="3194">
        <v>1</v>
      </c>
      <c r="D40" s="3195"/>
      <c r="E40" s="3195">
        <v>0.35</v>
      </c>
      <c r="F40" s="3195">
        <v>0.48</v>
      </c>
      <c r="G40" s="3195">
        <v>0.98</v>
      </c>
      <c r="H40" s="3196"/>
      <c r="I40" s="3197">
        <f t="shared" si="36"/>
        <v>0.48</v>
      </c>
      <c r="J40" s="3198"/>
      <c r="K40" s="3199"/>
      <c r="L40" s="3200">
        <f t="shared" si="37"/>
        <v>3.4999999999999996E-3</v>
      </c>
      <c r="M40" s="3200">
        <f>F40/100</f>
        <v>4.7999999999999996E-3</v>
      </c>
      <c r="N40" s="3200">
        <f t="shared" si="37"/>
        <v>9.7999999999999997E-3</v>
      </c>
      <c r="O40" s="3200"/>
      <c r="P40" s="3200">
        <f t="shared" si="51"/>
        <v>4.7999999999999996E-3</v>
      </c>
      <c r="Q40" s="3198"/>
      <c r="R40" s="3201"/>
      <c r="S40" s="3201">
        <v>1</v>
      </c>
      <c r="T40" s="3201">
        <v>1</v>
      </c>
      <c r="U40" s="3201">
        <v>1</v>
      </c>
      <c r="V40" s="3201"/>
      <c r="W40" s="3201">
        <f t="shared" si="52"/>
        <v>1</v>
      </c>
      <c r="X40" s="3198"/>
      <c r="Y40" s="3200"/>
      <c r="Z40" s="3213">
        <f t="shared" si="53"/>
        <v>3.5000000000000001E-3</v>
      </c>
      <c r="AA40" s="3214">
        <f t="shared" si="53"/>
        <v>4.7999999999999996E-3</v>
      </c>
      <c r="AB40" s="3200">
        <f t="shared" si="53"/>
        <v>9.7999999999999997E-3</v>
      </c>
      <c r="AC40" s="3215"/>
      <c r="AD40" s="3200">
        <f t="shared" si="53"/>
        <v>4.7999999999999996E-3</v>
      </c>
    </row>
    <row r="41" spans="1:30" ht="14.25" thickTop="1"/>
    <row r="42" spans="1:30">
      <c r="A42" s="3443" t="s">
        <v>3354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35" t="s">
        <v>452</v>
      </c>
      <c r="C1" s="3835"/>
      <c r="D1" s="3835"/>
      <c r="E1" s="3835"/>
      <c r="F1" s="3835"/>
      <c r="G1" s="3831" t="s">
        <v>453</v>
      </c>
      <c r="H1" s="3831"/>
      <c r="I1" s="3831"/>
      <c r="J1" s="3831"/>
      <c r="K1" s="3831"/>
      <c r="L1" s="3831"/>
      <c r="N1" s="3831" t="s">
        <v>454</v>
      </c>
      <c r="O1" s="3831"/>
      <c r="P1" s="3831"/>
      <c r="Q1" s="3831"/>
      <c r="S1" s="3831" t="s">
        <v>455</v>
      </c>
      <c r="T1" s="3831"/>
      <c r="U1" s="3831"/>
      <c r="V1" s="3831"/>
      <c r="X1" s="3830" t="s">
        <v>456</v>
      </c>
      <c r="Y1" s="3831"/>
      <c r="Z1" s="3831"/>
      <c r="AA1" s="3831"/>
      <c r="AB1" s="3831"/>
      <c r="AD1" s="3830" t="s">
        <v>457</v>
      </c>
      <c r="AE1" s="3831"/>
      <c r="AF1" s="3831"/>
      <c r="AG1" s="3831"/>
      <c r="AH1" s="3831"/>
    </row>
    <row r="2" spans="1:34" s="2171" customFormat="1" ht="14.25" thickBot="1">
      <c r="B2" s="2172" t="s">
        <v>458</v>
      </c>
      <c r="C2" s="2172" t="s">
        <v>459</v>
      </c>
      <c r="D2" s="2173" t="s">
        <v>460</v>
      </c>
      <c r="E2" s="2173" t="s">
        <v>461</v>
      </c>
      <c r="F2" s="2172" t="s">
        <v>462</v>
      </c>
      <c r="G2" s="2174"/>
      <c r="I2" s="2172" t="s">
        <v>458</v>
      </c>
      <c r="J2" s="2173" t="s">
        <v>671</v>
      </c>
      <c r="K2" s="2173" t="s">
        <v>308</v>
      </c>
      <c r="L2" s="2172" t="s">
        <v>462</v>
      </c>
      <c r="N2" s="2172" t="s">
        <v>458</v>
      </c>
      <c r="O2" s="2173" t="s">
        <v>671</v>
      </c>
      <c r="P2" s="2173" t="s">
        <v>308</v>
      </c>
      <c r="Q2" s="2172" t="s">
        <v>462</v>
      </c>
      <c r="S2" s="2172" t="s">
        <v>458</v>
      </c>
      <c r="T2" s="2173" t="s">
        <v>671</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2107</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1">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3347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1">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2108</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3348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1">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3349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1">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2424</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0">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2303</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2302</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2301</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2298</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2297</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2123</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2121</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2120</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2119</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2117</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2116</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2118</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3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2114</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3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2113</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3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2106</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4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2104</v>
      </c>
      <c r="B25" s="2219">
        <v>439</v>
      </c>
      <c r="C25" s="2219">
        <v>327</v>
      </c>
      <c r="D25" s="2219">
        <f>C25</f>
        <v>327</v>
      </c>
      <c r="E25" s="2219">
        <v>627</v>
      </c>
      <c r="F25" s="2220">
        <v>283</v>
      </c>
      <c r="G25" s="383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2105</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3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672</v>
      </c>
      <c r="B27" s="2205">
        <f t="shared" si="232"/>
        <v>419.31181600000002</v>
      </c>
      <c r="C27" s="2205">
        <f t="shared" si="233"/>
        <v>313.95436800000004</v>
      </c>
      <c r="D27" s="2205">
        <f t="shared" si="234"/>
        <v>313.95436800000004</v>
      </c>
      <c r="E27" s="2205">
        <f t="shared" si="235"/>
        <v>596.63028431999999</v>
      </c>
      <c r="F27" s="2205">
        <f t="shared" si="236"/>
        <v>274.74220703999998</v>
      </c>
      <c r="G27" s="383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4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3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3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3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3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3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3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3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3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3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3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3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3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3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3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3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3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3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3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3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3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3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3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3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3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3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3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3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3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3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3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3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3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3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3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3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3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3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3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3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3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3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3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3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3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3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3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3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3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3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3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3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3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3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33">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34">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3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3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33">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34">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45352</v>
      </c>
      <c r="D1" s="1302" t="s">
        <v>603</v>
      </c>
      <c r="E1" s="1297">
        <f>'数据-取费表'!B22</f>
        <v>3</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45159</v>
      </c>
      <c r="D13" s="2819">
        <v>3.45</v>
      </c>
      <c r="E13" s="2819">
        <f>D13</f>
        <v>3.45</v>
      </c>
      <c r="F13" s="2819">
        <f>D13</f>
        <v>3.45</v>
      </c>
      <c r="G13" s="2819">
        <f>D13</f>
        <v>3.45</v>
      </c>
      <c r="H13" s="2819">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45097</v>
      </c>
      <c r="D14" s="2814">
        <v>3.55</v>
      </c>
      <c r="E14" s="2814">
        <f>D14</f>
        <v>3.55</v>
      </c>
      <c r="F14" s="2814">
        <f>D14</f>
        <v>3.55</v>
      </c>
      <c r="G14" s="2814">
        <f>D14</f>
        <v>3.55</v>
      </c>
      <c r="H14" s="2814">
        <v>4.2</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44795</v>
      </c>
      <c r="D15" s="2814">
        <v>3.65</v>
      </c>
      <c r="E15" s="2814">
        <v>3.65</v>
      </c>
      <c r="F15" s="2814">
        <v>3.65</v>
      </c>
      <c r="G15" s="2814">
        <v>3.65</v>
      </c>
      <c r="H15" s="2814">
        <v>4.3</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3"/>
      <c r="C16" s="2815">
        <v>44701</v>
      </c>
      <c r="D16" s="2814">
        <v>3.7</v>
      </c>
      <c r="E16" s="2814">
        <f>D16</f>
        <v>3.7</v>
      </c>
      <c r="F16" s="2814">
        <f>D16</f>
        <v>3.7</v>
      </c>
      <c r="G16" s="2814">
        <f>D16</f>
        <v>3.7</v>
      </c>
      <c r="H16" s="2814">
        <v>4.45</v>
      </c>
      <c r="I16" s="2819"/>
      <c r="J16" s="2819"/>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3"/>
      <c r="C17" s="2815">
        <v>44581</v>
      </c>
      <c r="D17" s="2814">
        <v>3.7</v>
      </c>
      <c r="E17" s="2814">
        <f>D17</f>
        <v>3.7</v>
      </c>
      <c r="F17" s="2814">
        <f>D17</f>
        <v>3.7</v>
      </c>
      <c r="G17" s="2814">
        <f>D17</f>
        <v>3.7</v>
      </c>
      <c r="H17" s="2814">
        <v>4.5999999999999996</v>
      </c>
      <c r="I17" s="2819"/>
      <c r="J17" s="2819"/>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43941</v>
      </c>
      <c r="D19" s="2814">
        <v>3.85</v>
      </c>
      <c r="E19" s="2814">
        <v>3.85</v>
      </c>
      <c r="F19" s="2814">
        <v>3.85</v>
      </c>
      <c r="G19" s="2814">
        <v>3.85</v>
      </c>
      <c r="H19" s="2814">
        <v>4.6500000000000004</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43881</v>
      </c>
      <c r="D20" s="2814">
        <v>4.05</v>
      </c>
      <c r="E20" s="2814">
        <v>4.05</v>
      </c>
      <c r="F20" s="2814">
        <v>4.05</v>
      </c>
      <c r="G20" s="2814">
        <v>4.05</v>
      </c>
      <c r="H20" s="2814">
        <v>4.75</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c r="C21" s="2815">
        <v>43789</v>
      </c>
      <c r="D21" s="2814">
        <v>4.1500000000000004</v>
      </c>
      <c r="E21" s="2814">
        <v>4.1500000000000004</v>
      </c>
      <c r="F21" s="2814">
        <v>4.1500000000000004</v>
      </c>
      <c r="G21" s="2814">
        <v>4.1500000000000004</v>
      </c>
      <c r="H21" s="2814">
        <v>4.8</v>
      </c>
      <c r="I21" s="2814"/>
      <c r="J21" s="2814"/>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4"/>
      <c r="C22" s="2815">
        <v>43728</v>
      </c>
      <c r="D22" s="2814">
        <v>4.2</v>
      </c>
      <c r="E22" s="2814">
        <v>4.2</v>
      </c>
      <c r="F22" s="2814">
        <v>4.2</v>
      </c>
      <c r="G22" s="2814">
        <v>4.2</v>
      </c>
      <c r="H22" s="2814">
        <v>4.8499999999999996</v>
      </c>
      <c r="I22" s="2814"/>
      <c r="J22" s="2814"/>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0"/>
      <c r="B23" s="2813" t="s">
        <v>2299</v>
      </c>
      <c r="C23" s="2816">
        <v>43697</v>
      </c>
      <c r="D23" s="2817">
        <v>4.25</v>
      </c>
      <c r="E23" s="2817">
        <v>4.25</v>
      </c>
      <c r="F23" s="2817">
        <v>4.25</v>
      </c>
      <c r="G23" s="2817">
        <v>4.25</v>
      </c>
      <c r="H23" s="2817">
        <v>4.8499999999999996</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1"/>
      <c r="C24" s="2822">
        <v>42301</v>
      </c>
      <c r="D24" s="2823">
        <v>4.3499999999999996</v>
      </c>
      <c r="E24" s="2823">
        <v>4.3499999999999996</v>
      </c>
      <c r="F24" s="2823">
        <v>4.75</v>
      </c>
      <c r="G24" s="2823">
        <v>4.75</v>
      </c>
      <c r="H24" s="2823">
        <v>4.9000000000000004</v>
      </c>
      <c r="I24" s="2823"/>
      <c r="J24" s="2823"/>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90" zoomScaleNormal="70" zoomScaleSheetLayoutView="90" workbookViewId="0">
      <selection activeCell="F49" sqref="F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872</v>
      </c>
      <c r="B1" s="713"/>
      <c r="C1" s="1379"/>
      <c r="D1" s="1362" t="s">
        <v>43</v>
      </c>
      <c r="E1" s="1363" t="s">
        <v>673</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799</v>
      </c>
      <c r="B2" s="1386" t="e">
        <f ca="1">C40+J29+L46</f>
        <v>#DIV/0!</v>
      </c>
      <c r="C2" s="1387" t="s">
        <v>800</v>
      </c>
      <c r="D2" s="1387"/>
      <c r="E2" s="1388"/>
      <c r="F2" s="1389"/>
      <c r="G2" s="2703"/>
      <c r="H2" s="2692"/>
      <c r="I2" s="2692"/>
      <c r="J2" s="2692"/>
      <c r="K2" s="2693"/>
      <c r="L2" s="2692"/>
      <c r="M2" s="2692"/>
    </row>
    <row r="3" spans="1:37" ht="18" customHeight="1" thickBot="1">
      <c r="A3" s="1390" t="s">
        <v>801</v>
      </c>
      <c r="B3" s="1391">
        <f ca="1">IF(ISERROR(B2*10000/F43),0,ROUND(B2*10000/F43,0))</f>
        <v>0</v>
      </c>
      <c r="C3" s="1387" t="s">
        <v>802</v>
      </c>
      <c r="D3" s="1387"/>
      <c r="E3" s="1388"/>
      <c r="F3" s="1389"/>
      <c r="G3" s="2703"/>
      <c r="H3" s="683" t="s">
        <v>871</v>
      </c>
      <c r="I3" s="1382"/>
      <c r="J3" s="1382"/>
      <c r="K3" s="1383"/>
      <c r="L3" s="1382"/>
      <c r="M3" s="1382"/>
    </row>
    <row r="4" spans="1:37" ht="18" customHeight="1">
      <c r="A4" s="295" t="s">
        <v>682</v>
      </c>
      <c r="B4" s="296" t="s">
        <v>683</v>
      </c>
      <c r="C4" s="296" t="s">
        <v>684</v>
      </c>
      <c r="D4" s="296" t="s">
        <v>685</v>
      </c>
      <c r="E4" s="297" t="s">
        <v>686</v>
      </c>
      <c r="F4" s="298"/>
      <c r="G4" s="1384"/>
      <c r="H4" s="295" t="s">
        <v>682</v>
      </c>
      <c r="I4" s="296" t="s">
        <v>683</v>
      </c>
      <c r="J4" s="296" t="s">
        <v>684</v>
      </c>
      <c r="K4" s="296" t="s">
        <v>685</v>
      </c>
      <c r="L4" s="297" t="s">
        <v>686</v>
      </c>
      <c r="M4" s="298"/>
    </row>
    <row r="5" spans="1:37" ht="18" customHeight="1">
      <c r="A5" s="299">
        <v>1</v>
      </c>
      <c r="B5" s="300" t="s">
        <v>687</v>
      </c>
      <c r="C5" s="1070">
        <f ca="1">C6+C10+C12</f>
        <v>0</v>
      </c>
      <c r="D5" s="1364" t="s">
        <v>688</v>
      </c>
      <c r="E5" s="1071"/>
      <c r="F5" s="1072"/>
      <c r="G5" s="1384"/>
      <c r="H5" s="299">
        <v>1</v>
      </c>
      <c r="I5" s="300" t="s">
        <v>687</v>
      </c>
      <c r="J5" s="1070">
        <f ca="1">J6+J10+J12</f>
        <v>0</v>
      </c>
      <c r="K5" s="1364" t="s">
        <v>688</v>
      </c>
      <c r="L5" s="1071"/>
      <c r="M5" s="1072"/>
    </row>
    <row r="6" spans="1:37" ht="18" customHeight="1">
      <c r="A6" s="1069" t="s">
        <v>398</v>
      </c>
      <c r="B6" s="3726" t="s">
        <v>689</v>
      </c>
      <c r="C6" s="1074">
        <f ca="1">ROUND(F6*F8*F7*(1-F9)/10000,0)</f>
        <v>0</v>
      </c>
      <c r="D6" s="155" t="s">
        <v>2102</v>
      </c>
      <c r="E6" s="302" t="s">
        <v>691</v>
      </c>
      <c r="F6" s="303">
        <f ca="1">INDIRECT("'数据-取费表'!u"&amp;$G$1)</f>
        <v>0</v>
      </c>
      <c r="G6" s="1384"/>
      <c r="H6" s="1069" t="s">
        <v>398</v>
      </c>
      <c r="I6" s="3726" t="s">
        <v>689</v>
      </c>
      <c r="J6" s="301">
        <f ca="1">ROUND(M6*M8*M7*(1-M9)/10000,0)</f>
        <v>0</v>
      </c>
      <c r="K6" s="155" t="s">
        <v>2101</v>
      </c>
      <c r="L6" s="302" t="s">
        <v>691</v>
      </c>
      <c r="M6" s="303">
        <f ca="1">INDIRECT("'数据-取费表'!z"&amp;$G$1)</f>
        <v>0</v>
      </c>
    </row>
    <row r="7" spans="1:37" ht="18" customHeight="1">
      <c r="A7" s="1073"/>
      <c r="B7" s="3727"/>
      <c r="C7" s="1075"/>
      <c r="D7" s="307"/>
      <c r="E7" s="1076" t="s">
        <v>692</v>
      </c>
      <c r="F7" s="303">
        <f ca="1">IF(INDIRECT("'数据-取费表'!ah"&amp;$G$1)="",INDIRECT("'数据-取费表'!k"&amp;$G$1),INDIRECT("'数据-取费表'!ah"&amp;$G$1))</f>
        <v>0</v>
      </c>
      <c r="G7" s="1384"/>
      <c r="H7" s="304"/>
      <c r="I7" s="3727"/>
      <c r="J7" s="306"/>
      <c r="K7" s="307"/>
      <c r="L7" s="302" t="s">
        <v>692</v>
      </c>
      <c r="M7" s="303">
        <f ca="1">F7</f>
        <v>0</v>
      </c>
    </row>
    <row r="8" spans="1:37" ht="18" customHeight="1">
      <c r="A8" s="304"/>
      <c r="B8" s="3727"/>
      <c r="C8" s="306"/>
      <c r="D8" s="307"/>
      <c r="E8" s="302" t="s">
        <v>693</v>
      </c>
      <c r="F8" s="303">
        <f ca="1">INDIRECT("'数据-取费表'!ai"&amp;$G$1)</f>
        <v>0</v>
      </c>
      <c r="G8" s="1384"/>
      <c r="H8" s="304"/>
      <c r="I8" s="3727"/>
      <c r="J8" s="306"/>
      <c r="K8" s="307"/>
      <c r="L8" s="302" t="s">
        <v>693</v>
      </c>
      <c r="M8" s="303">
        <f ca="1">INDIRECT("'数据-取费表'!ai"&amp;$G$1)</f>
        <v>0</v>
      </c>
    </row>
    <row r="9" spans="1:37" ht="18" customHeight="1">
      <c r="A9" s="304"/>
      <c r="B9" s="3728"/>
      <c r="C9" s="306"/>
      <c r="D9" s="307"/>
      <c r="E9" s="302" t="s">
        <v>694</v>
      </c>
      <c r="F9" s="312">
        <f ca="1">INDIRECT("'数据-取费表'!w"&amp;$G$1)</f>
        <v>0</v>
      </c>
      <c r="G9" s="1384"/>
      <c r="H9" s="304"/>
      <c r="I9" s="3728"/>
      <c r="J9" s="306"/>
      <c r="K9" s="307"/>
      <c r="L9" s="313" t="s">
        <v>694</v>
      </c>
      <c r="M9" s="314">
        <f ca="1">INDIRECT("'数据-取费表'!ab"&amp;$G$1)</f>
        <v>0</v>
      </c>
    </row>
    <row r="10" spans="1:37" ht="18" customHeight="1">
      <c r="A10" s="1069" t="s">
        <v>402</v>
      </c>
      <c r="B10" s="1365" t="s">
        <v>695</v>
      </c>
      <c r="C10" s="316">
        <f ca="1">ROUND(IF(F10="押一",C6/12*F11,IF(F10="押二",C6/12*2*F11,IF(F10="押三",C6/12*3*F11,C11*F11))),0)</f>
        <v>0</v>
      </c>
      <c r="D10" s="1366" t="s">
        <v>2110</v>
      </c>
      <c r="E10" s="313" t="s">
        <v>696</v>
      </c>
      <c r="F10" s="1116"/>
      <c r="G10" s="1384"/>
      <c r="H10" s="1069" t="s">
        <v>402</v>
      </c>
      <c r="I10" s="1365" t="s">
        <v>695</v>
      </c>
      <c r="J10" s="301">
        <f ca="1">ROUND(IF(M10="押一",J6/12*M11,IF(M10="押二",J6/12*2*M11,IF(M10="押三",J6/12*3*M11,J11*M11))),0)</f>
        <v>0</v>
      </c>
      <c r="K10" s="1366" t="s">
        <v>2109</v>
      </c>
      <c r="L10" s="313" t="s">
        <v>696</v>
      </c>
      <c r="M10" s="1116"/>
    </row>
    <row r="11" spans="1:37" ht="18" customHeight="1">
      <c r="A11" s="308"/>
      <c r="B11" s="1367" t="s">
        <v>674</v>
      </c>
      <c r="C11" s="959"/>
      <c r="D11" s="1368"/>
      <c r="E11" s="313" t="s">
        <v>697</v>
      </c>
      <c r="F11" s="314">
        <f ca="1">'数据-取费表'!B39</f>
        <v>1.4999999999999999E-2</v>
      </c>
      <c r="G11" s="1384"/>
      <c r="H11" s="1077"/>
      <c r="I11" s="1367" t="s">
        <v>674</v>
      </c>
      <c r="J11" s="959"/>
      <c r="K11" s="684"/>
      <c r="L11" s="313" t="s">
        <v>697</v>
      </c>
      <c r="M11" s="862">
        <f ca="1">'数据-取费表'!B39</f>
        <v>1.4999999999999999E-2</v>
      </c>
    </row>
    <row r="12" spans="1:37" ht="18" customHeight="1" thickBot="1">
      <c r="A12" s="1083" t="s">
        <v>437</v>
      </c>
      <c r="B12" s="1369" t="s">
        <v>698</v>
      </c>
      <c r="C12" s="1084"/>
      <c r="D12" s="1085"/>
      <c r="E12" s="1090"/>
      <c r="F12" s="1086"/>
      <c r="G12" s="1384"/>
      <c r="H12" s="1083" t="s">
        <v>437</v>
      </c>
      <c r="I12" s="1369" t="s">
        <v>698</v>
      </c>
      <c r="J12" s="1084"/>
      <c r="K12" s="1098"/>
      <c r="L12" s="1090"/>
      <c r="M12" s="1099"/>
    </row>
    <row r="13" spans="1:37" ht="18" customHeight="1" thickTop="1">
      <c r="A13" s="1079">
        <v>2</v>
      </c>
      <c r="B13" s="1080" t="s">
        <v>699</v>
      </c>
      <c r="C13" s="310">
        <f ca="1">ROUND(C29*F13,0)</f>
        <v>0</v>
      </c>
      <c r="D13" s="1081" t="s">
        <v>700</v>
      </c>
      <c r="E13" s="1081" t="s">
        <v>701</v>
      </c>
      <c r="F13" s="1082">
        <f ca="1">INDIRECT("'数据-取费表'!y"&amp;$G$1)</f>
        <v>0</v>
      </c>
      <c r="G13" s="1384"/>
      <c r="H13" s="1079">
        <v>2</v>
      </c>
      <c r="I13" s="1080" t="s">
        <v>699</v>
      </c>
      <c r="J13" s="1068">
        <f ca="1">ROUND(J14*J15,0)</f>
        <v>0</v>
      </c>
      <c r="K13" s="1087" t="s">
        <v>700</v>
      </c>
      <c r="L13" s="1392"/>
      <c r="M13" s="1393"/>
    </row>
    <row r="14" spans="1:37" ht="18" customHeight="1">
      <c r="A14" s="982" t="s">
        <v>397</v>
      </c>
      <c r="B14" s="302" t="s">
        <v>702</v>
      </c>
      <c r="C14" s="318">
        <f ca="1">INDIRECT("'数据-取费表'!m"&amp;$G$1)+INDIRECT("'数据-取费表'!t"&amp;$G$1)</f>
        <v>0</v>
      </c>
      <c r="D14" s="1345" t="s">
        <v>703</v>
      </c>
      <c r="E14" s="1342"/>
      <c r="F14" s="319"/>
      <c r="G14" s="1384"/>
      <c r="H14" s="982" t="s">
        <v>398</v>
      </c>
      <c r="I14" s="302" t="s">
        <v>704</v>
      </c>
      <c r="J14" s="21">
        <f ca="1">C29</f>
        <v>0</v>
      </c>
      <c r="K14" s="12"/>
      <c r="L14" s="807"/>
      <c r="M14" s="808"/>
    </row>
    <row r="15" spans="1:37" s="1397" customFormat="1" ht="18" customHeight="1" thickBot="1">
      <c r="A15" s="982" t="s">
        <v>399</v>
      </c>
      <c r="B15" s="302" t="s">
        <v>705</v>
      </c>
      <c r="C15" s="21">
        <f ca="1">ROUND(C14*F15,0)</f>
        <v>0</v>
      </c>
      <c r="D15" s="320" t="s">
        <v>706</v>
      </c>
      <c r="E15" s="320" t="s">
        <v>707</v>
      </c>
      <c r="F15" s="321">
        <f>'数据-取费表'!B33</f>
        <v>0.05</v>
      </c>
      <c r="G15" s="1396"/>
      <c r="H15" s="1089" t="s">
        <v>402</v>
      </c>
      <c r="I15" s="1090" t="s">
        <v>701</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675</v>
      </c>
      <c r="B16" s="302" t="s">
        <v>708</v>
      </c>
      <c r="C16" s="21">
        <f ca="1">ROUND(INDIRECT("'数据-取费表'!m"&amp;$G$1)*F16,0)</f>
        <v>0</v>
      </c>
      <c r="D16" s="302" t="s">
        <v>706</v>
      </c>
      <c r="E16" s="302" t="s">
        <v>707</v>
      </c>
      <c r="F16" s="322">
        <f ca="1">IF(INDIRECT("'数据-取费表'!c"&amp;$G$1)="住宅",'数据-取费表'!B34,0)</f>
        <v>0</v>
      </c>
      <c r="G16" s="1384"/>
      <c r="H16" s="1079" t="s">
        <v>393</v>
      </c>
      <c r="I16" s="1080" t="s">
        <v>709</v>
      </c>
      <c r="J16" s="310">
        <f ca="1">ROUND(J17+J22+J23+J24,0)</f>
        <v>0</v>
      </c>
      <c r="K16" s="1087" t="s">
        <v>710</v>
      </c>
      <c r="L16" s="1088"/>
      <c r="M16" s="1072"/>
    </row>
    <row r="17" spans="1:37" s="1397" customFormat="1" ht="18" customHeight="1">
      <c r="A17" s="982" t="s">
        <v>676</v>
      </c>
      <c r="B17" s="302" t="s">
        <v>711</v>
      </c>
      <c r="C17" s="21">
        <f ca="1">ROUND(F17*(F43+INDIRECT("'数据-取费表'!S"&amp;$G$1))/10000,0)</f>
        <v>0</v>
      </c>
      <c r="D17" s="302" t="s">
        <v>712</v>
      </c>
      <c r="E17" s="302" t="s">
        <v>713</v>
      </c>
      <c r="F17" s="23">
        <f>'数据-取费表'!B35</f>
        <v>200</v>
      </c>
      <c r="G17" s="1396"/>
      <c r="H17" s="982" t="s">
        <v>398</v>
      </c>
      <c r="I17" s="302" t="s">
        <v>714</v>
      </c>
      <c r="J17" s="2315">
        <f ca="1">ROUND(IF(AND(项目基本情况!B11="自然人",项目基本情况!B10="北京市"),J6*M17/(1+'数据-取费表'!C42),J18+J19+J20),2)</f>
        <v>0</v>
      </c>
      <c r="K17" s="1345" t="s">
        <v>715</v>
      </c>
      <c r="L17" s="1344" t="s">
        <v>716</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677</v>
      </c>
      <c r="B18" s="302" t="s">
        <v>717</v>
      </c>
      <c r="C18" s="21">
        <f ca="1">ROUND(C14*F18,0)</f>
        <v>0</v>
      </c>
      <c r="D18" s="302" t="s">
        <v>706</v>
      </c>
      <c r="E18" s="302" t="s">
        <v>707</v>
      </c>
      <c r="F18" s="322">
        <f>'数据-取费表'!B36</f>
        <v>0.02</v>
      </c>
      <c r="G18" s="1396"/>
      <c r="H18" s="982" t="s">
        <v>397</v>
      </c>
      <c r="I18" s="302" t="s">
        <v>718</v>
      </c>
      <c r="J18" s="21">
        <f ca="1">ROUND(J6*M18/(1+'数据-取费表'!C42),2)</f>
        <v>0</v>
      </c>
      <c r="K18" s="1344" t="s">
        <v>719</v>
      </c>
      <c r="L18" s="302" t="s">
        <v>707</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720</v>
      </c>
      <c r="C19" s="21">
        <f ca="1">SUM(C14:C18)</f>
        <v>0</v>
      </c>
      <c r="D19" s="131" t="s">
        <v>721</v>
      </c>
      <c r="E19" s="1360"/>
      <c r="F19" s="23"/>
      <c r="G19" s="1384"/>
      <c r="H19" s="982" t="s">
        <v>399</v>
      </c>
      <c r="I19" s="302" t="s">
        <v>722</v>
      </c>
      <c r="J19" s="21">
        <f ca="1">IF(K19="按租金收入计税",ROUND(J6*M19/(1+'数据-取费表'!C42),2),ROUND(C29*M19*0.7,2))</f>
        <v>0</v>
      </c>
      <c r="K19" s="1370" t="s">
        <v>3324</v>
      </c>
      <c r="L19" s="302" t="s">
        <v>707</v>
      </c>
      <c r="M19" s="322">
        <f>IF(K19="按租金收入计税",'数据-取费表'!B51,'数据-取费表'!B50)</f>
        <v>0.12</v>
      </c>
    </row>
    <row r="20" spans="1:37" s="1397" customFormat="1" ht="18" customHeight="1">
      <c r="A20" s="982" t="s">
        <v>402</v>
      </c>
      <c r="B20" s="302" t="s">
        <v>723</v>
      </c>
      <c r="C20" s="21">
        <f ca="1">ROUND(C19*F20,0)</f>
        <v>0</v>
      </c>
      <c r="D20" s="323" t="s">
        <v>724</v>
      </c>
      <c r="E20" s="302" t="s">
        <v>707</v>
      </c>
      <c r="F20" s="322">
        <f>'数据-取费表'!B37</f>
        <v>0.03</v>
      </c>
      <c r="G20" s="1396"/>
      <c r="H20" s="982" t="s">
        <v>675</v>
      </c>
      <c r="I20" s="155" t="s">
        <v>725</v>
      </c>
      <c r="J20" s="22">
        <f ca="1">ROUND(M20*M21/10000,2)</f>
        <v>0</v>
      </c>
      <c r="K20" s="324" t="s">
        <v>726</v>
      </c>
      <c r="L20" s="302" t="s">
        <v>727</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728</v>
      </c>
      <c r="C21" s="21" t="s">
        <v>15</v>
      </c>
      <c r="D21" s="323" t="s">
        <v>729</v>
      </c>
      <c r="E21" s="302" t="s">
        <v>730</v>
      </c>
      <c r="F21" s="322">
        <f>'数据-取费表'!B38</f>
        <v>0.03</v>
      </c>
      <c r="G21" s="1396"/>
      <c r="H21" s="326"/>
      <c r="I21" s="311"/>
      <c r="J21" s="26"/>
      <c r="K21" s="327"/>
      <c r="L21" s="302" t="s">
        <v>731</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678</v>
      </c>
      <c r="B22" s="302" t="s">
        <v>732</v>
      </c>
      <c r="C22" s="21"/>
      <c r="D22" s="131" t="str">
        <f>IF(F23&lt;=1,"单利计息。","复利计息。")&amp;"建造成本、管理费用、销售费用产生的利息。"</f>
        <v>复利计息。建造成本、管理费用、销售费用产生的利息。</v>
      </c>
      <c r="E22" s="1360"/>
      <c r="F22" s="23"/>
      <c r="G22" s="1384"/>
      <c r="H22" s="982" t="s">
        <v>402</v>
      </c>
      <c r="I22" s="302" t="s">
        <v>733</v>
      </c>
      <c r="J22" s="21">
        <f ca="1">ROUND(J14*M22,2)</f>
        <v>0</v>
      </c>
      <c r="K22" s="1344" t="s">
        <v>734</v>
      </c>
      <c r="L22" s="302" t="s">
        <v>707</v>
      </c>
      <c r="M22" s="328">
        <f ca="1">INDIRECT("'数据-取费表'!Ak"&amp;$G$1)</f>
        <v>0</v>
      </c>
    </row>
    <row r="23" spans="1:37" s="1397" customFormat="1" ht="18" customHeight="1">
      <c r="A23" s="982" t="s">
        <v>397</v>
      </c>
      <c r="B23" s="302" t="s">
        <v>735</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736</v>
      </c>
      <c r="F23" s="325">
        <f>'数据-取费表'!B20</f>
        <v>3</v>
      </c>
      <c r="G23" s="1396"/>
      <c r="H23" s="982" t="s">
        <v>437</v>
      </c>
      <c r="I23" s="302" t="s">
        <v>737</v>
      </c>
      <c r="J23" s="21">
        <f ca="1">ROUND(J13*M23,2)</f>
        <v>0</v>
      </c>
      <c r="K23" s="1344" t="s">
        <v>738</v>
      </c>
      <c r="L23" s="302" t="s">
        <v>739</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740</v>
      </c>
      <c r="B24" s="302" t="s">
        <v>741</v>
      </c>
      <c r="C24" s="21">
        <f ca="1">ROUND(IF('数据-取费表'!B22&lt;=1,F21*F24*F23/2,F21*(POWER((1+F24),F23/2)-1)),4)</f>
        <v>1.6000000000000001E-3</v>
      </c>
      <c r="D24" s="329" t="str">
        <f>IF(F23&lt;=1,"销售费用×利率×(建设周期÷2)","销售费用×((1+利率)^(建设周期÷2)-1)")</f>
        <v>销售费用×((1+利率)^(建设周期÷2)-1)</v>
      </c>
      <c r="E24" s="302" t="s">
        <v>742</v>
      </c>
      <c r="F24" s="331">
        <f ca="1">'数据-取费表'!B40</f>
        <v>3.4500000000000003E-2</v>
      </c>
      <c r="G24" s="1396"/>
      <c r="H24" s="1089" t="s">
        <v>679</v>
      </c>
      <c r="I24" s="1090" t="s">
        <v>723</v>
      </c>
      <c r="J24" s="1091">
        <f ca="1">ROUND(J5*M24,2)</f>
        <v>0</v>
      </c>
      <c r="K24" s="1092" t="s">
        <v>743</v>
      </c>
      <c r="L24" s="1090" t="s">
        <v>739</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744</v>
      </c>
      <c r="B25" s="302" t="s">
        <v>745</v>
      </c>
      <c r="C25" s="21"/>
      <c r="D25" s="131" t="s">
        <v>746</v>
      </c>
      <c r="E25" s="1360"/>
      <c r="F25" s="23"/>
      <c r="G25" s="1384"/>
      <c r="H25" s="1079" t="s">
        <v>394</v>
      </c>
      <c r="I25" s="1094" t="s">
        <v>747</v>
      </c>
      <c r="J25" s="310">
        <f ca="1">J5-J16</f>
        <v>0</v>
      </c>
      <c r="K25" s="1095" t="s">
        <v>748</v>
      </c>
      <c r="L25" s="1096"/>
      <c r="M25" s="1097"/>
    </row>
    <row r="26" spans="1:37">
      <c r="A26" s="982" t="s">
        <v>397</v>
      </c>
      <c r="B26" s="302" t="s">
        <v>749</v>
      </c>
      <c r="C26" s="21">
        <f ca="1">ROUND((C19+C20)*F26,0)</f>
        <v>0</v>
      </c>
      <c r="D26" s="323" t="s">
        <v>750</v>
      </c>
      <c r="E26" s="313" t="s">
        <v>751</v>
      </c>
      <c r="F26" s="312">
        <f ca="1">INDIRECT("'数据-取费表'!q"&amp;$G$1)</f>
        <v>0</v>
      </c>
      <c r="G26" s="1384"/>
      <c r="H26" s="299" t="s">
        <v>395</v>
      </c>
      <c r="I26" s="300" t="s">
        <v>752</v>
      </c>
      <c r="J26" s="301">
        <f ca="1">IF(J5&lt;&gt;0,ROUND(J25*(1-((1+M28)/(1+M26))^M27)/(M26-M28),0),0)</f>
        <v>0</v>
      </c>
      <c r="K26" s="324" t="s">
        <v>753</v>
      </c>
      <c r="L26" s="302" t="s">
        <v>754</v>
      </c>
      <c r="M26" s="312">
        <f ca="1">INDIRECT("'数据-取费表'!I"&amp;$G$1)</f>
        <v>0</v>
      </c>
    </row>
    <row r="27" spans="1:37" ht="18" customHeight="1">
      <c r="A27" s="982" t="s">
        <v>399</v>
      </c>
      <c r="B27" s="302" t="s">
        <v>755</v>
      </c>
      <c r="C27" s="21">
        <f ca="1">ROUND(F21*F26,4)</f>
        <v>0</v>
      </c>
      <c r="D27" s="323" t="s">
        <v>756</v>
      </c>
      <c r="E27" s="320"/>
      <c r="F27" s="321"/>
      <c r="G27" s="1384"/>
      <c r="H27" s="304"/>
      <c r="I27" s="305"/>
      <c r="J27" s="306"/>
      <c r="K27" s="332" t="s">
        <v>757</v>
      </c>
      <c r="L27" s="302" t="s">
        <v>758</v>
      </c>
      <c r="M27" s="333">
        <f ca="1">INDIRECT("'数据-取费表'!ag"&amp;$G$1)</f>
        <v>0</v>
      </c>
    </row>
    <row r="28" spans="1:37" s="1397" customFormat="1" ht="18" customHeight="1">
      <c r="A28" s="982" t="s">
        <v>400</v>
      </c>
      <c r="B28" s="302" t="s">
        <v>759</v>
      </c>
      <c r="C28" s="21">
        <f>ROUND(F28/(1+'数据-取费表'!C42),4)</f>
        <v>5.33E-2</v>
      </c>
      <c r="D28" s="323" t="s">
        <v>760</v>
      </c>
      <c r="E28" s="302" t="s">
        <v>707</v>
      </c>
      <c r="F28" s="322">
        <f>'数据-取费表'!B41</f>
        <v>5.6000000000000001E-2</v>
      </c>
      <c r="G28" s="1396"/>
      <c r="H28" s="308"/>
      <c r="I28" s="309"/>
      <c r="J28" s="310"/>
      <c r="K28" s="327"/>
      <c r="L28" s="302" t="s">
        <v>761</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762</v>
      </c>
      <c r="C29" s="1091">
        <f ca="1">ROUND((C19+C20+C23+C26)/(1-F21-C24-C27-C28),0)</f>
        <v>0</v>
      </c>
      <c r="D29" s="1092"/>
      <c r="E29" s="1090"/>
      <c r="F29" s="1093"/>
      <c r="G29" s="1396"/>
      <c r="H29" s="334" t="s">
        <v>396</v>
      </c>
      <c r="I29" s="335" t="s">
        <v>763</v>
      </c>
      <c r="J29" s="336">
        <f ca="1">ROUND(J26/(1+F40)^F41,0)</f>
        <v>0</v>
      </c>
      <c r="K29" s="337" t="s">
        <v>764</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709</v>
      </c>
      <c r="C30" s="310">
        <f ca="1">ROUND(C31+C36+C37+C38,0)</f>
        <v>0</v>
      </c>
      <c r="D30" s="1087" t="s">
        <v>710</v>
      </c>
      <c r="E30" s="1088"/>
      <c r="F30" s="1072"/>
      <c r="G30" s="1384"/>
      <c r="H30" s="2694"/>
      <c r="I30" s="1398"/>
      <c r="J30" s="1399"/>
      <c r="K30" s="2472"/>
      <c r="L30" s="2695"/>
      <c r="M30" s="2696"/>
    </row>
    <row r="31" spans="1:37" ht="18" customHeight="1">
      <c r="A31" s="982" t="s">
        <v>398</v>
      </c>
      <c r="B31" s="302" t="s">
        <v>714</v>
      </c>
      <c r="C31" s="2315">
        <f ca="1">ROUND(IF(AND(项目基本情况!B11="自然人",项目基本情况!B10="北京市"),C6*F31/(1+'数据-取费表'!C42),C32+C33+C34),2)</f>
        <v>0</v>
      </c>
      <c r="D31" s="1345" t="s">
        <v>715</v>
      </c>
      <c r="E31" s="1344" t="s">
        <v>765</v>
      </c>
      <c r="F31" s="2314" t="str">
        <f>IF(项目基本情况!B11="企业","——",IF(M47="住宅",IF(F6*F7*F8/12/(1+'数据-取费表'!F30)&gt;100000,4%,2.5%),IF(F6*F7*F8/12/(1+'数据-取费表'!F30)&gt;100000,12%,7%)))</f>
        <v>——</v>
      </c>
      <c r="G31" s="1384"/>
      <c r="H31" s="2805" t="s">
        <v>2296</v>
      </c>
      <c r="I31" s="1398"/>
      <c r="J31" s="1399"/>
      <c r="K31" s="2472"/>
      <c r="L31" s="2695"/>
      <c r="M31" s="2696"/>
    </row>
    <row r="32" spans="1:37" ht="18" customHeight="1">
      <c r="A32" s="982" t="s">
        <v>397</v>
      </c>
      <c r="B32" s="302" t="s">
        <v>718</v>
      </c>
      <c r="C32" s="21">
        <f ca="1">IF(项目基本情况!B11="自然人","——",ROUND(C6*F32/(1+'数据-取费表'!C42),2))</f>
        <v>0</v>
      </c>
      <c r="D32" s="1344" t="s">
        <v>719</v>
      </c>
      <c r="E32" s="302" t="s">
        <v>707</v>
      </c>
      <c r="F32" s="331">
        <f>'数据-取费表'!B41</f>
        <v>5.6000000000000001E-2</v>
      </c>
      <c r="G32" s="1384"/>
      <c r="H32" s="2694"/>
      <c r="I32" s="1398"/>
      <c r="J32" s="1399"/>
      <c r="K32" s="2472"/>
      <c r="L32" s="2695"/>
      <c r="M32" s="2696"/>
    </row>
    <row r="33" spans="1:18" ht="18" customHeight="1">
      <c r="A33" s="982" t="s">
        <v>399</v>
      </c>
      <c r="B33" s="302" t="s">
        <v>722</v>
      </c>
      <c r="C33" s="21">
        <f ca="1">IF(项目基本情况!B11="自然人","——",IF(D33="按租金收入计税",ROUND(C6*F33/(1+'数据-取费表'!C42),2),IF(D33="按房产原值计税",ROUND(C29*F33*0.7,2),INDIRECT("'数据-取费表'!Aj"&amp;$G$1))))</f>
        <v>0</v>
      </c>
      <c r="D33" s="1370" t="s">
        <v>3324</v>
      </c>
      <c r="E33" s="302" t="s">
        <v>707</v>
      </c>
      <c r="F33" s="322">
        <f>IF(D33="按票据","——",IF(D33="按租金收入计税",'数据-取费表'!B51,'数据-取费表'!B50))</f>
        <v>0.12</v>
      </c>
      <c r="G33" s="1384"/>
      <c r="H33" s="2697"/>
      <c r="I33" s="1398"/>
      <c r="J33" s="1399"/>
      <c r="K33" s="2698"/>
      <c r="L33" s="2697"/>
      <c r="M33" s="2697"/>
    </row>
    <row r="34" spans="1:18" ht="18" customHeight="1">
      <c r="A34" s="1069" t="s">
        <v>675</v>
      </c>
      <c r="B34" s="155" t="s">
        <v>725</v>
      </c>
      <c r="C34" s="22">
        <f ca="1">IF(项目基本情况!B11="自然人","——",ROUND(F34*F35/10000,2))</f>
        <v>0</v>
      </c>
      <c r="D34" s="324" t="s">
        <v>726</v>
      </c>
      <c r="E34" s="302" t="s">
        <v>727</v>
      </c>
      <c r="F34" s="325">
        <f>'数据-取费表'!B52</f>
        <v>0</v>
      </c>
      <c r="G34" s="1384"/>
      <c r="H34" s="2694"/>
      <c r="I34" s="1398"/>
      <c r="J34" s="1399"/>
      <c r="K34" s="2699"/>
      <c r="L34" s="2700"/>
      <c r="M34" s="2700"/>
    </row>
    <row r="35" spans="1:18" ht="18" customHeight="1">
      <c r="A35" s="1103"/>
      <c r="B35" s="1101"/>
      <c r="C35" s="26"/>
      <c r="D35" s="327"/>
      <c r="E35" s="302" t="s">
        <v>731</v>
      </c>
      <c r="F35" s="303">
        <f ca="1">INDIRECT("'数据-取费表'!r"&amp;$G$1)</f>
        <v>0</v>
      </c>
      <c r="G35" s="1384"/>
      <c r="H35" s="2694"/>
      <c r="I35" s="1398"/>
      <c r="J35" s="1399"/>
      <c r="K35" s="2698"/>
      <c r="L35" s="2697"/>
      <c r="M35" s="2697"/>
    </row>
    <row r="36" spans="1:18" ht="18" customHeight="1">
      <c r="A36" s="1102" t="s">
        <v>402</v>
      </c>
      <c r="B36" s="302" t="s">
        <v>733</v>
      </c>
      <c r="C36" s="21">
        <f ca="1">ROUND(C29*F36,2)</f>
        <v>0</v>
      </c>
      <c r="D36" s="1344" t="s">
        <v>766</v>
      </c>
      <c r="E36" s="302" t="s">
        <v>707</v>
      </c>
      <c r="F36" s="328">
        <f ca="1">INDIRECT("'数据-取费表'!Ak"&amp;$G$1)</f>
        <v>0</v>
      </c>
      <c r="G36" s="1384"/>
      <c r="H36" s="2697"/>
      <c r="I36" s="1398"/>
      <c r="J36" s="1399"/>
      <c r="K36" s="2541"/>
      <c r="L36" s="2697"/>
      <c r="M36" s="2697"/>
    </row>
    <row r="37" spans="1:18" ht="18" customHeight="1">
      <c r="A37" s="982" t="s">
        <v>437</v>
      </c>
      <c r="B37" s="302" t="s">
        <v>737</v>
      </c>
      <c r="C37" s="21">
        <f ca="1">ROUND(C13*F37,2)</f>
        <v>0</v>
      </c>
      <c r="D37" s="1344" t="s">
        <v>738</v>
      </c>
      <c r="E37" s="302" t="s">
        <v>739</v>
      </c>
      <c r="F37" s="330">
        <f ca="1">INDIRECT("'数据-取费表'!Al"&amp;$G$1)</f>
        <v>0</v>
      </c>
      <c r="G37" s="1384"/>
      <c r="H37" s="2697"/>
      <c r="I37" s="1398"/>
      <c r="J37" s="1399"/>
      <c r="K37" s="2541"/>
      <c r="L37" s="2697"/>
      <c r="M37" s="2697"/>
    </row>
    <row r="38" spans="1:18" ht="18" customHeight="1" thickBot="1">
      <c r="A38" s="1089" t="s">
        <v>679</v>
      </c>
      <c r="B38" s="1090" t="s">
        <v>723</v>
      </c>
      <c r="C38" s="1091">
        <f ca="1">ROUND(C5*F38,2)</f>
        <v>0</v>
      </c>
      <c r="D38" s="1092" t="s">
        <v>743</v>
      </c>
      <c r="E38" s="1090" t="s">
        <v>739</v>
      </c>
      <c r="F38" s="1086">
        <f ca="1">INDIRECT("'数据-取费表'!Am"&amp;$G$1)</f>
        <v>0</v>
      </c>
      <c r="G38" s="1384"/>
      <c r="H38" s="2697"/>
      <c r="I38" s="1398"/>
      <c r="J38" s="1399"/>
      <c r="K38" s="2701"/>
      <c r="L38" s="2697"/>
      <c r="M38" s="2697"/>
    </row>
    <row r="39" spans="1:18" ht="24.6" customHeight="1" thickTop="1">
      <c r="A39" s="1079" t="s">
        <v>394</v>
      </c>
      <c r="B39" s="1094" t="s">
        <v>767</v>
      </c>
      <c r="C39" s="310">
        <f ca="1">C5-C30</f>
        <v>0</v>
      </c>
      <c r="D39" s="1095" t="s">
        <v>768</v>
      </c>
      <c r="E39" s="1096"/>
      <c r="F39" s="1097"/>
      <c r="G39" s="1384"/>
      <c r="H39" s="2697"/>
      <c r="I39" s="1398"/>
      <c r="J39" s="1399"/>
      <c r="K39" s="2701"/>
      <c r="L39" s="2697"/>
      <c r="M39" s="2697"/>
    </row>
    <row r="40" spans="1:18" ht="18" customHeight="1">
      <c r="A40" s="299" t="s">
        <v>395</v>
      </c>
      <c r="B40" s="300" t="s">
        <v>769</v>
      </c>
      <c r="C40" s="301" t="e">
        <f ca="1">ROUND(C39*(1-((1+F42)/(1+F40))^F41)/(F40-F42),0)</f>
        <v>#DIV/0!</v>
      </c>
      <c r="D40" s="324" t="s">
        <v>753</v>
      </c>
      <c r="E40" s="302" t="s">
        <v>754</v>
      </c>
      <c r="F40" s="312">
        <f ca="1">INDIRECT("'数据-取费表'!I"&amp;$G$1)</f>
        <v>0</v>
      </c>
      <c r="G40" s="1384"/>
      <c r="H40" s="1461"/>
      <c r="I40" s="1398"/>
      <c r="J40" s="1399"/>
      <c r="K40" s="2701"/>
      <c r="L40" s="1461"/>
      <c r="M40" s="1461"/>
    </row>
    <row r="41" spans="1:18" ht="18" customHeight="1">
      <c r="A41" s="304"/>
      <c r="B41" s="305"/>
      <c r="C41" s="306"/>
      <c r="D41" s="332" t="s">
        <v>770</v>
      </c>
      <c r="E41" s="302" t="s">
        <v>758</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761</v>
      </c>
      <c r="F42" s="312">
        <f ca="1">INDIRECT("'数据-取费表'!v"&amp;$G$1)</f>
        <v>0</v>
      </c>
      <c r="G42" s="1384"/>
      <c r="H42" s="1191"/>
      <c r="I42" s="1398"/>
      <c r="J42" s="1399"/>
      <c r="K42" s="2541"/>
      <c r="L42" s="1191"/>
      <c r="M42" s="1191"/>
    </row>
    <row r="43" spans="1:18" ht="18" customHeight="1" thickBot="1">
      <c r="A43" s="334" t="s">
        <v>396</v>
      </c>
      <c r="B43" s="335" t="s">
        <v>771</v>
      </c>
      <c r="C43" s="336" t="e">
        <f ca="1">ROUND(C40*10000/F43,0)</f>
        <v>#DIV/0!</v>
      </c>
      <c r="D43" s="337" t="s">
        <v>772</v>
      </c>
      <c r="E43" s="338" t="s">
        <v>773</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803</v>
      </c>
      <c r="P45" s="1461"/>
      <c r="Q45" s="1461"/>
      <c r="R45" s="1461"/>
    </row>
    <row r="46" spans="1:18" s="1384" customFormat="1" ht="13.5" thickBot="1">
      <c r="A46" s="1404" t="s">
        <v>804</v>
      </c>
      <c r="C46" s="1405" t="e">
        <f ca="1">C68-C40</f>
        <v>#DIV/0!</v>
      </c>
      <c r="D46" s="1406" t="str">
        <f>C2</f>
        <v>万元</v>
      </c>
      <c r="E46" s="1400"/>
      <c r="F46" s="1400"/>
      <c r="I46" s="1407" t="s">
        <v>805</v>
      </c>
      <c r="J46" s="1408"/>
      <c r="K46" s="1409"/>
      <c r="L46" s="1410" t="e">
        <f ca="1">IF(M47="住宅",0,IF(L48&gt;J51,L60,J60))</f>
        <v>#DIV/0!</v>
      </c>
      <c r="O46" s="1411" t="s">
        <v>806</v>
      </c>
      <c r="P46" s="1412" t="s">
        <v>807</v>
      </c>
      <c r="Q46" s="1413" t="s">
        <v>808</v>
      </c>
      <c r="R46" s="1413" t="s">
        <v>809</v>
      </c>
    </row>
    <row r="47" spans="1:18" s="1384" customFormat="1" ht="13.5" thickBot="1">
      <c r="A47" s="946" t="s">
        <v>682</v>
      </c>
      <c r="B47" s="978" t="s">
        <v>683</v>
      </c>
      <c r="C47" s="1117" t="s">
        <v>684</v>
      </c>
      <c r="D47" s="978" t="s">
        <v>685</v>
      </c>
      <c r="E47" s="1058" t="s">
        <v>686</v>
      </c>
      <c r="F47" s="1059"/>
      <c r="G47" s="722"/>
      <c r="I47" s="1414" t="s">
        <v>810</v>
      </c>
      <c r="J47" s="1415"/>
      <c r="K47" s="1416" t="s">
        <v>811</v>
      </c>
      <c r="L47" s="1417">
        <f ca="1">INDIRECT("'数据-取费表'!d"&amp;$G$1)</f>
        <v>0</v>
      </c>
      <c r="M47" s="1380" t="str">
        <f>IF(ISNUMBER(FIND("住宅",C1)),"住宅","非住宅")</f>
        <v>非住宅</v>
      </c>
      <c r="O47" s="1418" t="s">
        <v>403</v>
      </c>
      <c r="P47" s="1419" t="s">
        <v>812</v>
      </c>
      <c r="Q47" s="1420" t="e">
        <f ca="1">C40+J29</f>
        <v>#DIV/0!</v>
      </c>
      <c r="R47" s="1420" t="s">
        <v>813</v>
      </c>
    </row>
    <row r="48" spans="1:18" s="1384" customFormat="1" ht="28.5" thickBot="1">
      <c r="A48" s="1110" t="s">
        <v>438</v>
      </c>
      <c r="B48" s="300" t="s">
        <v>687</v>
      </c>
      <c r="C48" s="1359">
        <f ca="1">C49+C53+C55</f>
        <v>0</v>
      </c>
      <c r="D48" s="1112"/>
      <c r="E48" s="1113"/>
      <c r="F48" s="962"/>
      <c r="G48" s="722"/>
      <c r="H48" s="723"/>
      <c r="I48" s="1421" t="s">
        <v>814</v>
      </c>
      <c r="J48" s="1422"/>
      <c r="K48" s="1423" t="s">
        <v>815</v>
      </c>
      <c r="L48" s="1424">
        <f ca="1">INDIRECT("'数据-取费表'!f"&amp;$G$1)</f>
        <v>0</v>
      </c>
      <c r="O48" s="1418" t="s">
        <v>404</v>
      </c>
      <c r="P48" s="1419" t="s">
        <v>816</v>
      </c>
      <c r="Q48" s="1420" t="e">
        <f ca="1">J60</f>
        <v>#DIV/0!</v>
      </c>
      <c r="R48" s="1420" t="s">
        <v>817</v>
      </c>
    </row>
    <row r="49" spans="1:18" s="1384" customFormat="1" ht="13.5" thickBot="1">
      <c r="A49" s="975" t="s">
        <v>439</v>
      </c>
      <c r="B49" s="1371" t="s">
        <v>774</v>
      </c>
      <c r="C49" s="1114">
        <f ca="1">ROUND(F49*F51*F50*(1-F52)/10000,0)</f>
        <v>0</v>
      </c>
      <c r="D49" s="1055" t="s">
        <v>2103</v>
      </c>
      <c r="E49" s="1372" t="s">
        <v>775</v>
      </c>
      <c r="F49" s="1060"/>
      <c r="G49" s="1425"/>
      <c r="H49" s="723"/>
      <c r="I49" s="1421" t="s">
        <v>818</v>
      </c>
      <c r="J49" s="1426"/>
      <c r="K49" s="1423" t="s">
        <v>819</v>
      </c>
      <c r="L49" s="1427"/>
      <c r="O49" s="1428" t="s">
        <v>405</v>
      </c>
      <c r="P49" s="1419" t="s">
        <v>820</v>
      </c>
      <c r="Q49" s="1420">
        <f ca="1">C29</f>
        <v>0</v>
      </c>
      <c r="R49" s="1420" t="s">
        <v>813</v>
      </c>
    </row>
    <row r="50" spans="1:18" s="1384" customFormat="1" ht="13.5" thickBot="1">
      <c r="A50" s="976"/>
      <c r="B50" s="979"/>
      <c r="C50" s="1118"/>
      <c r="D50" s="953"/>
      <c r="E50" s="1056" t="s">
        <v>692</v>
      </c>
      <c r="F50" s="1057">
        <f ca="1">F7</f>
        <v>0</v>
      </c>
      <c r="H50" s="723"/>
      <c r="I50" s="1421" t="s">
        <v>821</v>
      </c>
      <c r="J50" s="1429">
        <f>SUMPRODUCT((I63:I65=J47)*(J62:L62=J48)*(J63:L65))</f>
        <v>0</v>
      </c>
      <c r="K50" s="1423" t="s">
        <v>822</v>
      </c>
      <c r="L50" s="1427"/>
      <c r="M50" s="1430"/>
      <c r="O50" s="1428" t="s">
        <v>406</v>
      </c>
      <c r="P50" s="1419" t="s">
        <v>823</v>
      </c>
      <c r="Q50" s="1431" t="e">
        <f ca="1">J58</f>
        <v>#DIV/0!</v>
      </c>
      <c r="R50" s="1420"/>
    </row>
    <row r="51" spans="1:18" s="1384" customFormat="1" ht="13.5" thickBot="1">
      <c r="A51" s="977"/>
      <c r="B51" s="979"/>
      <c r="C51" s="980"/>
      <c r="D51" s="953"/>
      <c r="E51" s="981" t="s">
        <v>693</v>
      </c>
      <c r="F51" s="303">
        <f ca="1">F8</f>
        <v>0</v>
      </c>
      <c r="I51" s="1432" t="s">
        <v>824</v>
      </c>
      <c r="J51" s="1433">
        <f>IF(J49="",J50,J49+J50-YEAR('数据-取费表'!B2))</f>
        <v>0</v>
      </c>
      <c r="K51" s="1434" t="s">
        <v>825</v>
      </c>
      <c r="L51" s="1435">
        <f ca="1">ROUND(-PV(INDIRECT("'数据-取费表'!h"&amp;$G$1),J51,(C39-C13*C76),0),0)</f>
        <v>0</v>
      </c>
      <c r="M51" s="1436"/>
      <c r="O51" s="1428" t="s">
        <v>407</v>
      </c>
      <c r="P51" s="1419" t="s">
        <v>826</v>
      </c>
      <c r="Q51" s="1431">
        <f>J52</f>
        <v>0</v>
      </c>
      <c r="R51" s="1420"/>
    </row>
    <row r="52" spans="1:18" s="1384" customFormat="1" ht="13.5" thickBot="1">
      <c r="A52" s="977"/>
      <c r="B52" s="979"/>
      <c r="C52" s="980"/>
      <c r="D52" s="953"/>
      <c r="E52" s="981" t="s">
        <v>694</v>
      </c>
      <c r="F52" s="1054"/>
      <c r="I52" s="1437" t="s">
        <v>827</v>
      </c>
      <c r="J52" s="1438"/>
      <c r="K52" s="1437" t="s">
        <v>828</v>
      </c>
      <c r="L52" s="1438"/>
      <c r="O52" s="1428" t="s">
        <v>408</v>
      </c>
      <c r="P52" s="1419" t="s">
        <v>829</v>
      </c>
      <c r="Q52" s="1420">
        <f ca="1">J53</f>
        <v>0</v>
      </c>
      <c r="R52" s="1420" t="s">
        <v>830</v>
      </c>
    </row>
    <row r="53" spans="1:18" s="1384" customFormat="1" ht="24.75" thickBot="1">
      <c r="A53" s="1152" t="s">
        <v>440</v>
      </c>
      <c r="B53" s="1373" t="s">
        <v>695</v>
      </c>
      <c r="C53" s="316">
        <f ca="1">ROUND(IF(F53="押一",C49/12*F11,IF(F53="押二",C49/12*2*F11,IF(F53="押三",C49/12*3*F11,C54*F11))),0)</f>
        <v>0</v>
      </c>
      <c r="D53" s="1366" t="s">
        <v>2109</v>
      </c>
      <c r="E53" s="313" t="s">
        <v>696</v>
      </c>
      <c r="F53" s="1116"/>
      <c r="I53" s="1439" t="s">
        <v>831</v>
      </c>
      <c r="J53" s="2167">
        <f ca="1">IF(M47="住宅",IF(D1="——",MAX(J51,L48),MAX(J51,L48-'数据-取费表'!B24)),IF(D1="——",MIN(J51,L48),MIN(J51,L48-'数据-取费表'!B24)))</f>
        <v>0</v>
      </c>
      <c r="K53" s="3729" t="s">
        <v>832</v>
      </c>
      <c r="L53" s="3730"/>
      <c r="O53" s="1418" t="s">
        <v>409</v>
      </c>
      <c r="P53" s="1419" t="s">
        <v>833</v>
      </c>
      <c r="Q53" s="1420" t="e">
        <f ca="1">Q47+Q48</f>
        <v>#DIV/0!</v>
      </c>
      <c r="R53" s="1420" t="s">
        <v>410</v>
      </c>
    </row>
    <row r="54" spans="1:18" s="1384" customFormat="1" ht="13.5" thickBot="1">
      <c r="A54" s="1153"/>
      <c r="B54" s="1367" t="s">
        <v>674</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834</v>
      </c>
      <c r="P54" s="1381"/>
      <c r="Q54" s="1381"/>
      <c r="R54" s="1381"/>
    </row>
    <row r="55" spans="1:18" s="1384" customFormat="1" ht="13.5" thickBot="1">
      <c r="A55" s="1083" t="s">
        <v>437</v>
      </c>
      <c r="B55" s="1369" t="s">
        <v>698</v>
      </c>
      <c r="C55" s="1084"/>
      <c r="D55" s="1366"/>
      <c r="E55" s="1374"/>
      <c r="F55" s="1440"/>
      <c r="I55" s="1443" t="s">
        <v>835</v>
      </c>
      <c r="J55" s="1444" t="e">
        <f ca="1">ROUND(IF(J47="钢混",J57/J50,1-(1-2%)*(J50-J57)/J50),3)</f>
        <v>#DIV/0!</v>
      </c>
      <c r="K55" s="1445" t="s">
        <v>836</v>
      </c>
      <c r="L55" s="1446"/>
      <c r="O55" s="1411" t="s">
        <v>806</v>
      </c>
      <c r="P55" s="1412" t="s">
        <v>807</v>
      </c>
      <c r="Q55" s="1413" t="s">
        <v>808</v>
      </c>
      <c r="R55" s="1413" t="s">
        <v>809</v>
      </c>
    </row>
    <row r="56" spans="1:18" s="1384" customFormat="1" ht="25.5" thickTop="1" thickBot="1">
      <c r="A56" s="957">
        <v>2</v>
      </c>
      <c r="B56" s="958" t="s">
        <v>699</v>
      </c>
      <c r="C56" s="232">
        <f ca="1">C13</f>
        <v>0</v>
      </c>
      <c r="D56" s="1447"/>
      <c r="E56" s="1448"/>
      <c r="F56" s="1440"/>
      <c r="I56" s="1449" t="s">
        <v>837</v>
      </c>
      <c r="J56" s="1450"/>
      <c r="K56" s="1421" t="s">
        <v>838</v>
      </c>
      <c r="L56" s="1424">
        <f ca="1">IF(L48&lt;J51,"——",L48-J53)</f>
        <v>0</v>
      </c>
      <c r="O56" s="1418" t="s">
        <v>403</v>
      </c>
      <c r="P56" s="1419" t="s">
        <v>812</v>
      </c>
      <c r="Q56" s="1420" t="e">
        <f ca="1">C40+J29</f>
        <v>#DIV/0!</v>
      </c>
      <c r="R56" s="1420" t="s">
        <v>813</v>
      </c>
    </row>
    <row r="57" spans="1:18" s="1384" customFormat="1" ht="24.75" thickBot="1">
      <c r="A57" s="1451"/>
      <c r="B57" s="950" t="s">
        <v>762</v>
      </c>
      <c r="C57" s="238">
        <f ca="1">C29</f>
        <v>0</v>
      </c>
      <c r="D57" s="1452"/>
      <c r="E57" s="1453"/>
      <c r="F57" s="1454"/>
      <c r="I57" s="1455" t="s">
        <v>839</v>
      </c>
      <c r="J57" s="1456">
        <f ca="1">IF(OR(M47="住宅",J51&lt;L48,J56="是"),"——",J51-L48)</f>
        <v>0</v>
      </c>
      <c r="K57" s="1421" t="s">
        <v>840</v>
      </c>
      <c r="L57" s="1424">
        <f ca="1">IF(L48&lt;J51,"——",IF(L55="比较法",L49,IF(L55="基准地价",L50,L51)))</f>
        <v>0</v>
      </c>
      <c r="O57" s="1418" t="s">
        <v>404</v>
      </c>
      <c r="P57" s="1419" t="s">
        <v>841</v>
      </c>
      <c r="Q57" s="1420" t="e">
        <f ca="1">L60</f>
        <v>#DIV/0!</v>
      </c>
      <c r="R57" s="1420" t="s">
        <v>842</v>
      </c>
    </row>
    <row r="58" spans="1:18" s="1384" customFormat="1" ht="24.75" thickBot="1">
      <c r="A58" s="315" t="s">
        <v>393</v>
      </c>
      <c r="B58" s="958" t="s">
        <v>709</v>
      </c>
      <c r="C58" s="316">
        <f ca="1">ROUND(C59+C64+C65+C66,0)</f>
        <v>0</v>
      </c>
      <c r="D58" s="960" t="s">
        <v>710</v>
      </c>
      <c r="E58" s="961"/>
      <c r="F58" s="962"/>
      <c r="I58" s="1455" t="s">
        <v>843</v>
      </c>
      <c r="J58" s="1457" t="e">
        <f ca="1">IF(J55&lt;0.4,0.4,J55)</f>
        <v>#DIV/0!</v>
      </c>
      <c r="K58" s="1434" t="s">
        <v>844</v>
      </c>
      <c r="L58" s="1424" t="e">
        <f ca="1">ROUND(POWER(1+L52,L47-L48)*(POWER(1+L52,L48)-1)/(POWER(1+L52,L47)-1),4)</f>
        <v>#DIV/0!</v>
      </c>
      <c r="O58" s="1428" t="s">
        <v>405</v>
      </c>
      <c r="P58" s="1419" t="s">
        <v>845</v>
      </c>
      <c r="Q58" s="1420">
        <f>IF(L55="比较法",L49,IF(L55="基准地价",L50,0))</f>
        <v>0</v>
      </c>
      <c r="R58" s="1420" t="s">
        <v>813</v>
      </c>
    </row>
    <row r="59" spans="1:18" s="1384" customFormat="1" ht="24.75" thickBot="1">
      <c r="A59" s="982" t="s">
        <v>398</v>
      </c>
      <c r="B59" s="950" t="s">
        <v>714</v>
      </c>
      <c r="C59" s="2315">
        <f ca="1">ROUND(IF(AND(项目基本情况!B11="自然人",项目基本情况!B10="北京市"),C49*F59/(1+'数据-取费表'!C42),C60+C61+C62),0)</f>
        <v>0</v>
      </c>
      <c r="D59" s="963" t="s">
        <v>715</v>
      </c>
      <c r="E59" s="964" t="s">
        <v>716</v>
      </c>
      <c r="F59" s="2314" t="str">
        <f>IF(项目基本情况!B11="企业","——",IF('数据-取费表'!B10="住宅",IF(F49*F50*F51/12/(1+'数据-取费表'!F30)&gt;100000,4%,2.5%),IF(F49*F50*F51/12/(1+'数据-取费表'!F30)&gt;100000,12%,7%)))</f>
        <v>——</v>
      </c>
      <c r="I59" s="1455" t="s">
        <v>846</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847</v>
      </c>
      <c r="Q59" s="1431">
        <f>L52</f>
        <v>0</v>
      </c>
      <c r="R59" s="1420"/>
    </row>
    <row r="60" spans="1:18" s="1384" customFormat="1" ht="16.5" thickBot="1">
      <c r="A60" s="982" t="s">
        <v>397</v>
      </c>
      <c r="B60" s="950" t="s">
        <v>718</v>
      </c>
      <c r="C60" s="21">
        <f ca="1">IF(项目基本情况!B11="自然人","——",ROUND(C48*F60/(1+'数据-取费表'!C42),2))</f>
        <v>0</v>
      </c>
      <c r="D60" s="964" t="s">
        <v>719</v>
      </c>
      <c r="E60" s="950" t="s">
        <v>707</v>
      </c>
      <c r="F60" s="331">
        <f t="shared" ref="F60:F66" si="0">F32</f>
        <v>5.6000000000000001E-2</v>
      </c>
      <c r="I60" s="1458" t="s">
        <v>848</v>
      </c>
      <c r="J60" s="1459" t="e">
        <f ca="1">IF(OR(M47="住宅",J51&lt;L48,J56="是"),"0",ROUND(J59/(1+J52)^J53,0))</f>
        <v>#DIV/0!</v>
      </c>
      <c r="K60" s="1460" t="s">
        <v>849</v>
      </c>
      <c r="L60" s="1459" t="e">
        <f ca="1">IF(OR(M47="住宅",L48&lt;J51),0,ROUND(L57*(L58/L59-1),0))</f>
        <v>#DIV/0!</v>
      </c>
      <c r="O60" s="1428" t="s">
        <v>407</v>
      </c>
      <c r="P60" s="1419" t="s">
        <v>850</v>
      </c>
      <c r="Q60" s="1420" t="e">
        <f ca="1">L58</f>
        <v>#DIV/0!</v>
      </c>
      <c r="R60" s="1420" t="s">
        <v>851</v>
      </c>
    </row>
    <row r="61" spans="1:18" s="1384" customFormat="1" ht="13.5" thickBot="1">
      <c r="A61" s="982" t="s">
        <v>776</v>
      </c>
      <c r="B61" s="950" t="s">
        <v>777</v>
      </c>
      <c r="C61" s="21">
        <f ca="1">IF(项目基本情况!B11="自然人","——",IF(D61="按租金收入计税",ROUND(C49*F61/(1+'数据-取费表'!C42),2),IF(D61="按房产原值计税",ROUND(C57*F61*0.7,2),INDIRECT("'数据-取费表'!Aj"&amp;$G$1))))</f>
        <v>0</v>
      </c>
      <c r="D61" s="1370" t="s">
        <v>3324</v>
      </c>
      <c r="E61" s="950" t="s">
        <v>778</v>
      </c>
      <c r="F61" s="322">
        <f t="shared" si="0"/>
        <v>0.12</v>
      </c>
      <c r="I61" s="1461"/>
      <c r="J61" s="1461"/>
      <c r="K61" s="1461"/>
      <c r="L61" s="1461"/>
      <c r="O61" s="1428" t="s">
        <v>408</v>
      </c>
      <c r="P61" s="1419" t="str">
        <f>K59</f>
        <v>建筑物剩余耐用年限下的土地年期修正系数Kn</v>
      </c>
      <c r="Q61" s="1420" t="e">
        <f ca="1">L59</f>
        <v>#DIV/0!</v>
      </c>
      <c r="R61" s="1420" t="s">
        <v>852</v>
      </c>
    </row>
    <row r="62" spans="1:18" s="1384" customFormat="1" ht="13.5" thickBot="1">
      <c r="A62" s="982" t="s">
        <v>779</v>
      </c>
      <c r="B62" s="949" t="s">
        <v>780</v>
      </c>
      <c r="C62" s="22">
        <f ca="1">IF(项目基本情况!B11="自然人","——",ROUND(F62*F63/10000,2))</f>
        <v>0</v>
      </c>
      <c r="D62" s="965" t="s">
        <v>781</v>
      </c>
      <c r="E62" s="950" t="s">
        <v>782</v>
      </c>
      <c r="F62" s="325">
        <f t="shared" si="0"/>
        <v>0</v>
      </c>
      <c r="I62" s="1462" t="s">
        <v>853</v>
      </c>
      <c r="J62" s="1463" t="s">
        <v>854</v>
      </c>
      <c r="K62" s="1463" t="s">
        <v>855</v>
      </c>
      <c r="L62" s="1463" t="s">
        <v>856</v>
      </c>
      <c r="M62" s="1464" t="s">
        <v>857</v>
      </c>
      <c r="O62" s="1418" t="s">
        <v>409</v>
      </c>
      <c r="P62" s="1419" t="s">
        <v>858</v>
      </c>
      <c r="Q62" s="1420" t="e">
        <f ca="1">Q56+Q57</f>
        <v>#DIV/0!</v>
      </c>
      <c r="R62" s="1420" t="s">
        <v>410</v>
      </c>
    </row>
    <row r="63" spans="1:18" s="1384" customFormat="1" ht="13.5" thickBot="1">
      <c r="A63" s="326"/>
      <c r="B63" s="956"/>
      <c r="C63" s="26"/>
      <c r="D63" s="966"/>
      <c r="E63" s="950" t="s">
        <v>783</v>
      </c>
      <c r="F63" s="303">
        <f t="shared" ca="1" si="0"/>
        <v>0</v>
      </c>
      <c r="I63" s="1462" t="s">
        <v>859</v>
      </c>
      <c r="J63" s="1463">
        <v>70</v>
      </c>
      <c r="K63" s="1463">
        <v>50</v>
      </c>
      <c r="L63" s="1463">
        <v>80</v>
      </c>
      <c r="M63" s="1465">
        <v>0.02</v>
      </c>
      <c r="O63" s="1403" t="s">
        <v>860</v>
      </c>
      <c r="P63" s="1381"/>
      <c r="Q63" s="1381"/>
      <c r="R63" s="1381"/>
    </row>
    <row r="64" spans="1:18" s="1384" customFormat="1" ht="13.5" thickBot="1">
      <c r="A64" s="982" t="s">
        <v>784</v>
      </c>
      <c r="B64" s="950" t="s">
        <v>785</v>
      </c>
      <c r="C64" s="21">
        <f ca="1">ROUND(C57*F64,2)</f>
        <v>0</v>
      </c>
      <c r="D64" s="964" t="s">
        <v>786</v>
      </c>
      <c r="E64" s="950" t="s">
        <v>778</v>
      </c>
      <c r="F64" s="328">
        <f t="shared" ca="1" si="0"/>
        <v>0</v>
      </c>
      <c r="I64" s="1462" t="s">
        <v>861</v>
      </c>
      <c r="J64" s="1463">
        <v>50</v>
      </c>
      <c r="K64" s="1463">
        <v>35</v>
      </c>
      <c r="L64" s="1463">
        <v>60</v>
      </c>
      <c r="M64" s="1464">
        <v>0</v>
      </c>
      <c r="O64" s="1411" t="s">
        <v>806</v>
      </c>
      <c r="P64" s="1412" t="s">
        <v>807</v>
      </c>
      <c r="Q64" s="1413" t="s">
        <v>808</v>
      </c>
      <c r="R64" s="1413" t="s">
        <v>809</v>
      </c>
    </row>
    <row r="65" spans="1:18" s="1384" customFormat="1" ht="13.5" thickBot="1">
      <c r="A65" s="982" t="s">
        <v>787</v>
      </c>
      <c r="B65" s="950" t="s">
        <v>737</v>
      </c>
      <c r="C65" s="21">
        <f ca="1">ROUND(C56*F65,2)</f>
        <v>0</v>
      </c>
      <c r="D65" s="964" t="s">
        <v>738</v>
      </c>
      <c r="E65" s="950" t="s">
        <v>739</v>
      </c>
      <c r="F65" s="330">
        <f t="shared" ca="1" si="0"/>
        <v>0</v>
      </c>
      <c r="I65" s="1462" t="s">
        <v>862</v>
      </c>
      <c r="J65" s="1463">
        <v>40</v>
      </c>
      <c r="K65" s="1463">
        <v>30</v>
      </c>
      <c r="L65" s="1463">
        <v>50</v>
      </c>
      <c r="M65" s="1465">
        <v>0.02</v>
      </c>
      <c r="O65" s="1418" t="s">
        <v>403</v>
      </c>
      <c r="P65" s="1419" t="s">
        <v>863</v>
      </c>
      <c r="Q65" s="1420" t="e">
        <f ca="1">C40+J29</f>
        <v>#DIV/0!</v>
      </c>
      <c r="R65" s="1420" t="s">
        <v>813</v>
      </c>
    </row>
    <row r="66" spans="1:18" s="1384" customFormat="1" ht="16.5" thickBot="1">
      <c r="A66" s="982" t="s">
        <v>788</v>
      </c>
      <c r="B66" s="950" t="s">
        <v>723</v>
      </c>
      <c r="C66" s="21">
        <f ca="1">ROUND(C48*F66,2)</f>
        <v>0</v>
      </c>
      <c r="D66" s="964" t="s">
        <v>789</v>
      </c>
      <c r="E66" s="950" t="s">
        <v>707</v>
      </c>
      <c r="F66" s="312">
        <f t="shared" ca="1" si="0"/>
        <v>0</v>
      </c>
      <c r="O66" s="1418" t="s">
        <v>404</v>
      </c>
      <c r="P66" s="1419" t="s">
        <v>841</v>
      </c>
      <c r="Q66" s="1420" t="e">
        <f ca="1">L60</f>
        <v>#DIV/0!</v>
      </c>
      <c r="R66" s="1420" t="s">
        <v>864</v>
      </c>
    </row>
    <row r="67" spans="1:18" s="1384" customFormat="1" ht="16.5" thickBot="1">
      <c r="A67" s="957" t="s">
        <v>394</v>
      </c>
      <c r="B67" s="967" t="s">
        <v>747</v>
      </c>
      <c r="C67" s="316">
        <f ca="1">C48-C58</f>
        <v>0</v>
      </c>
      <c r="D67" s="963" t="s">
        <v>748</v>
      </c>
      <c r="E67" s="968"/>
      <c r="F67" s="969"/>
      <c r="O67" s="1428" t="s">
        <v>405</v>
      </c>
      <c r="P67" s="1419" t="s">
        <v>845</v>
      </c>
      <c r="Q67" s="1466">
        <f ca="1">L51</f>
        <v>0</v>
      </c>
      <c r="R67" s="1420" t="s">
        <v>865</v>
      </c>
    </row>
    <row r="68" spans="1:18" s="1384" customFormat="1" ht="16.5" thickBot="1">
      <c r="A68" s="947" t="s">
        <v>395</v>
      </c>
      <c r="B68" s="948" t="s">
        <v>769</v>
      </c>
      <c r="C68" s="301" t="e">
        <f ca="1">ROUND(C67*(1-((1+F70)/(1+F68))^F69)/(F68-F70),0)</f>
        <v>#DIV/0!</v>
      </c>
      <c r="D68" s="965" t="s">
        <v>753</v>
      </c>
      <c r="E68" s="950" t="s">
        <v>754</v>
      </c>
      <c r="F68" s="312">
        <f ca="1">F40</f>
        <v>0</v>
      </c>
      <c r="O68" s="1428" t="s">
        <v>406</v>
      </c>
      <c r="P68" s="1467" t="s">
        <v>866</v>
      </c>
      <c r="Q68" s="1420">
        <f ca="1">ROUND(Q69-Q70*Q71,0)</f>
        <v>0</v>
      </c>
      <c r="R68" s="1420" t="s">
        <v>414</v>
      </c>
    </row>
    <row r="69" spans="1:18" s="1384" customFormat="1" ht="13.5" thickBot="1">
      <c r="A69" s="951"/>
      <c r="B69" s="952"/>
      <c r="C69" s="306"/>
      <c r="D69" s="970" t="s">
        <v>757</v>
      </c>
      <c r="E69" s="950" t="s">
        <v>758</v>
      </c>
      <c r="F69" s="333">
        <f ca="1">F41</f>
        <v>0</v>
      </c>
      <c r="O69" s="1428" t="s">
        <v>411</v>
      </c>
      <c r="P69" s="1467" t="s">
        <v>867</v>
      </c>
      <c r="Q69" s="1420">
        <f ca="1">C39</f>
        <v>0</v>
      </c>
      <c r="R69" s="1420" t="s">
        <v>813</v>
      </c>
    </row>
    <row r="70" spans="1:18" s="1384" customFormat="1" ht="13.5" thickBot="1">
      <c r="A70" s="954"/>
      <c r="B70" s="955"/>
      <c r="C70" s="310"/>
      <c r="D70" s="966"/>
      <c r="E70" s="950" t="s">
        <v>761</v>
      </c>
      <c r="F70" s="1054"/>
      <c r="O70" s="1428" t="s">
        <v>412</v>
      </c>
      <c r="P70" s="1467" t="s">
        <v>868</v>
      </c>
      <c r="Q70" s="1420">
        <f ca="1">C13</f>
        <v>0</v>
      </c>
      <c r="R70" s="1420" t="s">
        <v>813</v>
      </c>
    </row>
    <row r="71" spans="1:18" s="1384" customFormat="1" ht="13.5" thickBot="1">
      <c r="A71" s="971" t="s">
        <v>396</v>
      </c>
      <c r="B71" s="972" t="s">
        <v>771</v>
      </c>
      <c r="C71" s="336" t="e">
        <f ca="1">ROUND(C68*10000/F71,0)</f>
        <v>#DIV/0!</v>
      </c>
      <c r="D71" s="973" t="s">
        <v>772</v>
      </c>
      <c r="E71" s="974" t="s">
        <v>773</v>
      </c>
      <c r="F71" s="339">
        <f ca="1">F43</f>
        <v>0</v>
      </c>
      <c r="O71" s="1428" t="s">
        <v>413</v>
      </c>
      <c r="P71" s="1467" t="s">
        <v>869</v>
      </c>
      <c r="Q71" s="1431">
        <f ca="1">C76</f>
        <v>0</v>
      </c>
      <c r="R71" s="1420"/>
    </row>
    <row r="72" spans="1:18" s="1384" customFormat="1" ht="13.5" thickBot="1">
      <c r="B72" s="726"/>
      <c r="C72" s="726"/>
      <c r="O72" s="1428" t="s">
        <v>407</v>
      </c>
      <c r="P72" s="1419" t="s">
        <v>847</v>
      </c>
      <c r="Q72" s="1431">
        <f>L52</f>
        <v>0</v>
      </c>
      <c r="R72" s="1420"/>
    </row>
    <row r="73" spans="1:18" ht="16.5" thickBot="1">
      <c r="A73" s="1384"/>
      <c r="B73" s="726"/>
      <c r="C73" s="726"/>
      <c r="D73" s="1384"/>
      <c r="E73" s="1384"/>
      <c r="F73" s="1384"/>
      <c r="O73" s="1428" t="s">
        <v>408</v>
      </c>
      <c r="P73" s="1419" t="s">
        <v>850</v>
      </c>
      <c r="Q73" s="1420" t="e">
        <f ca="1">L58</f>
        <v>#DIV/0!</v>
      </c>
      <c r="R73" s="1420" t="s">
        <v>851</v>
      </c>
    </row>
    <row r="74" spans="1:18" ht="13.5" thickBot="1">
      <c r="A74" s="1384"/>
      <c r="B74" s="273" t="s">
        <v>870</v>
      </c>
      <c r="C74" s="1469"/>
      <c r="D74" s="1384"/>
      <c r="E74" s="1384"/>
      <c r="F74" s="1384"/>
      <c r="O74" s="1428" t="s">
        <v>415</v>
      </c>
      <c r="P74" s="1419" t="str">
        <f>K59</f>
        <v>建筑物剩余耐用年限下的土地年期修正系数Kn</v>
      </c>
      <c r="Q74" s="1420" t="e">
        <f ca="1">L59</f>
        <v>#DIV/0!</v>
      </c>
      <c r="R74" s="1420" t="s">
        <v>852</v>
      </c>
    </row>
    <row r="75" spans="1:18" ht="13.5" thickBot="1">
      <c r="A75" s="1384"/>
      <c r="B75" s="340" t="s">
        <v>790</v>
      </c>
      <c r="C75" s="341">
        <f ca="1">ROUND(C13*C76,0)</f>
        <v>0</v>
      </c>
      <c r="D75" s="1384"/>
      <c r="E75" s="1384"/>
      <c r="F75" s="1384"/>
      <c r="K75" s="1402"/>
      <c r="L75" s="1384"/>
      <c r="O75" s="1418" t="s">
        <v>409</v>
      </c>
      <c r="P75" s="1419" t="s">
        <v>833</v>
      </c>
      <c r="Q75" s="1420" t="e">
        <f ca="1">Q65+Q66</f>
        <v>#DIV/0!</v>
      </c>
      <c r="R75" s="1420" t="s">
        <v>410</v>
      </c>
    </row>
    <row r="76" spans="1:18">
      <c r="B76" s="342" t="s">
        <v>791</v>
      </c>
      <c r="C76" s="343">
        <f ca="1">INDIRECT("'数据-取费表'!j"&amp;$G$1)</f>
        <v>0</v>
      </c>
      <c r="I76" s="1384"/>
      <c r="J76" s="1384"/>
      <c r="K76" s="1402"/>
      <c r="L76" s="1384"/>
    </row>
    <row r="77" spans="1:18">
      <c r="B77" s="344" t="s">
        <v>792</v>
      </c>
      <c r="C77" s="345"/>
      <c r="I77" s="1384"/>
      <c r="J77" s="1384"/>
      <c r="K77" s="1402"/>
      <c r="L77" s="1384"/>
    </row>
    <row r="78" spans="1:18">
      <c r="B78" s="270" t="s">
        <v>793</v>
      </c>
      <c r="C78" s="346"/>
    </row>
    <row r="79" spans="1:18">
      <c r="B79" s="340" t="s">
        <v>794</v>
      </c>
      <c r="C79" s="274" t="e">
        <f ca="1">1-C80</f>
        <v>#DIV/0!</v>
      </c>
    </row>
    <row r="80" spans="1:18">
      <c r="B80" s="340" t="s">
        <v>795</v>
      </c>
      <c r="C80" s="274" t="e">
        <f ca="1">ROUND(C75/C39,3)</f>
        <v>#DIV/0!</v>
      </c>
    </row>
    <row r="81" spans="2:3">
      <c r="B81" s="270" t="s">
        <v>796</v>
      </c>
      <c r="C81" s="238"/>
    </row>
    <row r="82" spans="2:3">
      <c r="B82" s="273" t="s">
        <v>797</v>
      </c>
      <c r="C82" s="275" t="e">
        <f ca="1">1-C83</f>
        <v>#DIV/0!</v>
      </c>
    </row>
    <row r="83" spans="2:3">
      <c r="B83" s="273" t="s">
        <v>798</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8" sqref="H28"/>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13" t="str">
        <f>IF(项目基本情况!B9="房地产市场价值","估价结果一览表","结果表-2")</f>
        <v>结果表-2</v>
      </c>
      <c r="B1" s="3513"/>
      <c r="C1" s="3513"/>
      <c r="D1" s="3513"/>
      <c r="E1" s="3513"/>
      <c r="F1" s="3513"/>
      <c r="G1" s="3513"/>
      <c r="H1" s="3513"/>
      <c r="I1" s="3513"/>
    </row>
    <row r="2" spans="1:9" ht="30" customHeight="1" thickTop="1">
      <c r="A2" s="3514" t="s">
        <v>923</v>
      </c>
      <c r="B2" s="3514" t="s">
        <v>924</v>
      </c>
      <c r="C2" s="3514" t="s">
        <v>925</v>
      </c>
      <c r="D2" s="3514" t="str">
        <f>结果表!D116</f>
        <v>出让国有建设用地使用权价值</v>
      </c>
      <c r="E2" s="3514"/>
      <c r="F2" s="3514" t="str">
        <f>结果表!F116</f>
        <v>在建建筑物价值</v>
      </c>
      <c r="G2" s="3514"/>
      <c r="H2" s="3514" t="str">
        <f>IF(项目基本情况!B9="房地产市场价值","房地产市场价值","房地产价值")</f>
        <v>房地产价值</v>
      </c>
      <c r="I2" s="3514"/>
    </row>
    <row r="3" spans="1:9" ht="15">
      <c r="A3" s="3515"/>
      <c r="B3" s="3515"/>
      <c r="C3" s="3515"/>
      <c r="D3" s="854" t="s">
        <v>920</v>
      </c>
      <c r="E3" s="854" t="s">
        <v>926</v>
      </c>
      <c r="F3" s="854" t="s">
        <v>920</v>
      </c>
      <c r="G3" s="854" t="s">
        <v>921</v>
      </c>
      <c r="H3" s="854" t="s">
        <v>920</v>
      </c>
      <c r="I3" s="854" t="s">
        <v>921</v>
      </c>
    </row>
    <row r="4" spans="1:9" ht="15">
      <c r="A4" s="1505" t="str">
        <f>项目基本情况!S2</f>
        <v>北京市房地产</v>
      </c>
      <c r="B4" s="854">
        <f>项目基本情况!C17</f>
        <v>63063.880000000005</v>
      </c>
      <c r="C4" s="854">
        <f>项目基本情况!C18</f>
        <v>0</v>
      </c>
      <c r="D4" s="854">
        <f ca="1">结果表!D118</f>
        <v>66590</v>
      </c>
      <c r="E4" s="854">
        <f ca="1">结果表!E118</f>
        <v>10559</v>
      </c>
      <c r="F4" s="854">
        <f ca="1">结果表!F118</f>
        <v>50440</v>
      </c>
      <c r="G4" s="854">
        <f ca="1">结果表!G118</f>
        <v>7998</v>
      </c>
      <c r="H4" s="854">
        <f ca="1">结果表!H118</f>
        <v>117030</v>
      </c>
      <c r="I4" s="854">
        <f ca="1">结果表!I118</f>
        <v>18557</v>
      </c>
    </row>
    <row r="5" spans="1:9" ht="30" customHeight="1">
      <c r="A5" s="3515" t="s">
        <v>922</v>
      </c>
      <c r="B5" s="3515"/>
      <c r="C5" s="3515"/>
      <c r="D5" s="3515" t="str">
        <f ca="1">结果表!D119</f>
        <v>陆亿陆仟伍佰玖拾万元整</v>
      </c>
      <c r="E5" s="3515"/>
      <c r="F5" s="3515" t="str">
        <f ca="1">结果表!F119</f>
        <v>伍亿零肆佰肆拾万元整</v>
      </c>
      <c r="G5" s="3515"/>
      <c r="H5" s="3515" t="str">
        <f ca="1">结果表!H119</f>
        <v>壹拾壹亿柒仟零叁拾万元整</v>
      </c>
      <c r="I5" s="3515"/>
    </row>
    <row r="6" spans="1:9" ht="15.75">
      <c r="A6" s="3516" t="str">
        <f>结果表!A120</f>
        <v>估价师知悉的法定优先受偿款</v>
      </c>
      <c r="B6" s="3516"/>
      <c r="C6" s="3516"/>
      <c r="D6" s="3516">
        <f>结果表!D120</f>
        <v>0</v>
      </c>
      <c r="E6" s="3516"/>
      <c r="F6" s="3516"/>
      <c r="G6" s="3516"/>
      <c r="H6" s="3516"/>
      <c r="I6" s="3516"/>
    </row>
    <row r="7" spans="1:9" ht="15">
      <c r="A7" s="3515" t="s">
        <v>922</v>
      </c>
      <c r="B7" s="3515"/>
      <c r="C7" s="3515"/>
      <c r="D7" s="3517" t="str">
        <f>结果表!D121</f>
        <v>零元整</v>
      </c>
      <c r="E7" s="3518"/>
      <c r="F7" s="3518"/>
      <c r="G7" s="3518"/>
      <c r="H7" s="3518"/>
      <c r="I7" s="3519"/>
    </row>
    <row r="8" spans="1:9" ht="15.75">
      <c r="A8" s="3516" t="str">
        <f>结果表!A122</f>
        <v>房地产抵押价值</v>
      </c>
      <c r="B8" s="3516"/>
      <c r="C8" s="3516"/>
      <c r="D8" s="3516">
        <f ca="1">结果表!D122</f>
        <v>117030</v>
      </c>
      <c r="E8" s="3516"/>
      <c r="F8" s="3516"/>
      <c r="G8" s="3516"/>
      <c r="H8" s="3516"/>
      <c r="I8" s="3516"/>
    </row>
    <row r="9" spans="1:9" ht="15">
      <c r="A9" s="3515" t="s">
        <v>922</v>
      </c>
      <c r="B9" s="3515"/>
      <c r="C9" s="3515"/>
      <c r="D9" s="3515" t="str">
        <f ca="1">结果表!D123</f>
        <v>壹拾壹亿柒仟零叁拾万元整</v>
      </c>
      <c r="E9" s="3515"/>
      <c r="F9" s="3515"/>
      <c r="G9" s="3515"/>
      <c r="H9" s="3515"/>
      <c r="I9" s="3515"/>
    </row>
    <row r="10" spans="1:9" ht="15.75">
      <c r="A10" s="3516" t="str">
        <f>结果表!A124</f>
        <v/>
      </c>
      <c r="B10" s="3516"/>
      <c r="C10" s="3516"/>
      <c r="D10" s="3516" t="str">
        <f>结果表!D124</f>
        <v>——</v>
      </c>
      <c r="E10" s="3516"/>
      <c r="F10" s="3516"/>
      <c r="G10" s="3516"/>
      <c r="H10" s="3516"/>
      <c r="I10" s="3516"/>
    </row>
    <row r="11" spans="1:9" ht="15">
      <c r="A11" s="3515" t="s">
        <v>922</v>
      </c>
      <c r="B11" s="3515"/>
      <c r="C11" s="3515"/>
      <c r="D11" s="3515" t="e">
        <f>结果表!D125</f>
        <v>#VALUE!</v>
      </c>
      <c r="E11" s="3515"/>
      <c r="F11" s="3515"/>
      <c r="G11" s="3515"/>
      <c r="H11" s="3515"/>
      <c r="I11" s="3515"/>
    </row>
    <row r="12" spans="1:9" ht="15.75">
      <c r="A12" s="3516" t="str">
        <f>结果表!A126</f>
        <v>抵押净值</v>
      </c>
      <c r="B12" s="3516"/>
      <c r="C12" s="3516"/>
      <c r="D12" s="3516">
        <f ca="1">结果表!D126</f>
        <v>113502</v>
      </c>
      <c r="E12" s="3516"/>
      <c r="F12" s="3516"/>
      <c r="G12" s="3516"/>
      <c r="H12" s="3516"/>
      <c r="I12" s="3516"/>
    </row>
    <row r="13" spans="1:9" ht="15.75" thickBot="1">
      <c r="A13" s="3520" t="s">
        <v>922</v>
      </c>
      <c r="B13" s="3520"/>
      <c r="C13" s="3520"/>
      <c r="D13" s="3520" t="str">
        <f ca="1">结果表!D127</f>
        <v>壹拾壹亿叁仟伍佰零贰万元整</v>
      </c>
      <c r="E13" s="3520"/>
      <c r="F13" s="3520"/>
      <c r="G13" s="3520"/>
      <c r="H13" s="3520"/>
      <c r="I13" s="3520"/>
    </row>
    <row r="14" spans="1:9" ht="15" thickTop="1">
      <c r="A14" s="3521" t="s">
        <v>927</v>
      </c>
      <c r="B14" s="3521"/>
      <c r="C14" s="3521"/>
      <c r="D14" s="3521"/>
      <c r="E14" s="3521"/>
      <c r="F14" s="3521"/>
      <c r="G14" s="3521"/>
      <c r="H14" s="3521"/>
      <c r="I14" s="3521"/>
    </row>
    <row r="16" spans="1:9" ht="18.75">
      <c r="A16" s="1506" t="s">
        <v>910</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22" t="s">
        <v>944</v>
      </c>
      <c r="B1" s="3522"/>
      <c r="C1" s="3522"/>
      <c r="D1" s="3522"/>
    </row>
    <row r="2" spans="1:4" ht="18">
      <c r="A2" s="3523" t="s">
        <v>928</v>
      </c>
      <c r="B2" s="3523"/>
      <c r="C2" s="3523"/>
      <c r="D2" s="3523"/>
    </row>
    <row r="3" spans="1:4" ht="18.75">
      <c r="A3" s="1509" t="s">
        <v>929</v>
      </c>
      <c r="B3" s="1509" t="s">
        <v>930</v>
      </c>
      <c r="C3" s="1509" t="s">
        <v>931</v>
      </c>
      <c r="D3" s="1509" t="s">
        <v>932</v>
      </c>
    </row>
    <row r="4" spans="1:4" ht="56.25" customHeight="1">
      <c r="A4" s="1510" t="str">
        <f>项目基本情况!B4</f>
        <v>崔锴</v>
      </c>
      <c r="B4" s="1511">
        <f ca="1">项目基本情况!C4</f>
        <v>1120100036</v>
      </c>
      <c r="C4" s="1512"/>
      <c r="D4" s="1513" t="s">
        <v>933</v>
      </c>
    </row>
    <row r="5" spans="1:4" ht="56.25" customHeight="1">
      <c r="A5" s="1510" t="str">
        <f>项目基本情况!D4</f>
        <v>郑燚</v>
      </c>
      <c r="B5" s="1511">
        <f ca="1">项目基本情况!E4</f>
        <v>1120070131</v>
      </c>
      <c r="C5" s="1514"/>
      <c r="D5" s="1513" t="s">
        <v>933</v>
      </c>
    </row>
    <row r="6" spans="1:4" ht="18">
      <c r="A6" s="3523" t="s">
        <v>934</v>
      </c>
      <c r="B6" s="3523"/>
      <c r="C6" s="3523"/>
      <c r="D6" s="3523"/>
    </row>
    <row r="7" spans="1:4" ht="18.75">
      <c r="A7" s="1509" t="s">
        <v>929</v>
      </c>
      <c r="B7" s="1511" t="s">
        <v>935</v>
      </c>
      <c r="C7" s="1509" t="s">
        <v>931</v>
      </c>
      <c r="D7" s="1509" t="s">
        <v>932</v>
      </c>
    </row>
    <row r="8" spans="1:4" ht="56.25" customHeight="1">
      <c r="A8" s="1515" t="s">
        <v>390</v>
      </c>
      <c r="B8" s="1515" t="s">
        <v>0</v>
      </c>
      <c r="C8" s="1512"/>
      <c r="D8" s="1513" t="s">
        <v>933</v>
      </c>
    </row>
    <row r="9" spans="1:4">
      <c r="A9" s="675"/>
      <c r="B9" s="675"/>
      <c r="C9" s="675"/>
      <c r="D9" s="675"/>
    </row>
    <row r="10" spans="1:4" ht="18.75">
      <c r="A10" s="1516" t="s">
        <v>936</v>
      </c>
      <c r="B10" s="675"/>
      <c r="C10" s="675"/>
      <c r="D10" s="675"/>
    </row>
    <row r="11" spans="1:4" ht="30" customHeight="1">
      <c r="A11" s="3524" t="s">
        <v>937</v>
      </c>
      <c r="B11" s="3525"/>
      <c r="C11" s="3525"/>
      <c r="D11" s="3525"/>
    </row>
    <row r="12" spans="1:4" ht="15.75">
      <c r="A12" s="35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6"/>
      <c r="C12" s="3526"/>
      <c r="D12" s="3526"/>
    </row>
    <row r="13" spans="1:4" ht="30" customHeight="1">
      <c r="A13" s="35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6"/>
      <c r="C13" s="3526"/>
      <c r="D13" s="3526"/>
    </row>
    <row r="14" spans="1:4" ht="15.75" customHeight="1">
      <c r="A14" s="3525" t="str">
        <f>IF(项目基本情况!B8="抵押","4.本次评估估价师所知悉的法定优先受偿款情况说明如下：","——")</f>
        <v>4.本次评估估价师所知悉的法定优先受偿款情况说明如下：</v>
      </c>
      <c r="B14" s="3526"/>
      <c r="C14" s="3526"/>
      <c r="D14" s="3526"/>
    </row>
    <row r="15" spans="1:4" ht="42" customHeight="1">
      <c r="A15" s="3525"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5"/>
      <c r="C15" s="3525"/>
      <c r="D15" s="3525"/>
    </row>
    <row r="16" spans="1:4" ht="30" customHeight="1">
      <c r="A16" s="3528" t="s">
        <v>938</v>
      </c>
      <c r="B16" s="3528"/>
      <c r="C16" s="3528"/>
      <c r="D16" s="3528"/>
    </row>
    <row r="17" spans="1:4" ht="144" customHeight="1">
      <c r="A17" s="3528" t="s">
        <v>939</v>
      </c>
      <c r="B17" s="3528"/>
      <c r="C17" s="3528"/>
      <c r="D17" s="3528"/>
    </row>
    <row r="18" spans="1:4" ht="15.75" customHeight="1">
      <c r="A18" s="3525" t="str">
        <f>IF(项目基本情况!B8="抵押",结果表!K120,"——")</f>
        <v>故，本次评估不存在估价师知悉的法定优先受偿款</v>
      </c>
      <c r="B18" s="3525"/>
      <c r="C18" s="3525"/>
      <c r="D18" s="3525"/>
    </row>
    <row r="19" spans="1:4" ht="46.5" customHeight="1">
      <c r="A19" s="35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5"/>
      <c r="C19" s="3525"/>
      <c r="D19" s="3525"/>
    </row>
    <row r="20" spans="1:4" ht="57.75" customHeight="1">
      <c r="A20" s="35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5"/>
      <c r="C20" s="3525"/>
      <c r="D20" s="3525"/>
    </row>
    <row r="21" spans="1:4" ht="57.75" customHeight="1">
      <c r="A21" s="35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9"/>
      <c r="C21" s="3529"/>
      <c r="D21" s="3529"/>
    </row>
    <row r="22" spans="1:4" ht="18.75" customHeight="1">
      <c r="A22" s="3530" t="s">
        <v>940</v>
      </c>
      <c r="B22" s="3530"/>
      <c r="C22" s="3530"/>
      <c r="D22" s="3530"/>
    </row>
    <row r="23" spans="1:4">
      <c r="A23" s="1517"/>
      <c r="B23" s="1489"/>
      <c r="C23" s="1489"/>
      <c r="D23" s="1489"/>
    </row>
    <row r="24" spans="1:4">
      <c r="A24" s="1517"/>
      <c r="B24" s="1489"/>
      <c r="C24" s="1489"/>
      <c r="D24" s="1489"/>
    </row>
    <row r="25" spans="1:4" ht="18.75">
      <c r="A25" s="1518" t="s">
        <v>941</v>
      </c>
    </row>
    <row r="26" spans="1:4" ht="18">
      <c r="A26" s="1487"/>
    </row>
    <row r="27" spans="1:4" ht="18.75">
      <c r="A27" s="1487" t="s">
        <v>942</v>
      </c>
    </row>
    <row r="30" spans="1:4" ht="18.75">
      <c r="D30" s="1518" t="s">
        <v>943</v>
      </c>
    </row>
    <row r="31" spans="1:4" ht="13.5" customHeight="1">
      <c r="C31" s="3527">
        <v>42551</v>
      </c>
      <c r="D31" s="352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945</v>
      </c>
    </row>
    <row r="3" spans="1:7">
      <c r="A3" s="1523" t="s">
        <v>55</v>
      </c>
      <c r="B3" s="1507" t="s">
        <v>946</v>
      </c>
      <c r="G3" s="1524"/>
    </row>
    <row r="4" spans="1:7">
      <c r="G4" s="1524"/>
    </row>
    <row r="5" spans="1:7">
      <c r="A5" s="1526" t="s">
        <v>46</v>
      </c>
      <c r="B5" s="1507" t="s">
        <v>947</v>
      </c>
      <c r="G5" s="1524"/>
    </row>
    <row r="6" spans="1:7">
      <c r="G6" s="1524"/>
    </row>
    <row r="7" spans="1:7">
      <c r="A7" s="1527" t="s">
        <v>108</v>
      </c>
      <c r="B7" s="1507" t="s">
        <v>948</v>
      </c>
      <c r="G7" s="1524"/>
    </row>
    <row r="8" spans="1:7">
      <c r="G8" s="1524"/>
    </row>
    <row r="9" spans="1:7">
      <c r="A9" s="1528" t="s">
        <v>47</v>
      </c>
      <c r="B9" s="1507" t="s">
        <v>949</v>
      </c>
    </row>
    <row r="11" spans="1:7">
      <c r="A11" s="1529" t="s">
        <v>48</v>
      </c>
      <c r="B11" s="1530" t="s">
        <v>45</v>
      </c>
    </row>
    <row r="13" spans="1:7">
      <c r="A13" s="1531" t="s">
        <v>950</v>
      </c>
    </row>
    <row r="15" spans="1:7" ht="13.5">
      <c r="A15" s="3536" t="s">
        <v>951</v>
      </c>
      <c r="B15" s="3531" t="s">
        <v>109</v>
      </c>
      <c r="C15" s="3532"/>
    </row>
    <row r="16" spans="1:7" ht="13.5">
      <c r="A16" s="3537"/>
      <c r="B16" s="3531" t="s">
        <v>42</v>
      </c>
      <c r="C16" s="3532"/>
    </row>
    <row r="17" spans="1:3" ht="13.5">
      <c r="A17" s="3537"/>
      <c r="B17" s="3534" t="s">
        <v>952</v>
      </c>
      <c r="C17" s="1532" t="s">
        <v>951</v>
      </c>
    </row>
    <row r="18" spans="1:3" ht="13.5">
      <c r="A18" s="3537"/>
      <c r="B18" s="3534"/>
      <c r="C18" s="1532" t="s">
        <v>953</v>
      </c>
    </row>
    <row r="19" spans="1:3" ht="13.5">
      <c r="A19" s="3537"/>
      <c r="B19" s="3534"/>
      <c r="C19" s="1532" t="s">
        <v>954</v>
      </c>
    </row>
    <row r="20" spans="1:3" ht="13.5">
      <c r="A20" s="3538"/>
      <c r="B20" s="3533" t="s">
        <v>955</v>
      </c>
      <c r="C20" s="3532"/>
    </row>
    <row r="21" spans="1:3" ht="13.5">
      <c r="A21" s="1533" t="s">
        <v>956</v>
      </c>
      <c r="B21" s="1534"/>
      <c r="C21" s="1535"/>
    </row>
    <row r="22" spans="1:3" ht="13.5">
      <c r="A22" s="3535" t="s">
        <v>957</v>
      </c>
      <c r="B22" s="3533" t="s">
        <v>958</v>
      </c>
      <c r="C22" s="3532"/>
    </row>
    <row r="23" spans="1:3" ht="13.5">
      <c r="A23" s="3535"/>
      <c r="B23" s="3533" t="s">
        <v>959</v>
      </c>
      <c r="C23" s="3532"/>
    </row>
    <row r="24" spans="1:3" ht="13.5">
      <c r="A24" s="3535"/>
      <c r="B24" s="3533" t="s">
        <v>960</v>
      </c>
      <c r="C24" s="3532"/>
    </row>
    <row r="25" spans="1:3" ht="13.5">
      <c r="A25" s="3535"/>
      <c r="B25" s="3534" t="s">
        <v>961</v>
      </c>
      <c r="C25" s="1532" t="s">
        <v>962</v>
      </c>
    </row>
    <row r="26" spans="1:3" ht="13.5">
      <c r="A26" s="3535"/>
      <c r="B26" s="3534"/>
      <c r="C26" s="1532" t="s">
        <v>963</v>
      </c>
    </row>
    <row r="27" spans="1:3" ht="13.5">
      <c r="A27" s="3535"/>
      <c r="B27" s="3534"/>
      <c r="C27" s="1532" t="s">
        <v>964</v>
      </c>
    </row>
    <row r="28" spans="1:3" ht="13.5">
      <c r="A28" s="3535"/>
      <c r="B28" s="3534"/>
      <c r="C28" s="1532" t="s">
        <v>965</v>
      </c>
    </row>
    <row r="29" spans="1:3" ht="13.5">
      <c r="A29" s="3535"/>
      <c r="B29" s="3534"/>
      <c r="C29" s="1532" t="s">
        <v>966</v>
      </c>
    </row>
    <row r="30" spans="1:3" ht="13.5">
      <c r="A30" s="3535"/>
      <c r="B30" s="3534"/>
      <c r="C30" s="1532" t="s">
        <v>967</v>
      </c>
    </row>
    <row r="31" spans="1:3" ht="13.5">
      <c r="A31" s="3535"/>
      <c r="B31" s="3534"/>
      <c r="C31" s="1532" t="s">
        <v>968</v>
      </c>
    </row>
    <row r="32" spans="1:3" ht="13.5">
      <c r="A32" s="3535"/>
      <c r="B32" s="3534"/>
      <c r="C32" s="1532" t="s">
        <v>969</v>
      </c>
    </row>
    <row r="33" spans="1:3" ht="13.5">
      <c r="A33" s="3535"/>
      <c r="B33" s="3534"/>
      <c r="C33" s="1532" t="s">
        <v>970</v>
      </c>
    </row>
    <row r="34" spans="1:3">
      <c r="A34" s="1536" t="s">
        <v>49</v>
      </c>
    </row>
    <row r="37" spans="1:3">
      <c r="A37" s="1536" t="s">
        <v>971</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2132</v>
      </c>
      <c r="B2" s="2338">
        <f ca="1">TODAY()</f>
        <v>45357</v>
      </c>
      <c r="C2" s="2339" t="s">
        <v>2133</v>
      </c>
      <c r="D2" s="2339"/>
      <c r="E2" s="2339"/>
      <c r="F2" s="2335"/>
      <c r="G2" s="2335"/>
      <c r="H2" s="2335"/>
    </row>
    <row r="3" spans="1:8" ht="24" customHeight="1">
      <c r="A3" s="2340" t="s">
        <v>2134</v>
      </c>
      <c r="B3" s="2341" t="s">
        <v>2135</v>
      </c>
      <c r="C3" s="2341" t="s">
        <v>2136</v>
      </c>
      <c r="D3" s="2342" t="s">
        <v>2137</v>
      </c>
      <c r="E3" s="2343" t="s">
        <v>2138</v>
      </c>
      <c r="F3" s="1304" t="s">
        <v>2139</v>
      </c>
      <c r="G3" s="2341" t="s">
        <v>2136</v>
      </c>
      <c r="H3" s="2342" t="s">
        <v>2140</v>
      </c>
    </row>
    <row r="4" spans="1:8" ht="24" customHeight="1">
      <c r="A4" s="1304" t="s">
        <v>2141</v>
      </c>
      <c r="B4" s="1304">
        <f ca="1">IF(C4&lt;B2,"已过期",1119970066)</f>
        <v>1119970066</v>
      </c>
      <c r="C4" s="2344">
        <v>45937</v>
      </c>
      <c r="D4" s="2345" t="str">
        <f ca="1">A4&amp;"（注册号："&amp;B4&amp;"）"</f>
        <v>梁津（注册号：1119970066）</v>
      </c>
      <c r="E4" s="2346" t="s">
        <v>2141</v>
      </c>
      <c r="F4" s="1304">
        <f ca="1">IF(G4&lt;B2,"已过期",96010014)</f>
        <v>96010014</v>
      </c>
      <c r="G4" s="2347">
        <v>47118</v>
      </c>
      <c r="H4" s="2348" t="str">
        <f ca="1">E4&amp;"（注册号："&amp;F4&amp;"）"</f>
        <v>梁津（注册号：96010014）</v>
      </c>
    </row>
    <row r="5" spans="1:8" ht="24" customHeight="1">
      <c r="A5" s="1304" t="s">
        <v>2142</v>
      </c>
      <c r="B5" s="1304">
        <f ca="1">IF(C5&lt;B2,"已过期",1119970111)</f>
        <v>1119970111</v>
      </c>
      <c r="C5" s="2344">
        <v>45937</v>
      </c>
      <c r="D5" s="2345" t="str">
        <f t="shared" ref="D5:D15" ca="1" si="0">A5&amp;"（注册号："&amp;B5&amp;"）"</f>
        <v>叶凌（注册号：1119970111）</v>
      </c>
      <c r="E5" s="2346" t="s">
        <v>2142</v>
      </c>
      <c r="F5" s="1304">
        <f ca="1">IF(G5&lt;B2,"已过期",94010078)</f>
        <v>94010078</v>
      </c>
      <c r="G5" s="2347">
        <v>46387</v>
      </c>
      <c r="H5" s="2348" t="str">
        <f t="shared" ref="H5:H16" ca="1" si="1">E5&amp;"（注册号："&amp;F5&amp;"）"</f>
        <v>叶凌（注册号：94010078）</v>
      </c>
    </row>
    <row r="6" spans="1:8" ht="24" customHeight="1">
      <c r="A6" s="1304" t="s">
        <v>2143</v>
      </c>
      <c r="B6" s="1304">
        <f ca="1">IF(C6&lt;B2,"已过期",1120050019)</f>
        <v>1120050019</v>
      </c>
      <c r="C6" s="2344">
        <v>45410</v>
      </c>
      <c r="D6" s="2345" t="str">
        <f t="shared" ca="1" si="0"/>
        <v>王鹏（注册号：1120050019）</v>
      </c>
      <c r="E6" s="2346" t="s">
        <v>2143</v>
      </c>
      <c r="F6" s="1304">
        <f ca="1">IF(G6&lt;B2,"已过期",2002110030)</f>
        <v>2002110030</v>
      </c>
      <c r="G6" s="2347">
        <v>46387</v>
      </c>
      <c r="H6" s="2348" t="str">
        <f t="shared" ca="1" si="1"/>
        <v>王鹏（注册号：2002110030）</v>
      </c>
    </row>
    <row r="7" spans="1:8" ht="24" customHeight="1">
      <c r="A7" s="1304" t="s">
        <v>2144</v>
      </c>
      <c r="B7" s="1304">
        <f ca="1">IF(C7&lt;B2,"已过期",1120000080)</f>
        <v>1120000080</v>
      </c>
      <c r="C7" s="2344">
        <v>45937</v>
      </c>
      <c r="D7" s="2345" t="str">
        <f t="shared" ca="1" si="0"/>
        <v>欧红伟（注册号：1120000080）</v>
      </c>
      <c r="E7" s="2346" t="s">
        <v>2144</v>
      </c>
      <c r="F7" s="1304">
        <f ca="1">IF(G7&lt;B2,"已过期",2000110082)</f>
        <v>2000110082</v>
      </c>
      <c r="G7" s="2347">
        <v>46387</v>
      </c>
      <c r="H7" s="2348" t="str">
        <f t="shared" ca="1" si="1"/>
        <v>欧红伟（注册号：2000110082）</v>
      </c>
    </row>
    <row r="8" spans="1:8" ht="24" customHeight="1">
      <c r="A8" s="1304" t="s">
        <v>2145</v>
      </c>
      <c r="B8" s="1304">
        <f ca="1">IF(C8&lt;B2,"已过期",1419970001)</f>
        <v>1419970001</v>
      </c>
      <c r="C8" s="2344">
        <v>45937</v>
      </c>
      <c r="D8" s="2345" t="str">
        <f t="shared" ca="1" si="0"/>
        <v>吴薇（注册号：1419970001）</v>
      </c>
      <c r="E8" s="2346" t="s">
        <v>2145</v>
      </c>
      <c r="F8" s="1304">
        <f ca="1">IF(G8&lt;B2,"已过期",2002110125)</f>
        <v>2002110125</v>
      </c>
      <c r="G8" s="2347">
        <v>47118</v>
      </c>
      <c r="H8" s="2348" t="str">
        <f t="shared" ca="1" si="1"/>
        <v>吴薇（注册号：2002110125）</v>
      </c>
    </row>
    <row r="9" spans="1:8" ht="24" customHeight="1">
      <c r="A9" s="1304" t="s">
        <v>2146</v>
      </c>
      <c r="B9" s="1304">
        <f ca="1">IF(C9&lt;B2,"已过期",1120060040)</f>
        <v>1120060040</v>
      </c>
      <c r="C9" s="2349">
        <v>45592</v>
      </c>
      <c r="D9" s="2345" t="str">
        <f t="shared" ca="1" si="0"/>
        <v>陈颖（注册号：1120060040）</v>
      </c>
      <c r="E9" s="2346" t="s">
        <v>2146</v>
      </c>
      <c r="F9" s="1304">
        <f ca="1">IF(G9&lt;B2,"已过期",2004110096)</f>
        <v>2004110096</v>
      </c>
      <c r="G9" s="2347">
        <v>47118</v>
      </c>
      <c r="H9" s="2348" t="str">
        <f t="shared" ca="1" si="1"/>
        <v>陈颖（注册号：2004110096）</v>
      </c>
    </row>
    <row r="10" spans="1:8" ht="24" customHeight="1">
      <c r="A10" s="1304" t="s">
        <v>2147</v>
      </c>
      <c r="B10" s="1304">
        <f ca="1">IF(C10&lt;B2,"已过期",1120100036)</f>
        <v>1120100036</v>
      </c>
      <c r="C10" s="2349">
        <v>45752</v>
      </c>
      <c r="D10" s="2345" t="str">
        <f t="shared" ca="1" si="0"/>
        <v>崔锴（注册号：1120100036）</v>
      </c>
      <c r="E10" s="2346" t="s">
        <v>2147</v>
      </c>
      <c r="F10" s="1304">
        <f ca="1">IF(G10&lt;B2,"已过期",2010110070)</f>
        <v>2010110070</v>
      </c>
      <c r="G10" s="2347">
        <v>47907</v>
      </c>
      <c r="H10" s="2348" t="str">
        <f t="shared" ca="1" si="1"/>
        <v>崔锴（注册号：2010110070）</v>
      </c>
    </row>
    <row r="11" spans="1:8" ht="24" customHeight="1">
      <c r="A11" s="1304" t="s">
        <v>2148</v>
      </c>
      <c r="B11" s="1304">
        <f ca="1">IF(C11&lt;B2,"已过期",1120070131)</f>
        <v>1120070131</v>
      </c>
      <c r="C11" s="2344">
        <v>45937</v>
      </c>
      <c r="D11" s="2345" t="str">
        <f t="shared" ca="1" si="0"/>
        <v>郑燚（注册号：1120070131）</v>
      </c>
      <c r="E11" s="2346" t="s">
        <v>2148</v>
      </c>
      <c r="F11" s="1304">
        <f ca="1">IF(G11&lt;B2,"已过期",2014110011)</f>
        <v>2014110011</v>
      </c>
      <c r="G11" s="2347">
        <v>49302</v>
      </c>
      <c r="H11" s="2348" t="str">
        <f t="shared" ca="1" si="1"/>
        <v>郑燚（注册号：2014110011）</v>
      </c>
    </row>
    <row r="12" spans="1:8" ht="24" customHeight="1">
      <c r="A12" s="1304" t="s">
        <v>2149</v>
      </c>
      <c r="B12" s="1304">
        <f ca="1">IF(C12&lt;B2,"已过期",1120040230)</f>
        <v>1120040230</v>
      </c>
      <c r="C12" s="2349">
        <v>45937</v>
      </c>
      <c r="D12" s="2345" t="str">
        <f t="shared" ca="1" si="0"/>
        <v>苏海（注册号：1120040230）</v>
      </c>
      <c r="E12" s="2346" t="s">
        <v>2149</v>
      </c>
      <c r="F12" s="1304">
        <f ca="1">IF(G12&lt;B2,"已过期",98030020)</f>
        <v>98030020</v>
      </c>
      <c r="G12" s="2347">
        <v>47118</v>
      </c>
      <c r="H12" s="2348" t="str">
        <f t="shared" ca="1" si="1"/>
        <v>苏海（注册号：98030020）</v>
      </c>
    </row>
    <row r="13" spans="1:8" ht="24" customHeight="1">
      <c r="A13" s="1304" t="s">
        <v>2150</v>
      </c>
      <c r="B13" s="1304">
        <f ca="1">IF(C13&lt;B2,"已过期",1120020033)</f>
        <v>1120020033</v>
      </c>
      <c r="C13" s="2344">
        <v>45375</v>
      </c>
      <c r="D13" s="2345" t="str">
        <f t="shared" ca="1" si="0"/>
        <v>刘敬东（注册号：1120020033）</v>
      </c>
      <c r="E13" s="2346" t="s">
        <v>2150</v>
      </c>
      <c r="F13" s="1304">
        <f ca="1">IF(G13&lt;B2,"已过期",2000110137)</f>
        <v>2000110137</v>
      </c>
      <c r="G13" s="2347">
        <v>46387</v>
      </c>
      <c r="H13" s="2348" t="str">
        <f t="shared" ca="1" si="1"/>
        <v>刘敬东（注册号：2000110137）</v>
      </c>
    </row>
    <row r="14" spans="1:8" ht="24" customHeight="1">
      <c r="A14" s="1304" t="s">
        <v>2151</v>
      </c>
      <c r="B14" s="1304" t="str">
        <f ca="1">IF(C14&lt;B2,"已过期",1119980106)</f>
        <v>已过期</v>
      </c>
      <c r="C14" s="2349">
        <v>44969</v>
      </c>
      <c r="D14" s="2345" t="str">
        <f t="shared" ca="1" si="0"/>
        <v>刘俊财（注册号：已过期）</v>
      </c>
      <c r="E14" s="2346" t="s">
        <v>2151</v>
      </c>
      <c r="F14" s="1304">
        <f ca="1">IF(G14&lt;B2,"已过期",96010063)</f>
        <v>96010063</v>
      </c>
      <c r="G14" s="2347">
        <v>47483</v>
      </c>
      <c r="H14" s="2348" t="str">
        <f t="shared" ca="1" si="1"/>
        <v>刘俊财（注册号：96010063）</v>
      </c>
    </row>
    <row r="15" spans="1:8" ht="24" customHeight="1">
      <c r="A15" s="1304" t="s">
        <v>2425</v>
      </c>
      <c r="B15" s="1304">
        <v>1120210056</v>
      </c>
      <c r="C15" s="2349">
        <v>45410</v>
      </c>
      <c r="D15" s="2345" t="str">
        <f t="shared" si="0"/>
        <v>宁小鳗（注册号：1120210056）</v>
      </c>
      <c r="E15" s="2346" t="s">
        <v>2152</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39" t="s">
        <v>2153</v>
      </c>
      <c r="B17" s="3539"/>
      <c r="C17" s="3539"/>
      <c r="D17" s="3539"/>
      <c r="E17" s="3539"/>
      <c r="F17" s="3539"/>
      <c r="G17" s="3539"/>
      <c r="H17" s="3539"/>
    </row>
    <row r="18" spans="1:8" ht="24" customHeight="1">
      <c r="A18" s="3540" t="s">
        <v>2154</v>
      </c>
      <c r="B18" s="3540"/>
      <c r="C18" s="3540"/>
      <c r="D18" s="2342"/>
      <c r="E18" s="3541" t="s">
        <v>2155</v>
      </c>
      <c r="F18" s="3540"/>
      <c r="G18" s="3540"/>
    </row>
    <row r="19" spans="1:8" s="2353" customFormat="1" ht="24" customHeight="1">
      <c r="A19" s="2352" t="s">
        <v>2156</v>
      </c>
      <c r="B19" s="2341" t="s">
        <v>2157</v>
      </c>
      <c r="C19" s="2341" t="s">
        <v>2136</v>
      </c>
      <c r="D19" s="2342"/>
      <c r="E19" s="2346" t="s">
        <v>2156</v>
      </c>
      <c r="F19" s="2341" t="s">
        <v>2157</v>
      </c>
      <c r="G19" s="2341" t="s">
        <v>2136</v>
      </c>
    </row>
    <row r="20" spans="1:8" s="2353" customFormat="1" ht="24" customHeight="1">
      <c r="A20" s="2354" t="s">
        <v>2158</v>
      </c>
      <c r="B20" s="2354" t="s">
        <v>2159</v>
      </c>
      <c r="C20" s="2347">
        <v>45898</v>
      </c>
      <c r="D20" s="2355"/>
      <c r="E20" s="2356" t="s">
        <v>2160</v>
      </c>
      <c r="F20" s="2359" t="s">
        <v>2426</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不动产权证-面积指标</vt:lpstr>
      <vt:lpstr>冰上运动</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收益法-酒店模型</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凯迪拉克 (万元)</vt:lpstr>
      <vt:lpstr>区片价</vt:lpstr>
      <vt:lpstr>因素修正幅度</vt:lpstr>
      <vt:lpstr>区片价（范围）</vt:lpstr>
      <vt:lpstr>地价-分区</vt:lpstr>
      <vt:lpstr>地价</vt:lpstr>
      <vt:lpstr>存贷款利率</vt:lpstr>
      <vt:lpstr>收益法</vt:lpstr>
      <vt:lpstr>信息</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2024-03-06T01:56:10Z</dcterms:modified>
</cp:coreProperties>
</file>