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1" i="15"/>
  <c r="D5" i="61"/>
  <c r="G1" i="61"/>
  <c r="E27" i="1"/>
  <c r="F24" i="15"/>
  <c r="C23" i="15"/>
  <c r="C24" i="15"/>
  <c r="C29" i="15"/>
  <c r="C36" i="15"/>
  <c r="C13" i="15"/>
  <c r="C37" i="15"/>
  <c r="C38" i="15"/>
  <c r="C30" i="15"/>
  <c r="C39" i="15"/>
  <c r="C40" i="15"/>
  <c r="B3" i="15"/>
  <c r="D20" i="9"/>
  <c r="G20" i="9"/>
  <c r="C28" i="9"/>
  <c r="B13" i="1"/>
  <c r="F41" i="15"/>
  <c r="L47" i="15"/>
  <c r="E14" i="62"/>
  <c r="D14" i="62"/>
  <c r="C5" i="62"/>
  <c r="C32" i="9"/>
  <c r="I121" i="9"/>
  <c r="H121" i="9"/>
  <c r="R47" i="21"/>
  <c r="D2" i="4"/>
  <c r="B2" i="1"/>
  <c r="C7" i="21"/>
  <c r="C58" i="21"/>
  <c r="D58" i="21"/>
  <c r="E58" i="21"/>
  <c r="F58" i="21"/>
  <c r="G58" i="21"/>
  <c r="H58" i="21"/>
  <c r="I58" i="21"/>
  <c r="J58" i="21"/>
  <c r="K58" i="21"/>
  <c r="L58" i="21"/>
  <c r="M58" i="21"/>
  <c r="N58" i="21"/>
  <c r="O58" i="21"/>
  <c r="F7" i="21"/>
  <c r="AA7" i="21"/>
  <c r="F8" i="21"/>
  <c r="AA8" i="21"/>
  <c r="C63" i="21"/>
  <c r="F9" i="21"/>
  <c r="AA9" i="21"/>
  <c r="F10" i="21"/>
  <c r="AA10" i="21"/>
  <c r="E11" i="21"/>
  <c r="F11" i="21"/>
  <c r="AA11" i="21"/>
  <c r="B70" i="21"/>
  <c r="F12" i="21"/>
  <c r="AA12" i="21"/>
  <c r="B72" i="21"/>
  <c r="F13" i="21"/>
  <c r="AA13" i="21"/>
  <c r="B74" i="21"/>
  <c r="F14" i="21"/>
  <c r="AA14" i="21"/>
  <c r="D77" i="21"/>
  <c r="F15" i="21"/>
  <c r="AA15" i="21"/>
  <c r="D79" i="21"/>
  <c r="E79" i="21"/>
  <c r="F17" i="21"/>
  <c r="AA17" i="21"/>
  <c r="D81" i="21"/>
  <c r="F19" i="21"/>
  <c r="AA19" i="21"/>
  <c r="F21" i="21"/>
  <c r="AA21" i="21"/>
  <c r="D85" i="21"/>
  <c r="E85" i="21"/>
  <c r="F23" i="21"/>
  <c r="AA23" i="21"/>
  <c r="F25" i="21"/>
  <c r="AA25" i="21"/>
  <c r="D89" i="21"/>
  <c r="F26" i="21"/>
  <c r="AA26" i="21"/>
  <c r="C27" i="21"/>
  <c r="E27" i="21"/>
  <c r="B90" i="21"/>
  <c r="F27" i="21"/>
  <c r="AA27" i="21"/>
  <c r="B92" i="21"/>
  <c r="F28" i="21"/>
  <c r="AA28" i="21"/>
  <c r="B94" i="21"/>
  <c r="F29" i="21"/>
  <c r="AA29" i="21"/>
  <c r="B96" i="21"/>
  <c r="F30" i="21"/>
  <c r="AA30" i="21"/>
  <c r="B98" i="21"/>
  <c r="F31" i="21"/>
  <c r="AA31" i="21"/>
  <c r="F32" i="21"/>
  <c r="AA32" i="21"/>
  <c r="C33" i="21"/>
  <c r="F33" i="21"/>
  <c r="AA33" i="21"/>
  <c r="F34" i="21"/>
  <c r="AA34" i="21"/>
  <c r="F35" i="21"/>
  <c r="AA35" i="21"/>
  <c r="F36" i="21"/>
  <c r="AA36" i="21"/>
  <c r="D113" i="21"/>
  <c r="E113" i="21"/>
  <c r="F113" i="21"/>
  <c r="F37" i="21"/>
  <c r="AA37" i="21"/>
  <c r="F38" i="21"/>
  <c r="AA38" i="21"/>
  <c r="F39" i="21"/>
  <c r="AA39" i="21"/>
  <c r="F40" i="21"/>
  <c r="AA40" i="21"/>
  <c r="F41" i="21"/>
  <c r="AA41" i="21"/>
  <c r="F42" i="21"/>
  <c r="AA42" i="21"/>
  <c r="D125" i="21"/>
  <c r="F43" i="21"/>
  <c r="AA43" i="21"/>
  <c r="B126" i="21"/>
  <c r="F44" i="21"/>
  <c r="AA44" i="21"/>
  <c r="B128" i="21"/>
  <c r="F45" i="21"/>
  <c r="AA45" i="21"/>
  <c r="B130" i="21"/>
  <c r="F46" i="21"/>
  <c r="AA46" i="21"/>
  <c r="R48" i="21"/>
  <c r="T47" i="21"/>
  <c r="H7" i="21"/>
  <c r="AB7" i="21"/>
  <c r="H8" i="21"/>
  <c r="AB8" i="21"/>
  <c r="H9" i="21"/>
  <c r="AB9" i="21"/>
  <c r="H10" i="21"/>
  <c r="AB10" i="21"/>
  <c r="G11" i="21"/>
  <c r="H11" i="21"/>
  <c r="AB11" i="21"/>
  <c r="H12" i="21"/>
  <c r="AB12" i="21"/>
  <c r="H13" i="21"/>
  <c r="AB13" i="21"/>
  <c r="H14" i="21"/>
  <c r="AB14" i="21"/>
  <c r="H15" i="21"/>
  <c r="AB15" i="21"/>
  <c r="H17" i="21"/>
  <c r="AB17" i="21"/>
  <c r="H19" i="21"/>
  <c r="AB19" i="21"/>
  <c r="H21" i="21"/>
  <c r="AB21" i="21"/>
  <c r="H23" i="21"/>
  <c r="AB23" i="21"/>
  <c r="H25" i="21"/>
  <c r="AB25" i="21"/>
  <c r="H26" i="21"/>
  <c r="AB26" i="21"/>
  <c r="G27" i="21"/>
  <c r="H27" i="21"/>
  <c r="AB27" i="21"/>
  <c r="G28"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V47" i="21"/>
  <c r="J7" i="21"/>
  <c r="AC7" i="21"/>
  <c r="J8" i="21"/>
  <c r="AC8" i="21"/>
  <c r="J9" i="21"/>
  <c r="AC9" i="21"/>
  <c r="J10" i="21"/>
  <c r="AC10" i="21"/>
  <c r="I11" i="21"/>
  <c r="J11" i="21"/>
  <c r="AC11" i="21"/>
  <c r="J12" i="21"/>
  <c r="AC12" i="21"/>
  <c r="J13" i="21"/>
  <c r="AC13" i="21"/>
  <c r="J14" i="21"/>
  <c r="AC14" i="21"/>
  <c r="J15" i="21"/>
  <c r="AC15" i="21"/>
  <c r="J17" i="21"/>
  <c r="AC17" i="21"/>
  <c r="J19" i="21"/>
  <c r="AC19" i="21"/>
  <c r="J21" i="21"/>
  <c r="AC21" i="21"/>
  <c r="J23" i="21"/>
  <c r="AC23" i="21"/>
  <c r="J25" i="21"/>
  <c r="AC25" i="21"/>
  <c r="E89" i="21"/>
  <c r="F89" i="21"/>
  <c r="J26" i="21"/>
  <c r="AC26" i="21"/>
  <c r="I27" i="21"/>
  <c r="J27" i="21"/>
  <c r="AC27" i="21"/>
  <c r="I28"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D123" i="21"/>
  <c r="J42" i="21"/>
  <c r="AC42" i="21"/>
  <c r="J43" i="21"/>
  <c r="AC43" i="21"/>
  <c r="J44" i="21"/>
  <c r="AC44" i="21"/>
  <c r="J45" i="21"/>
  <c r="AC45" i="21"/>
  <c r="J46" i="21"/>
  <c r="AC46" i="21"/>
  <c r="V48" i="21"/>
  <c r="R49" i="21"/>
  <c r="C49" i="21"/>
  <c r="B3" i="21"/>
  <c r="C1" i="61"/>
  <c r="L1" i="61"/>
  <c r="F6" i="15"/>
  <c r="F8" i="15"/>
  <c r="F7" i="15"/>
  <c r="F9" i="15"/>
  <c r="C6" i="15"/>
  <c r="F31" i="15"/>
  <c r="J1" i="61"/>
  <c r="B23" i="1"/>
  <c r="E1" i="61"/>
  <c r="K1" i="61"/>
  <c r="B5" i="1"/>
  <c r="E17" i="1"/>
  <c r="B25" i="1"/>
  <c r="E18" i="1"/>
  <c r="C14" i="15"/>
  <c r="F15" i="15"/>
  <c r="C15" i="15"/>
  <c r="F16" i="15"/>
  <c r="C16" i="15"/>
  <c r="F17" i="15"/>
  <c r="C17" i="15"/>
  <c r="F18" i="15"/>
  <c r="C18" i="15"/>
  <c r="C19" i="15"/>
  <c r="F23" i="15"/>
  <c r="F20" i="15"/>
  <c r="C20" i="15"/>
  <c r="F21" i="15"/>
  <c r="F26" i="15"/>
  <c r="C26" i="15"/>
  <c r="C27" i="15"/>
  <c r="E31" i="1"/>
  <c r="E29" i="1"/>
  <c r="F28" i="15"/>
  <c r="F30" i="1"/>
  <c r="C28" i="15"/>
  <c r="F36" i="15"/>
  <c r="F13" i="15"/>
  <c r="F37" i="15"/>
  <c r="F38" i="15"/>
  <c r="F42" i="15"/>
  <c r="F40" i="15"/>
  <c r="M48" i="15"/>
  <c r="F43" i="15"/>
  <c r="C17" i="9"/>
  <c r="D17" i="9"/>
  <c r="C18" i="9"/>
  <c r="D18" i="9"/>
  <c r="B28" i="9"/>
  <c r="D28" i="9"/>
  <c r="E40" i="9"/>
  <c r="C40" i="9"/>
  <c r="B40" i="9"/>
  <c r="I5" i="21"/>
  <c r="G5" i="21"/>
  <c r="E5" i="21"/>
  <c r="K21" i="1"/>
  <c r="K22" i="1"/>
  <c r="L22" i="1"/>
  <c r="K23" i="1"/>
  <c r="I23" i="1"/>
  <c r="I16"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I2" i="43"/>
  <c r="M6"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D101"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F79" i="21"/>
  <c r="G79" i="21"/>
  <c r="F85" i="21"/>
  <c r="G85"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 r="F14" i="62"/>
  <c r="B5" i="62"/>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<sst xmlns="http://schemas.openxmlformats.org/spreadsheetml/2006/main" count="6855" uniqueCount="2893">
  <si>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</si>
  <si>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</si>
  <si>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</si>
  <si>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</si>
  <si>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</si>
  <si>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</si>
  <si>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</si>
  <si>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</si>
  <si>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</si>
  <si>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</si>
  <si>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</si>
  <si>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</si>
  <si>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</si>
  <si>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</si>
  <si>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</si>
  <si>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</si>
  <si>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</si>
  <si>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</si>
  <si>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</si>
  <si>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</si>
  <si>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</si>
  <si>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</si>
  <si>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</si>
  <si>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</si>
  <si>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</si>
  <si>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</si>
  <si>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</si>
  <si>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</si>
  <si>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</si>
  <si>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</si>
  <si>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</si>
  <si>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</si>
  <si>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</si>
  <si>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</si>
  <si>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</si>
  <si>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</si>
  <si>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</si>
  <si>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</si>
  <si>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</si>
  <si>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</si>
  <si>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</si>
  <si>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</si>
  <si>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</si>
  <si>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</si>
  <si>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</si>
  <si>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</si>
  <si>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</si>
  <si>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</si>
  <si>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</si>
  <si>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</si>
  <si>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</si>
  <si>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</si>
  <si>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</si>
  <si>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</si>
  <si>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</si>
  <si>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</si>
  <si>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</si>
  <si>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</si>
  <si>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</si>
  <si>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</si>
  <si>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</si>
  <si>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</si>
  <si>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</si>
  <si>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</si>
  <si>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</si>
  <si>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</si>
  <si>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</si>
  <si>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</si>
  <si>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</si>
  <si>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</si>
  <si>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</si>
  <si>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</si>
  <si>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</si>
  <si>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</si>
  <si>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</si>
  <si>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</si>
  <si>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</si>
  <si>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</si>
  <si>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</si>
  <si>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</si>
  <si>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</si>
  <si>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</si>
  <si>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</si>
  <si>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</si>
  <si>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</si>
  <si>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</si>
  <si>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</si>
  <si>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</si>
  <si>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</si>
  <si>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</si>
  <si>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</si>
  <si>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</si>
  <si>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</si>
  <si>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</si>
  <si>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</si>
  <si>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</si>
  <si>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</si>
  <si>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</si>
  <si>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</si>
  <si>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</si>
  <si>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</si>
  <si>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</si>
  <si>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</si>
  <si>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</si>
  <si>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</si>
  <si>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</si>
  <si>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</si>
  <si>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</si>
  <si>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</si>
  <si>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</si>
  <si>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</si>
  <si>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</si>
  <si>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</si>
  <si>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</si>
  <si>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</si>
  <si>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</si>
  <si>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</si>
  <si>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</si>
  <si>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</si>
  <si>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</si>
  <si>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</si>
  <si>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</si>
  <si>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</si>
  <si>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</si>
  <si>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</si>
  <si>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</si>
  <si>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</si>
  <si>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</si>
  <si>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</si>
  <si>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</si>
  <si>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</si>
  <si>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</si>
  <si>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</si>
  <si>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</si>
  <si>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</si>
  <si>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</si>
  <si>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</si>
  <si>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</si>
  <si>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</si>
  <si>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</si>
  <si>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</si>
  <si>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</si>
  <si>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</si>
  <si>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</si>
  <si>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</si>
  <si>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</si>
  <si>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</si>
  <si>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</si>
  <si>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</si>
  <si>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</si>
  <si>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</si>
  <si>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</si>
  <si>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</si>
  <si>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</si>
  <si>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</si>
  <si>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</si>
  <si>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</si>
  <si>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</si>
  <si>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</si>
  <si>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</si>
  <si>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</si>
  <si>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</si>
  <si>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</si>
  <si>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</si>
  <si>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</si>
  <si>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</si>
  <si>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</si>
  <si>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</si>
  <si>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</si>
  <si>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</si>
  <si>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</si>
  <si>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</si>
  <si>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</si>
  <si>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</si>
  <si>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</si>
  <si>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</si>
  <si>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</si>
  <si>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</si>
  <si>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</si>
  <si>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</si>
  <si>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</si>
  <si>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</si>
  <si>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</si>
  <si>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</si>
  <si>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</si>
  <si>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</si>
  <si>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</si>
  <si>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</si>
  <si>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</si>
  <si>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</si>
  <si>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</si>
  <si>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</si>
  <si>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</si>
  <si>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</si>
  <si>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</si>
  <si>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</si>
  <si>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</si>
  <si>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</si>
  <si>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</si>
  <si>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</si>
  <si>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</si>
  <si>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</si>
  <si>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</si>
  <si>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</si>
  <si>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</si>
  <si>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</si>
  <si>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</si>
  <si>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</si>
  <si>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</si>
  <si>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</si>
  <si>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</si>
  <si>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</si>
  <si>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</si>
  <si>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</si>
  <si>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</si>
  <si>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</si>
  <si>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</si>
  <si>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</si>
  <si>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</si>
  <si>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</si>
  <si>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</si>
  <si>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</si>
  <si>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</si>
  <si>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</si>
  <si>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</si>
  <si>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</si>
  <si>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</si>
  <si>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</si>
  <si>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</si>
  <si>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</si>
  <si>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</si>
  <si>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</si>
  <si>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</si>
  <si>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</si>
  <si>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</si>
  <si>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</si>
  <si>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</si>
  <si>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</si>
  <si>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</si>
  <si>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</si>
  <si>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</si>
  <si>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</si>
  <si>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</si>
  <si>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</si>
  <si>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</si>
  <si>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</si>
  <si>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</si>
  <si>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</si>
  <si>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</si>
  <si>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</si>
  <si>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</si>
  <si>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</si>
  <si>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</si>
  <si>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</si>
  <si>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</si>
  <si>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</si>
  <si>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</si>
  <si>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</si>
  <si>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</si>
  <si>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</si>
  <si>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</si>
  <si>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</si>
  <si>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</si>
  <si>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</si>
  <si>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</si>
  <si>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</si>
  <si>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</si>
  <si>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</si>
  <si>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</si>
  <si>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</si>
  <si>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</si>
  <si>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</si>
  <si>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</si>
  <si>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</si>
  <si>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</si>
  <si>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</si>
  <si>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</si>
  <si>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</si>
  <si>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</si>
  <si>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</si>
  <si>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</si>
  <si>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</si>
  <si>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</si>
  <si>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</si>
  <si>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</si>
  <si>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</si>
  <si>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</si>
  <si>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</si>
  <si>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</si>
  <si>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</si>
  <si>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</si>
  <si>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</si>
  <si>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</si>
  <si>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</si>
  <si>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</si>
  <si>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</si>
  <si>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</si>
  <si>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</si>
  <si>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</si>
  <si>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</si>
  <si>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</si>
  <si>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</si>
  <si>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</si>
  <si>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</si>
  <si>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</si>
  <si>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</si>
  <si>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</si>
  <si>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</si>
  <si>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</si>
  <si>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</si>
  <si>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</si>
  <si>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</si>
  <si>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</si>
  <si>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</si>
  <si>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</si>
  <si>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</si>
  <si>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</si>
  <si>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</si>
  <si>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</si>
  <si>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</si>
  <si>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</si>
  <si>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</si>
  <si>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</si>
  <si>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</si>
  <si>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</si>
  <si>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</si>
  <si>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</si>
  <si>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</si>
  <si>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</si>
  <si>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</si>
  <si>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</si>
  <si>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</si>
  <si>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</si>
  <si>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</si>
  <si>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</si>
  <si>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</si>
  <si>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</si>
  <si>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</si>
  <si>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</si>
  <si>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</si>
  <si>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</si>
  <si>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</si>
  <si>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</si>
  <si>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</si>
  <si>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</si>
  <si>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</si>
  <si>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</si>
  <si>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</si>
  <si>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</si>
  <si>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</si>
  <si>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</si>
  <si>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</si>
  <si>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</si>
  <si>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</si>
  <si>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</si>
  <si>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</si>
  <si>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</si>
  <si>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</si>
  <si>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</si>
  <si>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</si>
  <si>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</si>
  <si>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</si>
  <si>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</si>
  <si>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</si>
  <si>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</si>
  <si>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</si>
  <si>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</si>
  <si>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</si>
  <si>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</si>
  <si>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</si>
  <si>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</si>
  <si>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</si>
  <si>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</si>
  <si>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</si>
  <si>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</si>
  <si>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</si>
  <si>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</si>
  <si>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</si>
  <si>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</si>
  <si>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</si>
  <si>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</si>
  <si>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</si>
  <si>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</si>
  <si>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</si>
  <si>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</si>
  <si>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</si>
  <si>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</si>
  <si>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</si>
  <si>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</si>
  <si>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</si>
  <si>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</si>
  <si>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</si>
  <si>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</si>
  <si>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</si>
  <si>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</si>
  <si>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</si>
  <si>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</si>
  <si>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</si>
  <si>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</si>
  <si>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</si>
  <si>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</si>
  <si>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</si>
  <si>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</si>
  <si>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</si>
  <si>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</si>
  <si>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</si>
  <si>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</si>
  <si>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</si>
  <si>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</si>
  <si>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</si>
  <si>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</si>
  <si>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</si>
  <si>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</si>
  <si>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</si>
  <si>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</si>
  <si>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</si>
  <si>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</si>
  <si>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</si>
  <si>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</si>
  <si>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</si>
  <si>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</si>
  <si>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</si>
  <si>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</si>
  <si>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</si>
  <si>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</si>
  <si>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</si>
  <si>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</si>
  <si>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</si>
  <si>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</si>
  <si>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</si>
  <si>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</si>
  <si>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</si>
  <si>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</si>
  <si>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</si>
  <si>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</si>
  <si>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</si>
  <si>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</si>
  <si>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</si>
  <si>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</si>
  <si>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</si>
  <si>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</si>
  <si>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</si>
  <si>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</si>
  <si>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</si>
  <si>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</si>
  <si>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</si>
  <si>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</si>
  <si>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</si>
  <si>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</si>
  <si>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</si>
  <si>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</si>
  <si>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</si>
  <si>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</si>
  <si>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</si>
  <si>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</si>
  <si>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</si>
  <si>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</si>
  <si>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</si>
  <si>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</si>
  <si>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</si>
  <si>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</si>
  <si>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</si>
  <si>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</si>
  <si>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</si>
  <si>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</si>
  <si>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</si>
  <si>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</si>
  <si>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</si>
  <si>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</si>
  <si>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</si>
  <si>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</si>
  <si>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</si>
  <si>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</si>
  <si>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</si>
  <si>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</si>
  <si>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</si>
  <si>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</si>
  <si>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</si>
  <si>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</si>
  <si>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</si>
  <si>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</si>
  <si>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</si>
  <si>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</si>
  <si>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</si>
  <si>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</si>
  <si>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</si>
  <si>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</si>
  <si>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</si>
  <si>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</si>
  <si>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</si>
  <si>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</si>
  <si>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</si>
  <si>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</si>
  <si>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</si>
  <si>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</si>
  <si>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</si>
  <si>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</si>
  <si>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</si>
  <si>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</si>
  <si>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</si>
  <si>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</si>
  <si>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</si>
  <si>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</si>
  <si>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</si>
  <si>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</si>
  <si>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</si>
  <si>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</si>
  <si>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</si>
  <si>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</si>
  <si>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</si>
  <si>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</si>
  <si>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</si>
  <si>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</si>
  <si>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</si>
  <si>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</si>
  <si>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</si>
  <si>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</si>
  <si>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</si>
  <si>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</si>
  <si>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</si>
  <si>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</si>
  <si>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</si>
  <si>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</si>
  <si>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</si>
  <si>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</si>
  <si>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</si>
  <si>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</si>
  <si>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</si>
  <si>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</si>
  <si>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</si>
  <si>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</si>
  <si>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</si>
  <si>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</si>
  <si>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</si>
  <si>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</si>
  <si>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</si>
  <si>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</si>
  <si>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</si>
  <si>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</si>
  <si>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</si>
  <si>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</si>
  <si>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</si>
  <si>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</si>
  <si>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</si>
  <si>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</si>
  <si>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</si>
  <si>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</si>
  <si>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</si>
  <si>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</si>
  <si>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</si>
  <si>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</si>
  <si>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</si>
  <si>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</si>
  <si>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</si>
  <si>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</si>
  <si>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</si>
  <si>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</si>
  <si>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</si>
  <si>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</si>
  <si>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</si>
  <si>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</si>
  <si>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</si>
  <si>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</si>
  <si>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</si>
  <si>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</si>
  <si>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</si>
  <si>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</si>
  <si>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</si>
  <si>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</si>
  <si>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</si>
  <si>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</si>
  <si>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</si>
  <si>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</si>
  <si>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</si>
  <si>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</si>
  <si>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</si>
  <si>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</si>
  <si>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</si>
  <si>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</si>
  <si>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</si>
  <si>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</si>
  <si>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</si>
  <si>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</si>
  <si>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</si>
  <si>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</si>
  <si>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</si>
  <si>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</si>
  <si>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</si>
  <si>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</si>
  <si>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</si>
  <si>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</si>
  <si>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</si>
  <si>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</si>
  <si>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</si>
  <si>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</si>
  <si>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</si>
  <si>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</si>
  <si>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</si>
  <si>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</si>
  <si>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</si>
  <si>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</si>
  <si>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</si>
  <si>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</si>
  <si>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</si>
  <si>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</si>
  <si>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</si>
  <si>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</si>
  <si>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</si>
  <si>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</si>
  <si>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</si>
  <si>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</si>
  <si>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</si>
  <si>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</si>
  <si>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</si>
  <si>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</si>
  <si>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</si>
  <si>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</si>
  <si>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</si>
  <si>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</si>
  <si>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</si>
  <si>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</si>
  <si>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</si>
  <si>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</si>
  <si>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</si>
  <si>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</si>
  <si>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</si>
  <si>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</si>
  <si>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</si>
  <si>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</si>
  <si>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</si>
  <si>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</si>
  <si>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</si>
  <si>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</si>
  <si>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</si>
  <si>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</si>
  <si>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</si>
  <si>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</si>
  <si>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</si>
  <si>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</si>
  <si>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</si>
  <si>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</si>
  <si>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</si>
  <si>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</si>
  <si>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</si>
  <si>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</si>
  <si>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</si>
  <si>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</si>
  <si>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</si>
  <si>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</si>
  <si>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</si>
  <si>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</si>
  <si>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</si>
  <si>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</si>
  <si>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</si>
  <si>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</si>
  <si>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</si>
  <si>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</si>
  <si>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</si>
  <si>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</si>
  <si>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</si>
  <si>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</si>
  <si>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</si>
  <si>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</si>
  <si>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</si>
  <si>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</si>
  <si>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</si>
  <si>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</si>
  <si>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</si>
  <si>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</si>
  <si>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</si>
  <si>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</si>
  <si>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</si>
  <si>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</si>
  <si>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</si>
  <si>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</si>
  <si>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</si>
  <si>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</si>
  <si>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</si>
  <si>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</si>
  <si>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</si>
  <si>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</si>
  <si>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</si>
  <si>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</si>
  <si>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</si>
  <si>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</si>
  <si>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</si>
  <si>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</si>
  <si>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</si>
  <si>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</si>
  <si>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</si>
  <si>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</si>
  <si>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</si>
  <si>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</si>
  <si>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</si>
  <si>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</si>
  <si>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</si>
  <si>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</si>
  <si>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</si>
  <si>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</si>
  <si>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</si>
  <si>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</si>
  <si>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</si>
  <si>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</si>
  <si>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</si>
  <si>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</si>
  <si>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</si>
  <si>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</si>
  <si>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</si>
  <si>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</si>
  <si>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</si>
  <si>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</si>
  <si>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</si>
  <si>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</si>
  <si>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</si>
  <si>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</si>
  <si>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</si>
  <si>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</si>
  <si>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</si>
  <si>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</si>
  <si>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</si>
  <si>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</si>
  <si>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</si>
  <si>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</si>
  <si>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</si>
  <si>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</si>
  <si>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</si>
  <si>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</si>
  <si>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</si>
  <si>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</si>
  <si>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</si>
  <si>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</si>
  <si>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</si>
  <si>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</si>
  <si>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</si>
  <si>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</si>
  <si>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</si>
  <si>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</si>
  <si>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</si>
  <si>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</si>
  <si>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</si>
  <si>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</si>
  <si>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</si>
  <si>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</si>
  <si>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</si>
  <si>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</si>
  <si>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</si>
  <si>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</si>
  <si>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</si>
  <si>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</si>
  <si>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</si>
  <si>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</si>
  <si>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</si>
  <si>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</si>
  <si>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</si>
  <si>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</si>
  <si>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</si>
  <si>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</si>
  <si>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</si>
  <si>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</si>
  <si>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</si>
  <si>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</si>
  <si>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</si>
  <si>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</si>
  <si>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</si>
  <si>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</si>
  <si>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</si>
  <si>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</si>
  <si>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</si>
  <si>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</si>
  <si>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</si>
  <si>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</si>
  <si>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</si>
  <si>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</si>
  <si>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</si>
  <si>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</si>
  <si>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</si>
  <si>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</si>
  <si>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</si>
  <si>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</si>
  <si>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</si>
  <si>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</si>
  <si>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</si>
  <si>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</si>
  <si>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</si>
  <si>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</si>
  <si>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</si>
  <si>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</si>
  <si>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</si>
  <si>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</si>
  <si>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</si>
  <si>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</si>
  <si>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</si>
  <si>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</si>
  <si>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</si>
  <si>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</si>
  <si>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</si>
  <si>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</si>
  <si>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</si>
  <si>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</si>
  <si>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</si>
  <si>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</si>
  <si>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</si>
  <si>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</si>
  <si>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</si>
  <si>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</si>
  <si>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</si>
  <si>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</si>
  <si>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</si>
  <si>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</si>
  <si>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</si>
  <si>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</si>
  <si>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</si>
  <si>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</si>
  <si>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</si>
  <si>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</si>
  <si>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</si>
  <si>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</si>
  <si>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</si>
  <si>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</si>
  <si>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</si>
  <si>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</si>
  <si>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</si>
  <si>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</si>
  <si>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</si>
  <si>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</si>
  <si>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</si>
  <si>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</si>
  <si>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</si>
  <si>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</si>
  <si>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</si>
  <si>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</si>
  <si>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</si>
  <si>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</si>
  <si>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</si>
  <si>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</si>
  <si>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</si>
  <si>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</si>
  <si>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</si>
  <si>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</si>
  <si>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</si>
  <si>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</si>
  <si>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</si>
  <si>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</si>
  <si>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</si>
  <si>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</si>
  <si>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</si>
  <si>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</si>
  <si>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</si>
  <si>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</si>
  <si>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</si>
  <si>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</si>
  <si>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</si>
  <si>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</si>
  <si>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</si>
  <si>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</si>
  <si>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</si>
  <si>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</si>
  <si>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</si>
  <si>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</si>
  <si>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</si>
  <si>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</si>
  <si>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</si>
  <si>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</si>
  <si>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</si>
  <si>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</si>
  <si>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</si>
  <si>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</si>
  <si>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</si>
  <si>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</si>
  <si>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</si>
  <si>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</si>
  <si>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</si>
  <si>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</si>
  <si>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</si>
  <si>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</si>
  <si>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</si>
  <si>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</si>
  <si>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</si>
  <si>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</si>
  <si>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</si>
  <si>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</si>
  <si>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</si>
  <si>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</si>
  <si>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</si>
  <si>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</si>
  <si>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</si>
  <si>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</si>
  <si>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</si>
  <si>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</si>
  <si>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</si>
  <si>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</si>
  <si>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</si>
  <si>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</si>
  <si>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</si>
  <si>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</si>
  <si>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</si>
  <si>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</si>
  <si>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</si>
  <si>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</si>
  <si>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</si>
  <si>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</si>
  <si>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</si>
  <si>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</si>
  <si>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</si>
  <si>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</si>
  <si>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</si>
  <si>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</si>
  <si>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</si>
  <si>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</si>
  <si>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</si>
  <si>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</si>
  <si>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</si>
  <si>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</si>
  <si>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</si>
  <si>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</si>
  <si>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</si>
  <si>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</si>
  <si>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</si>
  <si>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</si>
  <si>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</si>
  <si>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</si>
  <si>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</si>
  <si>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</si>
  <si>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</si>
  <si>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</si>
  <si>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</si>
  <si>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</si>
  <si>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</si>
  <si>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</si>
  <si>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</si>
  <si>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</si>
  <si>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</si>
  <si>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</si>
  <si>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</si>
  <si>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</si>
  <si>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</si>
  <si>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</si>
  <si>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</si>
  <si>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</si>
  <si>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</si>
  <si>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</si>
  <si>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</si>
  <si>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</si>
  <si>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</si>
  <si>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</si>
  <si>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</si>
  <si>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</si>
  <si>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</si>
  <si>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</si>
  <si>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</si>
  <si>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</si>
  <si>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</si>
  <si>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</si>
  <si>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</si>
  <si>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</si>
  <si>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</si>
  <si>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</si>
  <si>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</si>
  <si>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</si>
  <si>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</si>
  <si>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</si>
  <si>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</si>
  <si>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</si>
  <si>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</si>
  <si>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</si>
  <si>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</si>
  <si>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</si>
  <si>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</si>
  <si>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</si>
  <si>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</si>
  <si>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</si>
  <si>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</si>
  <si>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</si>
  <si>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</si>
  <si>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</si>
  <si>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</si>
  <si>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</si>
  <si>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</si>
  <si>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</si>
  <si>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</si>
  <si>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</si>
  <si>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</si>
  <si>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</si>
  <si>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</si>
  <si>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</si>
  <si>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</si>
  <si>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</si>
  <si>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</si>
  <si>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</si>
  <si>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</si>
  <si>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</si>
  <si>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</si>
  <si>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</si>
  <si>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</si>
  <si>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</si>
  <si>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</si>
  <si>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</si>
  <si>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</si>
  <si>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</si>
  <si>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</si>
  <si>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</si>
  <si>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</si>
  <si>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</si>
  <si>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</si>
  <si>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</si>
  <si>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</si>
  <si>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</si>
  <si>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</si>
  <si>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</si>
  <si>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</si>
  <si>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</si>
  <si>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</si>
  <si>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</si>
  <si>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</si>
  <si>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</si>
  <si>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</si>
  <si>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</si>
  <si>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</si>
  <si>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</si>
  <si>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</si>
  <si>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</si>
  <si>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</si>
  <si>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</si>
  <si>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</si>
  <si>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</si>
  <si>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</si>
  <si>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</si>
  <si>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</si>
  <si>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</si>
  <si>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</si>
  <si>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</si>
  <si>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</si>
  <si>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</si>
  <si>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</si>
  <si>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</si>
  <si>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</si>
  <si>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</si>
  <si>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</si>
  <si>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</si>
  <si>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</si>
  <si>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</si>
  <si>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</si>
  <si>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</si>
  <si>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</si>
  <si>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</si>
  <si>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</si>
  <si>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</si>
  <si>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</si>
  <si>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</si>
  <si>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</si>
  <si>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</si>
  <si>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</si>
  <si>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</si>
  <si>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</si>
  <si>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</si>
  <si>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</si>
  <si>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</si>
  <si>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</si>
  <si>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</si>
  <si>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</si>
  <si>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</si>
  <si>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</si>
  <si>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</si>
  <si>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</si>
  <si>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</si>
  <si>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</si>
  <si>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</si>
  <si>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</si>
  <si>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</si>
  <si>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</si>
  <si>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</si>
  <si>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</si>
  <si>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</si>
  <si>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</si>
  <si>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</si>
  <si>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</si>
  <si>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</si>
  <si>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</si>
  <si>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</si>
  <si>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</si>
  <si>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</si>
  <si>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</si>
  <si>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</si>
  <si>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</si>
  <si>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</si>
  <si>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</si>
  <si>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</si>
  <si>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</si>
  <si>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</si>
  <si>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</si>
  <si>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</si>
  <si>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</si>
  <si>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</si>
  <si>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</si>
  <si>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</si>
  <si>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</si>
  <si>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</si>
  <si>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</si>
  <si>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</si>
  <si>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</si>
  <si>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</si>
  <si>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</si>
  <si>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</si>
  <si>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</si>
  <si>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</si>
  <si>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</si>
  <si>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</si>
  <si>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</si>
  <si>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</si>
  <si>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</si>
  <si>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</si>
  <si>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</si>
  <si>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</si>
  <si>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</si>
  <si>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</si>
  <si>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</si>
  <si>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</si>
  <si>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</si>
  <si>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</si>
  <si>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</si>
  <si>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</si>
  <si>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</si>
  <si>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</si>
  <si>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</si>
  <si>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</si>
  <si>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</si>
  <si>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</si>
  <si>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</si>
  <si>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</si>
  <si>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</si>
  <si>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</si>
  <si>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</si>
  <si>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</si>
  <si>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</si>
  <si>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</si>
  <si>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</si>
  <si>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</si>
  <si>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</si>
  <si>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</si>
  <si>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</si>
  <si>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</si>
  <si>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</si>
  <si>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</si>
  <si>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</si>
  <si>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</si>
  <si>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</si>
  <si>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</si>
  <si>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</si>
  <si>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</si>
  <si>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</si>
  <si>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</si>
  <si>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</si>
  <si>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</si>
  <si>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</si>
  <si>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</si>
  <si>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</si>
  <si>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</si>
  <si>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</si>
  <si>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</si>
  <si>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</si>
  <si>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</si>
  <si>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</si>
  <si>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</si>
  <si>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</si>
  <si>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</si>
  <si>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</si>
  <si>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</si>
  <si>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</si>
  <si>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</si>
  <si>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</si>
  <si>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</si>
  <si>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</si>
  <si>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</si>
  <si>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</si>
  <si>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</si>
  <si>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</si>
  <si>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</si>
  <si>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</si>
  <si>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</si>
  <si>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</si>
  <si>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</si>
  <si>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</si>
  <si>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</si>
  <si>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</si>
  <si>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</si>
  <si>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</si>
  <si>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</si>
  <si>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</si>
  <si>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</si>
  <si>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</si>
  <si>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</si>
  <si>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</si>
  <si>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</si>
  <si>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</si>
  <si>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</si>
  <si>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</si>
  <si>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</si>
  <si>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</si>
  <si>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</si>
  <si>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</si>
  <si>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</si>
  <si>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</si>
  <si>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</si>
  <si>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</si>
  <si>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</si>
  <si>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</si>
  <si>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</si>
  <si>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</si>
  <si>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</si>
  <si>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</si>
  <si>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</si>
  <si>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</si>
  <si>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</si>
  <si>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</si>
  <si>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</si>
  <si>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</si>
  <si>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</si>
  <si>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</si>
  <si>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</si>
  <si>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</si>
  <si>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</si>
  <si>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</si>
  <si>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</si>
  <si>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</si>
  <si>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</si>
  <si>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</si>
  <si>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</si>
  <si>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</si>
  <si>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</si>
  <si>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</si>
  <si>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</si>
  <si>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</si>
  <si>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</si>
  <si>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</si>
  <si>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</si>
  <si>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</si>
  <si>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</si>
  <si>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</si>
  <si>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</si>
  <si>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</si>
  <si>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</si>
  <si>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</si>
  <si>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</si>
  <si>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</si>
  <si>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</si>
  <si>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</si>
  <si>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</si>
  <si>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</si>
  <si>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</si>
  <si>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</si>
  <si>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</si>
  <si>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</si>
  <si>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</si>
  <si>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</si>
  <si>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</si>
  <si>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</si>
  <si>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</si>
  <si>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</si>
  <si>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</si>
  <si>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</si>
  <si>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</si>
  <si>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</si>
  <si>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</si>
  <si>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</si>
  <si>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</si>
  <si>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</si>
  <si>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</si>
  <si>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</si>
  <si>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</si>
  <si>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</si>
  <si>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</si>
  <si>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</si>
  <si>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</si>
  <si>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</si>
  <si>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</si>
  <si>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</si>
  <si>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</si>
  <si>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</si>
  <si>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</si>
  <si>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</si>
  <si>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</si>
  <si>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</si>
  <si>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</si>
  <si>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</si>
  <si>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</si>
  <si>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</si>
  <si>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</si>
  <si>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</si>
  <si>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</si>
  <si>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</si>
  <si>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</si>
  <si>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</si>
  <si>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</si>
  <si>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</si>
  <si>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</si>
  <si>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</si>
  <si>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</si>
  <si>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</si>
  <si>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</si>
  <si>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</si>
  <si>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</si>
  <si>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</si>
  <si>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</si>
  <si>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</si>
  <si>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</si>
  <si>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</si>
  <si>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</si>
  <si>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</si>
  <si>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</si>
  <si>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</si>
  <si>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</si>
  <si>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</si>
  <si>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</si>
  <si>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</si>
  <si>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</si>
  <si>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</si>
  <si>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</si>
  <si>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</si>
  <si>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</si>
  <si>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</si>
  <si>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</si>
  <si>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</si>
  <si>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</si>
  <si>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</si>
  <si>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</si>
  <si>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</si>
  <si>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</si>
  <si>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</si>
  <si>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</si>
  <si>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</si>
  <si>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</si>
  <si>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</si>
  <si>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</si>
  <si>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</si>
  <si>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</si>
  <si>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</si>
  <si>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</si>
  <si>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</si>
  <si>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</si>
  <si>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</si>
  <si>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</si>
  <si>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</si>
  <si>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</si>
  <si>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</si>
  <si>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</si>
  <si>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</si>
  <si>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</si>
  <si>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</si>
  <si>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</si>
  <si>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</si>
  <si>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</si>
  <si>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</si>
  <si>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</si>
  <si>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</si>
  <si>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</si>
  <si>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</si>
  <si>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</si>
  <si>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</si>
  <si>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</si>
  <si>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</si>
  <si>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</si>
  <si>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</si>
  <si>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</si>
  <si>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</si>
  <si>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</si>
  <si>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</si>
  <si>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</si>
  <si>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</si>
  <si>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</si>
  <si>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</si>
  <si>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</si>
  <si>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</si>
  <si>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</si>
  <si>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</si>
  <si>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</si>
  <si>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</si>
  <si>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</si>
  <si>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</si>
  <si>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</si>
  <si>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</si>
  <si>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</si>
  <si>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</si>
  <si>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</si>
  <si>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</si>
  <si>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</si>
  <si>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</si>
  <si>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</si>
  <si>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</si>
  <si>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</si>
  <si>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</si>
  <si>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</si>
  <si>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</si>
  <si>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</si>
  <si>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</si>
  <si>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</si>
  <si>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</si>
  <si>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</si>
  <si>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</si>
  <si>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</si>
  <si>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</si>
  <si>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</si>
  <si>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</si>
  <si>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</si>
  <si>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</si>
  <si>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</si>
  <si>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</si>
  <si>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</si>
  <si>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</si>
  <si>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</si>
  <si>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</si>
  <si>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</si>
  <si>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</si>
  <si>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</si>
  <si>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</si>
  <si>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</si>
  <si>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</si>
  <si>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</si>
  <si>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</si>
  <si>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</si>
  <si>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</si>
  <si>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</si>
  <si>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</si>
  <si>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</si>
  <si>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</si>
  <si>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</si>
  <si>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</si>
  <si>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</si>
  <si>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</si>
  <si>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</si>
  <si>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</si>
  <si>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</si>
  <si>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</si>
  <si>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</si>
  <si>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</si>
  <si>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</si>
  <si>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</si>
  <si>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</si>
  <si>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</si>
  <si>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</si>
  <si>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</si>
  <si>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</si>
  <si>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</si>
  <si>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</si>
  <si>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</si>
  <si>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</si>
  <si>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</si>
  <si>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</si>
  <si>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</si>
  <si>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</si>
  <si>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</si>
  <si>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</si>
  <si>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</si>
  <si>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</si>
  <si>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</si>
  <si>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</si>
  <si>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</si>
  <si>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</si>
  <si>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</si>
  <si>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</si>
  <si>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</si>
  <si>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</si>
  <si>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</si>
  <si>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</si>
  <si>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</si>
  <si>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</si>
  <si>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</si>
  <si>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</si>
  <si>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</si>
  <si>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</si>
  <si>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</si>
  <si>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</si>
  <si>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</si>
  <si>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</si>
  <si>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</si>
  <si>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</si>
  <si>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</si>
  <si>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</si>
  <si>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</si>
  <si>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</si>
  <si>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</si>
  <si>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</si>
  <si>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</si>
  <si>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</si>
  <si>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</si>
  <si>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</si>
  <si>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</si>
  <si>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</si>
  <si>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</si>
  <si>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</si>
  <si>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</si>
  <si>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</si>
  <si>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</si>
  <si>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</si>
  <si>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</si>
  <si>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</si>
  <si>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</si>
  <si>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</si>
  <si>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</si>
  <si>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</si>
  <si>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</si>
  <si>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</si>
  <si>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</si>
  <si>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</si>
  <si>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</si>
  <si>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</si>
  <si>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</si>
  <si>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</si>
  <si>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</si>
  <si>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</si>
  <si>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</si>
  <si>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</si>
  <si>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</si>
  <si>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</si>
  <si>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</si>
  <si>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</si>
  <si>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</si>
  <si>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</si>
  <si>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</si>
  <si>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</si>
  <si>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</si>
  <si>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</si>
  <si>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</si>
  <si>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</si>
  <si>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</si>
  <si>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</si>
  <si>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</si>
  <si>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</si>
  <si>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</si>
  <si>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</si>
  <si>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</si>
  <si>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</si>
  <si>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</si>
  <si>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</si>
  <si>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</si>
  <si>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</si>
  <si>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</si>
  <si>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</si>
  <si>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</si>
  <si>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</si>
  <si>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</si>
  <si>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</si>
  <si>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</si>
  <si>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</si>
  <si>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</si>
  <si>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</si>
  <si>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</si>
  <si>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</si>
  <si>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</si>
  <si>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</si>
  <si>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</si>
  <si>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</si>
  <si>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</si>
  <si>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</si>
  <si>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</si>
  <si>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</si>
  <si>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</si>
  <si>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</si>
  <si>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</si>
  <si>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</si>
  <si>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</si>
  <si>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</si>
  <si>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</si>
  <si>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</si>
  <si>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</si>
  <si>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</si>
  <si>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</si>
  <si>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</si>
  <si>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</si>
  <si>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</si>
  <si>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</si>
  <si>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</si>
  <si>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</si>
  <si>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</si>
  <si>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</si>
  <si>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</si>
  <si>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</si>
  <si>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</si>
  <si>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</si>
  <si>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</si>
  <si>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</si>
  <si>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</si>
  <si>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</si>
  <si>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</si>
  <si>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</si>
  <si>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</si>
  <si>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</si>
  <si>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</si>
  <si>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</si>
  <si>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</si>
  <si>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</si>
  <si>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</si>
  <si>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</si>
  <si>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</si>
  <si>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</si>
  <si>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</si>
  <si>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</si>
  <si>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</si>
  <si>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</si>
  <si>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</si>
  <si>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</si>
  <si>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</si>
  <si>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</si>
  <si>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</si>
  <si>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</si>
  <si>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</si>
  <si>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</si>
  <si>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</si>
  <si>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</si>
  <si>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</si>
  <si>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</si>
  <si>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</si>
  <si>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</si>
  <si>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</si>
  <si>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</si>
  <si>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</si>
  <si>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</si>
  <si>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</si>
  <si>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</si>
  <si>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</si>
  <si>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</si>
  <si>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</si>
  <si>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</si>
  <si>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</si>
  <si>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</si>
  <si>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</si>
  <si>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</si>
  <si>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</si>
  <si>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</si>
  <si>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</si>
  <si>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</si>
  <si>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</si>
  <si>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</si>
  <si>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</si>
  <si>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</si>
  <si>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</si>
  <si>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</si>
  <si>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</si>
  <si>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</si>
  <si>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</si>
  <si>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</si>
  <si>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</si>
  <si>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</si>
  <si>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</si>
  <si>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</si>
  <si>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</si>
  <si>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</si>
  <si>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</si>
  <si>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</si>
  <si>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</si>
  <si>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</si>
  <si>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</si>
  <si>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</si>
  <si>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</si>
  <si>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</si>
  <si>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</si>
  <si>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</si>
  <si>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</si>
  <si>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</si>
  <si>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</si>
  <si>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</si>
  <si>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</si>
  <si>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</si>
  <si>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</si>
  <si>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</si>
  <si>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</si>
  <si>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</si>
  <si>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</si>
  <si>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</si>
  <si>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</si>
  <si>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</si>
  <si>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</si>
  <si>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</si>
  <si>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</si>
  <si>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</si>
  <si>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</si>
  <si>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</si>
  <si>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</si>
  <si>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</si>
  <si>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</si>
  <si>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</si>
  <si>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</si>
  <si>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</si>
  <si>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</si>
  <si>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</si>
  <si>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</si>
  <si>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</si>
  <si>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</si>
  <si>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</si>
  <si>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</si>
  <si>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</si>
  <si>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</si>
  <si>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</si>
  <si>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</si>
  <si>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</si>
  <si>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</si>
  <si>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</si>
  <si>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</si>
  <si>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</si>
  <si>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</si>
  <si>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</si>
  <si>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</si>
  <si>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</si>
  <si>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</si>
  <si>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</si>
  <si>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</si>
  <si>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</si>
  <si>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</si>
  <si>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</si>
  <si>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</si>
  <si>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</si>
  <si>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</si>
  <si>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</si>
  <si>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</si>
  <si>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</si>
  <si>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</si>
  <si>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</si>
  <si>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</si>
  <si>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</si>
  <si>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</si>
  <si>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</si>
  <si>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</si>
  <si>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</si>
  <si>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</si>
  <si>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</si>
  <si>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</si>
  <si>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</si>
  <si>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</si>
  <si>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</si>
  <si>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</si>
  <si>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</si>
  <si>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</si>
  <si>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</si>
  <si>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</si>
  <si>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</si>
  <si>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</si>
  <si>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</si>
  <si>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</si>
  <si>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</si>
  <si>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</si>
  <si>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</si>
  <si>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</si>
  <si>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</si>
  <si>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</si>
  <si>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</si>
  <si>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</si>
  <si>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</si>
  <si>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</si>
  <si>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</si>
  <si>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</si>
  <si>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</si>
  <si>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</si>
  <si>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</si>
  <si>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</si>
  <si>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</si>
  <si>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</si>
  <si>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</si>
  <si>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</si>
  <si>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</si>
  <si>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</si>
  <si>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</si>
  <si>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</si>
  <si>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</si>
  <si>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</si>
  <si>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</si>
  <si>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</si>
  <si>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</si>
  <si>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</si>
  <si>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</si>
  <si>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</si>
  <si>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</si>
  <si>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</si>
  <si>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</si>
  <si>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</si>
  <si>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</si>
  <si>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</si>
  <si>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</si>
  <si>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</si>
  <si>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</si>
  <si>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</si>
  <si>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</si>
  <si>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</si>
  <si>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</si>
  <si>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</si>
  <si>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</si>
  <si>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</si>
  <si>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</si>
  <si>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</si>
  <si>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</si>
  <si>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</si>
  <si>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</si>
  <si>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</si>
  <si>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</si>
  <si>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</si>
  <si>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</si>
  <si>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</si>
  <si>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</si>
  <si>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</si>
  <si>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</si>
  <si>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</si>
  <si>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</si>
  <si>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</si>
  <si>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</si>
  <si>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</si>
  <si>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</si>
  <si>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</si>
  <si>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</si>
  <si>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</si>
  <si>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</si>
  <si>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</si>
  <si>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</si>
  <si>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</si>
  <si>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</si>
  <si>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</si>
  <si>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</si>
  <si>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</si>
  <si>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</si>
  <si>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</si>
  <si>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</si>
  <si>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</si>
  <si>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</si>
  <si>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</si>
  <si>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</si>
  <si>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</si>
  <si>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</si>
  <si>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</si>
  <si>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</si>
  <si>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</si>
  <si>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</si>
  <si>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</si>
  <si>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</si>
  <si>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</si>
  <si>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</si>
  <si>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</si>
  <si>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</si>
  <si>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</si>
  <si>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</si>
  <si>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</si>
  <si>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</si>
  <si>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</si>
  <si>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</si>
  <si>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</si>
  <si>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</si>
  <si>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</si>
  <si>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</si>
  <si>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</si>
  <si>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</si>
  <si>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</si>
  <si>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</si>
  <si>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</si>
  <si>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</si>
  <si>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</si>
  <si>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</si>
  <si>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</si>
  <si>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</si>
  <si>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</si>
  <si>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</si>
  <si>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</si>
  <si>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</si>
  <si>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</si>
  <si>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</si>
  <si>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</si>
  <si>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</si>
  <si>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</si>
  <si>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</si>
  <si>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</si>
  <si>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</si>
  <si>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</si>
  <si>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</si>
  <si>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</si>
  <si>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</si>
  <si>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</si>
  <si>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</si>
  <si>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</si>
  <si>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</si>
  <si>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</si>
  <si>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</si>
  <si>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</si>
  <si>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</si>
  <si>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</si>
  <si>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</si>
  <si>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</si>
  <si>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</si>
  <si>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</si>
  <si>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</si>
  <si>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</si>
  <si>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</si>
  <si>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</si>
  <si>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</si>
  <si>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</si>
  <si>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</si>
  <si>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</si>
  <si>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</si>
  <si>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</si>
  <si>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</si>
  <si>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</si>
  <si>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</si>
  <si>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</si>
  <si>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</si>
  <si>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</si>
  <si>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</si>
  <si>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</si>
  <si>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</si>
  <si>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</si>
  <si>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</si>
  <si>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</si>
  <si>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</si>
  <si>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</si>
  <si>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</si>
  <si>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</si>
  <si>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</si>
  <si>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</si>
  <si>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</si>
  <si>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</si>
  <si>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</si>
  <si>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</si>
  <si>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</si>
  <si>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</si>
  <si>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</si>
  <si>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</si>
  <si>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</si>
  <si>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</si>
  <si>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</si>
  <si>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</si>
  <si>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</si>
  <si>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</si>
  <si>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</si>
  <si>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</si>
  <si>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</si>
  <si>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</si>
  <si>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</si>
  <si>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</si>
  <si>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</si>
  <si>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</si>
  <si>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</si>
  <si>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</si>
  <si>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</si>
  <si>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</si>
  <si>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</si>
  <si>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</si>
  <si>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</si>
  <si>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</si>
  <si>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</si>
  <si>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</si>
  <si>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</si>
  <si>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</si>
  <si>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</si>
  <si>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</si>
  <si>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</si>
  <si>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</si>
  <si>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</si>
  <si>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</si>
  <si>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</si>
  <si>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</si>
  <si>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</si>
  <si>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</si>
  <si>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</si>
  <si>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</si>
  <si>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</si>
  <si>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</si>
  <si>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</si>
  <si>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</si>
  <si>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</si>
  <si>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</si>
  <si>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</si>
  <si>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</si>
  <si>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</si>
  <si>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</si>
  <si>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</si>
  <si>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</si>
  <si>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</si>
  <si>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</si>
  <si>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</si>
  <si>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</si>
  <si>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</si>
  <si>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</si>
  <si>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</si>
  <si>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</si>
  <si>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</si>
  <si>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</si>
  <si>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</si>
  <si>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</si>
  <si>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</si>
  <si>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</si>
  <si>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</si>
  <si>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</si>
  <si>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</si>
  <si>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</si>
  <si>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</si>
  <si>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</si>
  <si>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</si>
  <si>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</si>
  <si>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</si>
  <si>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</si>
  <si>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</si>
  <si>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</si>
  <si>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</si>
  <si>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</si>
  <si>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</si>
  <si>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</si>
  <si>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</si>
  <si>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</si>
  <si>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</si>
  <si>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</si>
  <si>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</si>
  <si>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</si>
  <si>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</si>
  <si>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</si>
  <si>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</si>
  <si>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</si>
  <si>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</si>
  <si>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</si>
  <si>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</si>
  <si>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</si>
  <si>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</si>
  <si>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</si>
  <si>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</si>
  <si>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</si>
  <si>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</si>
  <si>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</si>
  <si>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</si>
  <si>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</si>
  <si>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</si>
  <si>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</si>
  <si>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</si>
  <si>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</si>
  <si>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</si>
  <si>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</si>
  <si>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</si>
  <si>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</si>
  <si>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</si>
  <si>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</si>
  <si>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</si>
  <si>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</si>
  <si>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</si>
  <si>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</si>
  <si>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</si>
  <si>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</si>
  <si>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</si>
  <si>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</si>
  <si>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</si>
  <si>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</si>
  <si>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</si>
  <si>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</si>
  <si>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</si>
  <si>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</si>
  <si>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</si>
  <si>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</si>
  <si>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</si>
  <si>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</si>
  <si>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</si>
  <si>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</si>
  <si>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</si>
  <si>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</si>
  <si>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</si>
  <si>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</si>
  <si>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</si>
  <si>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</si>
  <si>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</si>
  <si>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</si>
  <si>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</si>
  <si>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</si>
  <si>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</si>
  <si>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</si>
  <si>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</si>
  <si>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</si>
  <si>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</si>
  <si>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</si>
  <si>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</si>
  <si>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</si>
  <si>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</si>
  <si>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</si>
  <si>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</si>
  <si>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</si>
  <si>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</si>
  <si>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</si>
  <si>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</si>
  <si>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</si>
  <si>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</si>
  <si>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</si>
  <si>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</si>
  <si>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</si>
  <si>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</si>
  <si>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</si>
  <si>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</si>
  <si>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</si>
  <si>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</si>
  <si>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</si>
  <si>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</si>
  <si>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</si>
  <si>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</si>
  <si>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</si>
  <si>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</si>
  <si>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</si>
  <si>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</si>
  <si>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</si>
  <si>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</si>
  <si>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</si>
  <si>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</si>
  <si>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</si>
  <si>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</si>
  <si>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</si>
  <si>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</si>
  <si>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</si>
  <si>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</si>
  <si>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</si>
  <si>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</si>
  <si>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</si>
  <si>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</si>
  <si>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</si>
  <si>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</si>
  <si>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</si>
  <si>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</si>
  <si>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</si>
  <si>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</si>
  <si>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</si>
  <si>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</si>
  <si>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</si>
  <si>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</si>
  <si>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</si>
  <si>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</si>
  <si>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</si>
  <si>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</si>
  <si>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</si>
  <si>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</si>
  <si>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</si>
  <si>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</si>
  <si>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</si>
  <si>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</si>
  <si>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</si>
  <si>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</si>
  <si>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</si>
  <si>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</si>
  <si>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</si>
  <si>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</si>
  <si>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</si>
  <si>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</si>
  <si>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</si>
  <si>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</si>
  <si>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</si>
  <si>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</si>
  <si>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</si>
  <si>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</si>
  <si>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</si>
  <si>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</si>
  <si>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</si>
  <si>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</si>
  <si>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</si>
  <si>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</si>
  <si>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</si>
  <si>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</si>
  <si>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</si>
  <si>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</si>
  <si>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</si>
  <si>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</si>
  <si>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</si>
  <si>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</si>
  <si>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</si>
  <si>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</si>
  <si>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</si>
  <si>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</si>
  <si>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</si>
  <si>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</si>
  <si>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</si>
  <si>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</si>
  <si>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</si>
  <si>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</si>
  <si>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</si>
  <si>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</si>
  <si>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</si>
  <si>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</si>
  <si>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</si>
  <si>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</si>
  <si>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</si>
  <si>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</si>
  <si>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</si>
  <si>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</si>
  <si>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</si>
  <si>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</si>
  <si>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</si>
  <si>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</si>
  <si>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</si>
  <si>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</si>
  <si>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</si>
  <si>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</si>
  <si>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</si>
  <si>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</si>
  <si>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</si>
  <si>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</si>
  <si>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</si>
  <si>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</si>
  <si>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</si>
  <si>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</si>
  <si>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</si>
  <si>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</si>
  <si>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</si>
  <si>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</si>
  <si>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</si>
  <si>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</si>
  <si>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</si>
  <si>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</si>
  <si>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</si>
  <si>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</si>
  <si>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</si>
  <si>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</si>
  <si>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</si>
  <si>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</si>
  <si>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</si>
  <si>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</si>
  <si>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</si>
  <si>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</si>
  <si>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</si>
  <si>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</si>
  <si>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</si>
  <si>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</si>
  <si>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</si>
  <si>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</si>
  <si>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</si>
  <si>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</si>
  <si>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</si>
  <si>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</si>
  <si>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</si>
  <si>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</si>
  <si>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</si>
  <si>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</si>
  <si>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</si>
  <si>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</si>
  <si>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</si>
  <si>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</si>
  <si>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</si>
  <si>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</si>
  <si>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</si>
  <si>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</si>
  <si>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</si>
  <si>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</si>
  <si>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</si>
  <si>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</si>
  <si>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</si>
  <si>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</si>
  <si>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</si>
  <si>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</si>
  <si>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</si>
  <si>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</si>
  <si>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</si>
  <si>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</si>
  <si>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</si>
  <si>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</si>
  <si>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</si>
  <si>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</si>
  <si>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</si>
  <si>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</si>
  <si>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</si>
  <si>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</si>
  <si>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</si>
  <si>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</si>
  <si>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</si>
  <si>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</si>
  <si>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</si>
  <si>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</si>
  <si>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</si>
  <si>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</si>
  <si>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</si>
  <si>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</si>
  <si>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</si>
  <si>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</si>
  <si>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</si>
  <si>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</si>
  <si>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</si>
  <si>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</si>
  <si>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</si>
  <si>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</si>
  <si>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</si>
  <si>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</si>
  <si>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</si>
  <si>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</si>
  <si>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</si>
  <si>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</si>
  <si>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</si>
  <si>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</si>
  <si>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</si>
  <si>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</si>
  <si>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</si>
  <si>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</si>
  <si>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</si>
  <si>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</si>
  <si>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</si>
  <si>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</si>
  <si>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</si>
  <si>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</si>
  <si>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</si>
  <si>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</si>
  <si>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</si>
  <si>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</si>
  <si>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</si>
  <si>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</si>
  <si>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</si>
  <si>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</si>
  <si>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</si>
  <si>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</si>
  <si>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</si>
  <si>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</si>
  <si>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</si>
  <si>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</si>
  <si>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</si>
  <si>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</si>
  <si>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</si>
  <si>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</si>
  <si>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</si>
  <si>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</si>
  <si>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</si>
  <si>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</si>
  <si>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</si>
  <si>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</si>
  <si>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</si>
  <si>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</si>
  <si>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</si>
  <si>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</si>
  <si>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</si>
  <si>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</si>
  <si>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</si>
  <si>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</si>
  <si>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</si>
  <si>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</si>
  <si>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</si>
  <si>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</si>
  <si>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</si>
  <si>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</si>
  <si>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</si>
  <si>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</si>
  <si>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</si>
  <si>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</si>
  <si>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</si>
  <si>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</si>
  <si>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</si>
  <si>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</si>
  <si>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</si>
  <si>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</si>
  <si>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</si>
  <si>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</si>
  <si>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</si>
  <si>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</si>
  <si>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</si>
  <si>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</si>
  <si>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</si>
  <si>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</si>
  <si>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</si>
  <si>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</si>
  <si>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</si>
  <si>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</si>
  <si>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</si>
  <si>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</si>
  <si>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</si>
  <si>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</si>
  <si>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</si>
  <si>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</si>
  <si>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</si>
  <si>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</si>
  <si>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</si>
  <si>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</si>
  <si>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</si>
  <si>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</si>
  <si>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</si>
  <si>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</si>
  <si>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</si>
  <si>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</si>
  <si>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</si>
  <si>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</si>
  <si>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</si>
  <si>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</si>
  <si>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</si>
  <si>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</si>
  <si>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</si>
  <si>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</si>
  <si>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</si>
  <si>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</si>
  <si>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</si>
  <si>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</si>
  <si>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</si>
  <si>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</si>
  <si>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</si>
  <si>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</si>
  <si>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</si>
  <si>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</si>
  <si>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</si>
  <si>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</si>
  <si>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</si>
  <si>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</si>
  <si>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</si>
  <si>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</si>
  <si>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</si>
  <si>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</si>
  <si>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</si>
  <si>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</si>
  <si>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</si>
  <si>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</si>
  <si>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</si>
  <si>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</si>
  <si>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</si>
  <si>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</si>
  <si>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</si>
  <si>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</si>
  <si>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</si>
  <si>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</si>
  <si>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</si>
  <si>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</si>
  <si>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</si>
  <si>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</si>
  <si>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</si>
  <si>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</si>
  <si>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</si>
  <si>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</si>
  <si>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</si>
  <si>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</si>
  <si>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</si>
  <si>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</si>
  <si>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</si>
  <si>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</si>
  <si>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</si>
  <si>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</si>
  <si>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</si>
  <si>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</si>
  <si>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</si>
  <si>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</si>
  <si>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</si>
  <si>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</si>
  <si>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</si>
  <si>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</si>
  <si>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</si>
  <si>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</si>
  <si>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</si>
  <si>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</si>
  <si>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</si>
  <si>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</si>
  <si>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</si>
  <si>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</si>
  <si>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</si>
  <si>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</si>
  <si>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</si>
  <si>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</si>
  <si>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</si>
  <si>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</si>
  <si>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</si>
  <si>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</si>
  <si>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</si>
  <si>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</si>
  <si>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</si>
  <si>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</si>
  <si>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</si>
  <si>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</si>
  <si>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</si>
  <si>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</si>
  <si>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</si>
  <si>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</si>
  <si>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</si>
  <si>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</si>
  <si>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</si>
  <si>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</si>
  <si>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</si>
  <si>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</si>
  <si>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</si>
  <si>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</si>
  <si>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</si>
  <si>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</si>
  <si>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</si>
  <si>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</si>
  <si>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</si>
  <si>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</si>
  <si>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</si>
  <si>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</si>
  <si>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</si>
  <si>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</si>
  <si>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</si>
  <si>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</si>
  <si>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</si>
  <si>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</si>
  <si>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</si>
  <si>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</si>
  <si>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</si>
  <si>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</si>
  <si>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</si>
  <si>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</si>
  <si>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</si>
  <si>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</si>
  <si>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</si>
  <si>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</si>
  <si>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</si>
  <si>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</si>
  <si>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</si>
  <si>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</si>
  <si>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</si>
  <si>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</si>
  <si>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</si>
  <si>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</si>
  <si>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</si>
  <si>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</si>
  <si>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</si>
  <si>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</si>
  <si>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</si>
  <si>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</si>
  <si>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</si>
  <si>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</si>
  <si>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</si>
  <si>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</si>
  <si>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</si>
  <si>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</si>
  <si>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</si>
  <si>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</si>
  <si>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</si>
  <si>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</si>
  <si>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</si>
  <si>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</si>
  <si>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</si>
  <si>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</si>
  <si>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</si>
  <si>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</si>
  <si>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</si>
  <si>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</si>
  <si>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</si>
  <si>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</si>
  <si>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</si>
  <si>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</si>
  <si>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</si>
  <si>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</si>
  <si>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</si>
  <si>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</si>
  <si>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</si>
  <si>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</si>
  <si>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</si>
  <si>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</si>
  <si>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</si>
  <si>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</si>
  <si>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</si>
  <si>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</si>
  <si>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</si>
  <si>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</si>
  <si>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</si>
  <si>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</si>
  <si>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</si>
  <si>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</si>
  <si>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</si>
  <si>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</si>
  <si>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</si>
  <si>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</si>
  <si>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</si>
  <si>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</si>
  <si>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</si>
  <si>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</si>
  <si>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</si>
  <si>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</si>
  <si>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</si>
  <si>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</si>
  <si>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</si>
  <si>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</si>
  <si>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</si>
  <si>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</si>
  <si>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</si>
  <si>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</si>
  <si>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</si>
  <si>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</si>
  <si>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</si>
  <si>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</si>
  <si>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</si>
  <si>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</si>
  <si>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</si>
  <si>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</si>
  <si>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</si>
  <si>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</si>
  <si>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</si>
  <si>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</si>
  <si>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</si>
  <si>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</si>
  <si>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</si>
  <si>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</si>
  <si>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</si>
  <si>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</si>
  <si>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</si>
  <si>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</si>
  <si>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</si>
  <si>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</si>
  <si>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</si>
  <si>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</si>
  <si>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</si>
  <si>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</si>
  <si>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</si>
  <si>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</si>
  <si>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</si>
  <si>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</si>
  <si>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</si>
  <si>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</si>
  <si>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</si>
  <si>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</si>
  <si>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</si>
  <si>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</si>
  <si>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</si>
  <si>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</si>
  <si>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</si>
  <si>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</si>
  <si>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</si>
  <si>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</si>
  <si>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</si>
  <si>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</si>
  <si>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</si>
  <si>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</si>
  <si>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</si>
  <si>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</si>
  <si>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</si>
  <si>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</si>
  <si>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</si>
  <si>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</si>
  <si>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</si>
  <si>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</si>
  <si>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</si>
  <si>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</si>
  <si>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</si>
  <si>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</si>
  <si>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</si>
  <si>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</si>
  <si>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</si>
  <si>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</si>
  <si>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</si>
  <si>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</si>
  <si>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</si>
  <si>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</si>
  <si>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</si>
  <si>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</si>
  <si>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</si>
  <si>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</si>
  <si>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</si>
  <si>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</si>
  <si>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</si>
  <si>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</si>
  <si>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</si>
  <si>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</si>
  <si>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</si>
  <si>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</si>
  <si>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</si>
  <si>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</si>
  <si>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</si>
  <si>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</si>
  <si>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</si>
  <si>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</si>
  <si>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</si>
  <si>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</si>
  <si>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</si>
  <si>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</si>
  <si>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</si>
  <si>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</si>
  <si>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</si>
  <si>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</si>
  <si>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</si>
  <si>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</si>
  <si>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</si>
  <si>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</si>
  <si>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</si>
  <si>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</si>
  <si>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</si>
  <si>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</si>
  <si>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</si>
  <si>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</si>
  <si>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</si>
  <si>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</si>
  <si>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</si>
  <si>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</si>
  <si>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</si>
  <si>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</si>
  <si>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</si>
  <si>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</si>
  <si>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</si>
  <si>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</si>
  <si>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</si>
  <si>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</si>
  <si>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</si>
  <si>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</si>
  <si>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</si>
  <si>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</si>
  <si>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</si>
  <si>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</si>
  <si>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</si>
  <si>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</si>
  <si>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</si>
  <si>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</si>
  <si>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</si>
  <si>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</si>
  <si>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</si>
  <si>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</si>
  <si>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</si>
  <si>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</si>
  <si>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</si>
  <si>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</si>
  <si>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</si>
  <si>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</si>
  <si>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</si>
  <si>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</si>
  <si>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</si>
  <si>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</si>
  <si>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</si>
  <si>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</si>
  <si>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</si>
  <si>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</si>
  <si>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</si>
  <si>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</si>
  <si>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</si>
  <si>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</si>
  <si>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</si>
  <si>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</si>
  <si>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</si>
  <si>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</si>
  <si>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</si>
  <si>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</si>
  <si>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</si>
  <si>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</si>
  <si>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</si>
  <si>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</si>
  <si>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</si>
  <si>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</si>
  <si>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</si>
  <si>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</si>
  <si>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</si>
  <si>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</si>
  <si>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</si>
  <si>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</si>
  <si>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</si>
  <si>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</si>
  <si>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</si>
  <si>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</si>
  <si>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</si>
  <si>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</si>
  <si>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</si>
  <si>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</si>
  <si>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</si>
  <si>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</si>
  <si>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</si>
  <si>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</si>
  <si>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</si>
  <si>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</si>
  <si>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</si>
  <si>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</si>
  <si>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</si>
  <si>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</si>
  <si>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</si>
  <si>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</si>
  <si>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</si>
  <si>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</si>
  <si>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</si>
  <si>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</si>
  <si>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</si>
  <si>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</si>
  <si>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</si>
  <si>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</si>
  <si>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</si>
  <si>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</si>
  <si>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</si>
  <si>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</si>
  <si>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</si>
  <si>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</si>
  <si>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</si>
  <si>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</si>
  <si>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</si>
  <si>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</si>
  <si>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</si>
  <si>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</si>
  <si>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</si>
  <si>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</si>
  <si>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</si>
  <si>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</si>
  <si>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</si>
  <si>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</si>
  <si>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</si>
  <si>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</si>
  <si>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</si>
  <si>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</si>
  <si>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</si>
  <si>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</si>
  <si>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</si>
  <si>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</si>
  <si>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</si>
  <si>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</si>
  <si>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</si>
  <si>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</si>
  <si>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</si>
  <si>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</si>
  <si>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</si>
  <si>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</si>
  <si>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</si>
  <si>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</si>
  <si>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</si>
  <si>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</si>
  <si>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</si>
  <si>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</si>
  <si>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</si>
  <si>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</si>
  <si>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</si>
  <si>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</si>
  <si>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</si>
  <si>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</si>
  <si>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</si>
  <si>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</si>
  <si>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</si>
  <si>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</si>
  <si>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</si>
  <si>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</si>
  <si>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</si>
  <si>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</si>
  <si>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</si>
  <si>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</si>
  <si>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</si>
  <si>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</si>
  <si>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</si>
  <si>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</si>
  <si>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</si>
  <si>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</si>
  <si>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</si>
  <si>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</si>
  <si>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</si>
  <si>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</si>
  <si>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</si>
  <si>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</si>
  <si>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</si>
  <si>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</si>
  <si>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</si>
  <si>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</si>
  <si>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</si>
  <si>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</si>
  <si>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</si>
  <si>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</si>
  <si>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</si>
  <si>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</si>
  <si>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</si>
  <si>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</si>
  <si>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</si>
  <si>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</si>
  <si>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</si>
  <si>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</si>
  <si>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</si>
  <si>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</si>
  <si>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</si>
  <si>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</si>
  <si>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</si>
  <si>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</si>
  <si>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</si>
  <si>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</si>
  <si>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</si>
  <si>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</si>
  <si>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</si>
  <si>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</si>
  <si>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</si>
  <si>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</si>
  <si>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</si>
  <si>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估价对象</t>
  </si>
  <si>
    <t>设定收益年期(n)</t>
  </si>
  <si>
    <r>
      <rPr>
        <sz val="10"/>
        <color indexed="8"/>
        <rFont val="宋体"/>
        <family val="3"/>
        <charset val="134"/>
      </rPr>
      <t>朝阳区朝新嘉园东里七区</t>
    </r>
    <r>
      <rPr>
        <sz val="10"/>
        <color indexed="8"/>
        <rFont val="Arial"/>
        <family val="2"/>
      </rPr>
      <t>12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302</t>
    </r>
    <phoneticPr fontId="7" type="noConversion"/>
  </si>
  <si>
    <t>朝阳区朝新嘉园东里七区12号楼3层2单元302</t>
    <phoneticPr fontId="4" type="noConversion"/>
  </si>
  <si>
    <t>金隅景和园</t>
    <phoneticPr fontId="4" type="noConversion"/>
  </si>
  <si>
    <t>售价</t>
  </si>
  <si>
    <t>住宅</t>
    <phoneticPr fontId="20" type="noConversion"/>
  </si>
  <si>
    <t>估价对象周边有泓鑫家园、富北嘉园、金泽家园、金泰丽富嘉园等，综合评价居住社区成熟度较好</t>
    <phoneticPr fontId="35" type="noConversion"/>
  </si>
  <si>
    <t>估价对象周边有350路、553路、571路、619路、640路、650路等多条公交线路，距最近的地铁站6号线（褡裢站）约3500米，综合评价交通便捷度一般</t>
    <phoneticPr fontId="35" type="noConversion"/>
  </si>
  <si>
    <t>估价对象所在区域公共配套设施齐备情况较好</t>
    <phoneticPr fontId="35" type="noConversion"/>
  </si>
  <si>
    <t>七通</t>
  </si>
  <si>
    <t>七通</t>
    <phoneticPr fontId="20" type="noConversion"/>
  </si>
  <si>
    <t>区域自然环境：东坝郊野公园；人文环境：京城体育休闲公园、北京市东郊殡仪馆；综合评价环境状况一般</t>
    <phoneticPr fontId="35" type="noConversion"/>
  </si>
  <si>
    <t>城市支路——市政道路</t>
    <phoneticPr fontId="20" type="noConversion"/>
  </si>
  <si>
    <t>60-70（含）</t>
  </si>
  <si>
    <t>正常</t>
  </si>
  <si>
    <t>楼层</t>
    <phoneticPr fontId="20" type="noConversion"/>
  </si>
  <si>
    <t>南北</t>
  </si>
  <si>
    <t>南北</t>
    <phoneticPr fontId="20" type="noConversion"/>
  </si>
  <si>
    <t>东南</t>
  </si>
  <si>
    <t>东南</t>
    <phoneticPr fontId="20" type="noConversion"/>
  </si>
  <si>
    <t>南</t>
  </si>
  <si>
    <t>南</t>
    <phoneticPr fontId="20" type="noConversion"/>
  </si>
  <si>
    <r>
      <t>3/21</t>
    </r>
    <r>
      <rPr>
        <sz val="11"/>
        <rFont val="宋体"/>
        <family val="3"/>
        <charset val="134"/>
      </rPr>
      <t>（低楼层）</t>
    </r>
    <phoneticPr fontId="20" type="noConversion"/>
  </si>
  <si>
    <t>板楼</t>
  </si>
  <si>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</si>
  <si>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</si>
  <si>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</si>
  <si>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</si>
  <si>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</si>
  <si>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</si>
  <si>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</si>
  <si>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</si>
  <si>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</si>
  <si>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</si>
  <si>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</si>
  <si>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</si>
  <si>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</si>
  <si>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</si>
  <si>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r>
      <t>4/21</t>
    </r>
    <r>
      <rPr>
        <sz val="11"/>
        <rFont val="宋体"/>
        <family val="3"/>
        <charset val="134"/>
      </rPr>
      <t>（低楼层）</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</si>
  <si>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</si>
  <si>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</si>
  <si>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</si>
  <si>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</si>
  <si>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限价房</t>
    <phoneticPr fontId="8"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</si>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</sst>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42" fillId="8" borderId="51" xfId="0"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2" fillId="8" borderId="4" xfId="0" applyNumberFormat="1" applyFont="1" applyFill="1" applyBorder="1" applyAlignment="1" applyProtection="1">
      <alignment horizontal="center" vertical="center"/>
    </xf>
    <xf numFmtId="0" fontId="42" fillId="8" borderId="11" xfId="0" applyFont="1" applyFill="1" applyBorder="1" applyAlignment="1" applyProtection="1">
      <alignment horizontal="center" vertical="center"/>
    </xf>
    <xf numFmtId="0" fontId="42" fillId="8" borderId="13" xfId="0" applyFont="1" applyFill="1" applyBorder="1" applyAlignment="1" applyProtection="1">
      <alignment horizontal="right" vertical="center"/>
    </xf>
    <xf numFmtId="0" fontId="42" fillId="8" borderId="38" xfId="0" applyFont="1" applyFill="1" applyBorder="1" applyAlignment="1" applyProtection="1">
      <alignment horizontal="center" vertical="center"/>
    </xf>
    <xf numFmtId="49" fontId="47" fillId="8" borderId="16" xfId="0" applyNumberFormat="1" applyFont="1" applyFill="1" applyBorder="1" applyAlignment="1" applyProtection="1">
      <alignment vertical="center"/>
    </xf>
    <xf numFmtId="0" fontId="47" fillId="8" borderId="18" xfId="0" applyFont="1" applyFill="1" applyBorder="1" applyAlignment="1" applyProtection="1">
      <alignment vertical="center" wrapText="1"/>
    </xf>
    <xf numFmtId="0" fontId="47" fillId="8" borderId="18" xfId="0" applyFont="1" applyFill="1" applyBorder="1" applyAlignment="1" applyProtection="1">
      <alignment horizontal="center" vertical="center"/>
    </xf>
    <xf numFmtId="0" fontId="53" fillId="8" borderId="18" xfId="0" applyFont="1" applyFill="1" applyBorder="1" applyAlignment="1" applyProtection="1">
      <alignment vertical="center"/>
    </xf>
    <xf numFmtId="0" fontId="53" fillId="8" borderId="53" xfId="0" applyFont="1" applyFill="1" applyBorder="1" applyAlignment="1" applyProtection="1">
      <alignment vertical="center"/>
      <protection locked="0"/>
    </xf>
    <xf numFmtId="49" fontId="42" fillId="8" borderId="16" xfId="0" applyNumberFormat="1" applyFont="1" applyFill="1" applyBorder="1" applyAlignment="1" applyProtection="1">
      <alignment horizontal="left" vertical="center"/>
    </xf>
    <xf numFmtId="0" fontId="42" fillId="8" borderId="18" xfId="0" applyFont="1" applyFill="1" applyBorder="1" applyAlignment="1" applyProtection="1">
      <alignment vertical="center" wrapText="1"/>
    </xf>
    <xf numFmtId="0" fontId="42" fillId="8" borderId="18" xfId="0" applyFont="1" applyFill="1" applyBorder="1" applyAlignment="1" applyProtection="1">
      <alignment vertical="center"/>
    </xf>
    <xf numFmtId="0" fontId="42" fillId="8" borderId="1" xfId="0" applyFont="1" applyFill="1" applyBorder="1" applyAlignment="1" applyProtection="1">
      <alignment horizontal="left" vertical="center"/>
    </xf>
    <xf numFmtId="0" fontId="47" fillId="8" borderId="6" xfId="0" applyFont="1" applyFill="1" applyBorder="1" applyAlignment="1" applyProtection="1">
      <alignment horizontal="center" vertical="center"/>
    </xf>
    <xf numFmtId="49" fontId="42" fillId="8" borderId="26" xfId="0" applyNumberFormat="1" applyFont="1" applyFill="1" applyBorder="1" applyAlignment="1" applyProtection="1">
      <alignment vertical="center"/>
    </xf>
    <xf numFmtId="0" fontId="47" fillId="8" borderId="49" xfId="0" applyFont="1" applyFill="1" applyBorder="1" applyAlignment="1" applyProtection="1">
      <alignment vertical="center" wrapText="1"/>
    </xf>
    <xf numFmtId="0" fontId="47" fillId="8" borderId="49" xfId="0" applyFont="1" applyFill="1" applyBorder="1" applyAlignment="1" applyProtection="1">
      <alignment horizontal="center" vertical="center"/>
    </xf>
    <xf numFmtId="0" fontId="42" fillId="8" borderId="49" xfId="0" applyFont="1" applyFill="1" applyBorder="1" applyAlignment="1" applyProtection="1">
      <alignment vertical="center"/>
    </xf>
    <xf numFmtId="0" fontId="42" fillId="8" borderId="17" xfId="0" applyFont="1" applyFill="1" applyBorder="1" applyAlignment="1" applyProtection="1">
      <alignment vertical="center"/>
    </xf>
    <xf numFmtId="181" fontId="47" fillId="8" borderId="6" xfId="0" applyNumberFormat="1" applyFont="1" applyFill="1" applyBorder="1" applyAlignment="1" applyProtection="1">
      <alignment horizontal="center" vertical="center"/>
    </xf>
    <xf numFmtId="0" fontId="42" fillId="8" borderId="27" xfId="0" applyFont="1" applyFill="1" applyBorder="1" applyAlignment="1" applyProtection="1">
      <alignment vertical="center" wrapText="1"/>
    </xf>
    <xf numFmtId="0" fontId="47" fillId="8" borderId="27" xfId="0" applyFont="1" applyFill="1" applyBorder="1" applyAlignment="1" applyProtection="1">
      <alignment horizontal="center" vertical="center"/>
    </xf>
    <xf numFmtId="0" fontId="42" fillId="8" borderId="25" xfId="0" applyFont="1" applyFill="1" applyBorder="1" applyAlignment="1" applyProtection="1">
      <alignment vertical="center"/>
    </xf>
    <xf numFmtId="0" fontId="42" fillId="8" borderId="18" xfId="0" applyFont="1" applyFill="1" applyBorder="1" applyAlignment="1" applyProtection="1">
      <alignment horizontal="left" vertical="center"/>
    </xf>
    <xf numFmtId="0" fontId="53" fillId="8" borderId="53" xfId="0" applyFont="1" applyFill="1" applyBorder="1" applyAlignment="1" applyProtection="1">
      <alignment horizontal="center" vertical="center"/>
      <protection locked="0"/>
    </xf>
    <xf numFmtId="49" fontId="42" fillId="8" borderId="23" xfId="0" applyNumberFormat="1" applyFont="1" applyFill="1" applyBorder="1" applyAlignment="1" applyProtection="1">
      <alignment vertical="center"/>
    </xf>
    <xf numFmtId="0" fontId="232" fillId="8" borderId="1" xfId="0" applyFont="1" applyFill="1" applyBorder="1" applyAlignment="1" applyProtection="1">
      <alignment horizontal="right" vertical="center" wrapText="1"/>
    </xf>
    <xf numFmtId="0" fontId="47" fillId="8" borderId="1" xfId="0" applyFont="1" applyFill="1" applyBorder="1" applyAlignment="1" applyProtection="1">
      <alignment horizontal="center" vertical="center"/>
      <protection locked="0"/>
    </xf>
    <xf numFmtId="181" fontId="47" fillId="8" borderId="58"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vertical="center"/>
    </xf>
    <xf numFmtId="0" fontId="42" fillId="8" borderId="91" xfId="0" applyFont="1" applyFill="1" applyBorder="1" applyAlignment="1" applyProtection="1">
      <alignment vertical="center" wrapText="1"/>
    </xf>
    <xf numFmtId="0" fontId="47" fillId="8" borderId="75" xfId="0" applyFont="1" applyFill="1" applyBorder="1" applyAlignment="1" applyProtection="1">
      <alignment horizontal="center" vertical="center"/>
      <protection locked="0"/>
    </xf>
    <xf numFmtId="0" fontId="42" fillId="8" borderId="75" xfId="0" applyFont="1" applyFill="1" applyBorder="1" applyAlignment="1" applyProtection="1">
      <alignment vertical="center"/>
    </xf>
    <xf numFmtId="0" fontId="42" fillId="8" borderId="75" xfId="0" applyFont="1" applyFill="1" applyBorder="1" applyAlignment="1" applyProtection="1">
      <alignment horizontal="left" vertical="center"/>
    </xf>
    <xf numFmtId="181" fontId="47" fillId="8" borderId="7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horizontal="left" vertical="center"/>
    </xf>
    <xf numFmtId="0" fontId="47" fillId="8" borderId="17" xfId="0" applyFont="1" applyFill="1" applyBorder="1" applyAlignment="1" applyProtection="1">
      <alignment horizontal="left" vertical="center"/>
    </xf>
    <xf numFmtId="0" fontId="47" fillId="8" borderId="17" xfId="0" applyFont="1" applyFill="1" applyBorder="1" applyAlignment="1" applyProtection="1">
      <alignment horizontal="center" vertical="center"/>
    </xf>
    <xf numFmtId="0" fontId="42" fillId="8" borderId="49" xfId="0" applyFont="1" applyFill="1" applyBorder="1" applyAlignment="1" applyProtection="1">
      <alignment horizontal="left" vertical="center"/>
    </xf>
    <xf numFmtId="181" fontId="42" fillId="8" borderId="50" xfId="0" applyNumberFormat="1" applyFont="1" applyFill="1" applyBorder="1" applyAlignment="1" applyProtection="1">
      <alignment horizontal="center" vertical="center"/>
    </xf>
    <xf numFmtId="49" fontId="42" fillId="8" borderId="7" xfId="0" applyNumberFormat="1" applyFont="1" applyFill="1" applyBorder="1" applyAlignment="1" applyProtection="1">
      <alignment horizontal="left" vertical="center"/>
    </xf>
    <xf numFmtId="0" fontId="42" fillId="8" borderId="2"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wrapText="1"/>
    </xf>
    <xf numFmtId="181" fontId="47" fillId="8" borderId="41" xfId="0" applyNumberFormat="1" applyFont="1" applyFill="1" applyBorder="1" applyAlignment="1" applyProtection="1">
      <alignment horizontal="center" vertical="center"/>
    </xf>
    <xf numFmtId="0" fontId="42" fillId="8" borderId="1" xfId="0" applyFont="1" applyFill="1" applyBorder="1" applyAlignment="1" applyProtection="1">
      <alignment horizontal="center" vertical="center"/>
    </xf>
    <xf numFmtId="0" fontId="42" fillId="8" borderId="17" xfId="0" applyFont="1" applyFill="1" applyBorder="1" applyAlignment="1" applyProtection="1">
      <alignment horizontal="left" vertical="center"/>
    </xf>
    <xf numFmtId="181" fontId="42" fillId="8" borderId="34" xfId="0" applyNumberFormat="1" applyFont="1" applyFill="1" applyBorder="1" applyAlignment="1" applyProtection="1">
      <alignment horizontal="center" vertical="center"/>
    </xf>
    <xf numFmtId="181" fontId="42" fillId="8" borderId="6" xfId="0" applyNumberFormat="1" applyFont="1" applyFill="1" applyBorder="1" applyAlignment="1" applyProtection="1">
      <alignment horizontal="center" vertical="center"/>
    </xf>
    <xf numFmtId="0" fontId="42" fillId="8" borderId="41" xfId="0" applyFont="1" applyFill="1" applyBorder="1" applyAlignment="1" applyProtection="1">
      <alignment horizontal="center" vertical="center"/>
    </xf>
    <xf numFmtId="0" fontId="42" fillId="8" borderId="2" xfId="0" applyFont="1" applyFill="1" applyBorder="1" applyAlignment="1" applyProtection="1">
      <alignment vertical="center"/>
    </xf>
    <xf numFmtId="0" fontId="42" fillId="8" borderId="1" xfId="0" applyFont="1" applyFill="1" applyBorder="1" applyAlignment="1" applyProtection="1">
      <alignment vertical="center" wrapText="1"/>
    </xf>
    <xf numFmtId="0" fontId="42" fillId="8" borderId="1" xfId="0" applyNumberFormat="1" applyFont="1" applyFill="1" applyBorder="1" applyAlignment="1" applyProtection="1">
      <alignment horizontal="center" vertical="center"/>
    </xf>
    <xf numFmtId="0" fontId="42" fillId="8" borderId="1" xfId="0" applyFont="1" applyFill="1" applyBorder="1" applyAlignment="1" applyProtection="1">
      <alignment vertical="center"/>
    </xf>
    <xf numFmtId="0" fontId="42" fillId="8" borderId="6" xfId="0" applyFont="1" applyFill="1" applyBorder="1" applyAlignment="1" applyProtection="1">
      <alignment horizontal="center" vertical="center"/>
    </xf>
    <xf numFmtId="10" fontId="42" fillId="8" borderId="6"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horizontal="left" vertical="center"/>
    </xf>
    <xf numFmtId="0" fontId="42" fillId="8" borderId="75" xfId="0" applyFont="1" applyFill="1" applyBorder="1" applyAlignment="1" applyProtection="1">
      <alignment horizontal="center" vertical="center"/>
    </xf>
    <xf numFmtId="0" fontId="42" fillId="8" borderId="75" xfId="0" applyFont="1" applyFill="1" applyBorder="1" applyAlignment="1" applyProtection="1">
      <alignment horizontal="left" vertical="center" wrapText="1"/>
    </xf>
    <xf numFmtId="181" fontId="42" fillId="8" borderId="76" xfId="0" applyNumberFormat="1" applyFont="1" applyFill="1" applyBorder="1" applyAlignment="1" applyProtection="1">
      <alignment horizontal="center" vertical="center"/>
    </xf>
    <xf numFmtId="0" fontId="42" fillId="8" borderId="64" xfId="0" applyFont="1" applyFill="1" applyBorder="1" applyAlignment="1" applyProtection="1">
      <alignment horizontal="left" vertical="center"/>
    </xf>
    <xf numFmtId="0" fontId="42" fillId="8" borderId="65" xfId="0" applyFont="1" applyFill="1" applyBorder="1" applyAlignment="1" applyProtection="1">
      <alignment horizontal="center" vertical="center"/>
    </xf>
    <xf numFmtId="0" fontId="42" fillId="8" borderId="68" xfId="0" applyFont="1" applyFill="1" applyBorder="1" applyAlignment="1" applyProtection="1">
      <alignment horizontal="center" vertical="center"/>
    </xf>
    <xf numFmtId="0" fontId="42" fillId="8" borderId="1" xfId="0" applyFont="1" applyFill="1" applyBorder="1" applyAlignment="1" applyProtection="1">
      <alignment horizontal="left" vertical="center" wrapText="1"/>
    </xf>
    <xf numFmtId="181" fontId="42" fillId="8" borderId="41" xfId="0" applyNumberFormat="1" applyFont="1" applyFill="1" applyBorder="1" applyAlignment="1" applyProtection="1">
      <alignment horizontal="center" vertical="center" wrapText="1"/>
    </xf>
    <xf numFmtId="0" fontId="42" fillId="8" borderId="1" xfId="0" applyFont="1" applyFill="1" applyBorder="1" applyAlignment="1" applyProtection="1">
      <alignment horizontal="left" vertical="center" wrapText="1"/>
      <protection locked="0"/>
    </xf>
    <xf numFmtId="0" fontId="42" fillId="8" borderId="18" xfId="0" applyFont="1" applyFill="1" applyBorder="1" applyAlignment="1" applyProtection="1">
      <alignment horizontal="center" vertical="center"/>
    </xf>
    <xf numFmtId="0" fontId="42" fillId="8" borderId="18" xfId="0" applyFont="1" applyFill="1" applyBorder="1" applyAlignment="1" applyProtection="1">
      <alignment horizontal="left" vertical="center" wrapText="1"/>
    </xf>
    <xf numFmtId="49" fontId="42" fillId="8" borderId="65" xfId="0" applyNumberFormat="1" applyFont="1" applyFill="1" applyBorder="1" applyAlignment="1" applyProtection="1">
      <alignment vertical="center"/>
    </xf>
    <xf numFmtId="0" fontId="42" fillId="8" borderId="17" xfId="0" applyFont="1" applyFill="1" applyBorder="1" applyAlignment="1" applyProtection="1">
      <alignment horizontal="center" vertical="center"/>
    </xf>
    <xf numFmtId="0" fontId="42" fillId="8" borderId="17" xfId="0" applyFont="1" applyFill="1" applyBorder="1" applyAlignment="1" applyProtection="1">
      <alignment horizontal="left" vertical="center" wrapText="1"/>
    </xf>
    <xf numFmtId="49" fontId="42" fillId="8" borderId="23" xfId="0" applyNumberFormat="1" applyFont="1" applyFill="1" applyBorder="1" applyAlignment="1" applyProtection="1">
      <alignment horizontal="left" vertical="center"/>
    </xf>
    <xf numFmtId="10" fontId="47" fillId="8" borderId="6" xfId="0" applyNumberFormat="1" applyFont="1" applyFill="1" applyBorder="1" applyAlignment="1" applyProtection="1">
      <alignment horizontal="center" vertical="center"/>
    </xf>
    <xf numFmtId="183" fontId="47" fillId="8" borderId="6" xfId="0" applyNumberFormat="1" applyFont="1" applyFill="1" applyBorder="1" applyAlignment="1" applyProtection="1">
      <alignment horizontal="center" vertical="center"/>
    </xf>
    <xf numFmtId="0" fontId="47" fillId="8" borderId="17" xfId="0" applyFont="1" applyFill="1" applyBorder="1" applyAlignment="1" applyProtection="1">
      <alignment horizontal="left" vertical="center" wrapText="1"/>
    </xf>
    <xf numFmtId="0" fontId="42" fillId="8" borderId="64" xfId="0" applyFont="1" applyFill="1" applyBorder="1" applyAlignment="1" applyProtection="1">
      <alignment horizontal="left" vertical="center" wrapText="1"/>
    </xf>
    <xf numFmtId="0" fontId="42" fillId="8" borderId="65" xfId="0" applyFont="1" applyFill="1" applyBorder="1" applyAlignment="1" applyProtection="1">
      <alignment horizontal="center" vertical="center" wrapText="1"/>
    </xf>
    <xf numFmtId="0" fontId="42" fillId="8" borderId="68" xfId="0" applyFont="1" applyFill="1" applyBorder="1" applyAlignment="1" applyProtection="1">
      <alignment horizontal="center" vertical="center" wrapText="1"/>
    </xf>
    <xf numFmtId="49" fontId="47" fillId="8" borderId="26" xfId="0" applyNumberFormat="1" applyFont="1" applyFill="1" applyBorder="1" applyAlignment="1" applyProtection="1">
      <alignment vertical="center"/>
    </xf>
    <xf numFmtId="0" fontId="42" fillId="8" borderId="49" xfId="0" applyFont="1" applyFill="1" applyBorder="1" applyAlignment="1" applyProtection="1">
      <alignment horizontal="left" vertical="center" wrapText="1"/>
    </xf>
    <xf numFmtId="0" fontId="42" fillId="8" borderId="1" xfId="0" applyFont="1" applyFill="1" applyBorder="1" applyAlignment="1" applyProtection="1">
      <alignment horizontal="left" vertical="center"/>
      <protection locked="0"/>
    </xf>
    <xf numFmtId="179" fontId="47" fillId="8" borderId="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vertical="center"/>
    </xf>
    <xf numFmtId="0" fontId="47" fillId="8" borderId="17" xfId="0" applyFont="1" applyFill="1" applyBorder="1" applyAlignment="1" applyProtection="1">
      <alignment vertical="center" wrapText="1"/>
    </xf>
    <xf numFmtId="49" fontId="47" fillId="8" borderId="8" xfId="0" applyNumberFormat="1" applyFont="1" applyFill="1" applyBorder="1" applyAlignment="1" applyProtection="1">
      <alignment horizontal="left" vertical="center"/>
    </xf>
    <xf numFmtId="0" fontId="47" fillId="8" borderId="61" xfId="0" applyFont="1" applyFill="1" applyBorder="1" applyAlignment="1" applyProtection="1">
      <alignment horizontal="left" vertical="center"/>
    </xf>
    <xf numFmtId="0" fontId="47" fillId="8" borderId="61" xfId="0" applyFont="1" applyFill="1" applyBorder="1" applyAlignment="1" applyProtection="1">
      <alignment horizontal="center" vertical="center"/>
    </xf>
    <xf numFmtId="0" fontId="42" fillId="8" borderId="61" xfId="0" applyFont="1" applyFill="1" applyBorder="1" applyAlignment="1" applyProtection="1">
      <alignment vertical="center"/>
    </xf>
    <xf numFmtId="0" fontId="42" fillId="8" borderId="61" xfId="0" applyFont="1" applyFill="1" applyBorder="1" applyAlignment="1" applyProtection="1">
      <alignment horizontal="left" vertical="center"/>
    </xf>
    <xf numFmtId="179" fontId="47" fillId="8" borderId="43"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38100</xdr:rowOff>
    </xdr:from>
    <xdr:to>
      <xdr:col>13</xdr:col>
      <xdr:colOff>256029</xdr:colOff>
      <xdr:row>54</xdr:row>
      <xdr:rowOff>94493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295650"/>
          <a:ext cx="9171429" cy="6057143"/>
        </a:xfrm>
        <a:prstGeom prst="rect">
          <a:avLst/>
        </a:prstGeom>
      </xdr:spPr>
    </xdr:pic>
    <xdr:clientData/>
  </xdr:twoCellAnchor>
  <xdr:twoCellAnchor editAs="oneCell">
    <xdr:from>
      <xdr:col>0</xdr:col>
      <xdr:colOff>0</xdr:colOff>
      <xdr:row>53</xdr:row>
      <xdr:rowOff>104775</xdr:rowOff>
    </xdr:from>
    <xdr:to>
      <xdr:col>13</xdr:col>
      <xdr:colOff>132220</xdr:colOff>
      <xdr:row>77</xdr:row>
      <xdr:rowOff>85213</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191625"/>
          <a:ext cx="9047620" cy="4095238"/>
        </a:xfrm>
        <a:prstGeom prst="rect">
          <a:avLst/>
        </a:prstGeom>
      </xdr:spPr>
    </xdr:pic>
    <xdr:clientData/>
  </xdr:twoCellAnchor>
  <xdr:twoCellAnchor editAs="oneCell">
    <xdr:from>
      <xdr:col>0</xdr:col>
      <xdr:colOff>0</xdr:colOff>
      <xdr:row>0</xdr:row>
      <xdr:rowOff>0</xdr:rowOff>
    </xdr:from>
    <xdr:to>
      <xdr:col>11</xdr:col>
      <xdr:colOff>646677</xdr:colOff>
      <xdr:row>20</xdr:row>
      <xdr:rowOff>171000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0"/>
          <a:ext cx="8190477"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北京市房地产市场价值预评估</v>
      </c>
    </row>
    <row r="3" spans="1:2" s="1692" customFormat="1">
      <c r="A3" s="1693" t="s">
        <v>1109</v>
      </c>
      <c r="B3" s="1678">
        <f>'预评函-封皮'!B12</f>
        <v>0</v>
      </c>
    </row>
    <row r="4" spans="1:2" s="1692" customFormat="1">
      <c r="A4" s="1693" t="s">
        <v>1110</v>
      </c>
      <c r="B4" s="1678" t="str">
        <f ca="1">'预评函-封皮'!B18</f>
        <v>陈颖（注册号:1120060040）、叶凌（注册号:1119970111)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估价对象为北京市房地产，为所有。根据《不动产权证书》[]，估价对象建筑面积为87.21平方米，（分摊）出让国有建设用地使用权面积为平方米。估价对象用途为。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2018年8月16日（评估专业人员实地查勘之日）</v>
      </c>
    </row>
    <row r="10" spans="1:2">
      <c r="A10" s="1693" t="s">
        <v>1116</v>
      </c>
      <c r="B10" s="1680" t="str">
        <f>'预评函-1'!A13</f>
        <v>本次估价的“房地产价值”是指在正常市场情况下，在价值时点2018年8月16日，估价对象规划用途为，假定未设立法定优先受偿款下的房地产市场价值。</v>
      </c>
    </row>
    <row r="11" spans="1:2">
      <c r="A11" s="1693" t="s">
        <v>1117</v>
      </c>
      <c r="B11" s="1680"/>
    </row>
    <row r="12" spans="1:2">
      <c r="A12" s="1693" t="s">
        <v>1118</v>
      </c>
      <c r="B12" s="1680" t="str">
        <f>'预评函-1'!A14</f>
        <v>——</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v>
      </c>
    </row>
    <row r="15" spans="1:2" s="1690" customFormat="1" ht="15.75" thickBot="1">
      <c r="A15" s="1694" t="s">
        <v>1121</v>
      </c>
      <c r="B15" s="1681" t="str">
        <f>'预评函-1'!A18</f>
        <v>本次评估采用的主估价方法为比较法和收益法。</v>
      </c>
    </row>
    <row r="16" spans="1:2" ht="15.75" thickTop="1">
      <c r="A16" s="1691" t="s">
        <v>1122</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87.21</v>
      </c>
    </row>
    <row r="19" spans="1:2">
      <c r="A19" s="1693" t="s">
        <v>1125</v>
      </c>
      <c r="B19" s="1680">
        <f ca="1">'预评函-2（1）'!D7</f>
        <v>3852327</v>
      </c>
    </row>
    <row r="20" spans="1:2">
      <c r="A20" s="1693" t="s">
        <v>1163</v>
      </c>
      <c r="B20" s="1680" t="str">
        <f>'预评函-2（1）'!C7</f>
        <v>总价（元）</v>
      </c>
    </row>
    <row r="21" spans="1:2">
      <c r="A21" s="1693" t="s">
        <v>1126</v>
      </c>
      <c r="B21" s="1680">
        <f ca="1">'预评函-2（1）'!D9</f>
        <v>44173</v>
      </c>
    </row>
    <row r="22" spans="1:2">
      <c r="A22" s="1693" t="s">
        <v>1127</v>
      </c>
      <c r="B22" s="1680" t="str">
        <f ca="1">'预评函-2（1）'!D8</f>
        <v>叁佰捌拾伍万贰仟叁佰贰拾柒元整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3852327</v>
      </c>
    </row>
    <row r="30" spans="1:2">
      <c r="A30" s="1693" t="s">
        <v>1133</v>
      </c>
      <c r="B30" s="1680" t="str">
        <f ca="1">'预评函-2（1）'!D16</f>
        <v>叁佰捌拾伍万贰仟叁佰贰拾柒元整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3316858</v>
      </c>
    </row>
    <row r="38" spans="1:2">
      <c r="A38" s="1693" t="s">
        <v>1141</v>
      </c>
      <c r="B38" s="1680">
        <f ca="1">'预评函-2（2）'!E4</f>
        <v>38033</v>
      </c>
    </row>
    <row r="39" spans="1:2">
      <c r="A39" s="1693" t="s">
        <v>1142</v>
      </c>
      <c r="B39" s="1680" t="str">
        <f ca="1">'预评函-2（2）'!D5</f>
        <v>叁佰叁拾壹万陆仟捌佰伍拾捌元整</v>
      </c>
    </row>
    <row r="40" spans="1:2">
      <c r="A40" s="1693" t="s">
        <v>1143</v>
      </c>
      <c r="B40" s="1680">
        <f ca="1">'预评函-2（2）'!F4</f>
        <v>535469</v>
      </c>
    </row>
    <row r="41" spans="1:2">
      <c r="A41" s="1693" t="s">
        <v>1144</v>
      </c>
      <c r="B41" s="1680">
        <f ca="1">'预评函-2（2）'!G4</f>
        <v>6140</v>
      </c>
    </row>
    <row r="42" spans="1:2" s="1690" customFormat="1" ht="15.75" thickBot="1">
      <c r="A42" s="1694" t="s">
        <v>1145</v>
      </c>
      <c r="B42" s="1682" t="str">
        <f ca="1">'预评函-2（2）'!F5</f>
        <v>伍拾叁万伍仟肆佰陆拾玖元整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陈颖</v>
      </c>
    </row>
    <row r="53" spans="1:2">
      <c r="A53" s="1693" t="s">
        <v>1155</v>
      </c>
      <c r="B53" s="1680">
        <f ca="1">'预评函-3'!B4</f>
        <v>1120060040</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44173</v>
      </c>
    </row>
    <row r="63" spans="1:2" s="1692" customFormat="1" ht="28.5">
      <c r="A63" s="1696" t="s">
        <v>1257</v>
      </c>
      <c r="B63" s="1680" t="str">
        <f>'预评函-2（1）'!D41</f>
        <v>——</v>
      </c>
    </row>
    <row r="64" spans="1:2">
      <c r="A64" s="1696" t="s">
        <v>1180</v>
      </c>
      <c r="B64" s="1680" t="str">
        <f>'预评函-2（2）'!A6</f>
        <v>——</v>
      </c>
    </row>
    <row r="65" spans="1:2">
      <c r="A65" s="1696" t="s">
        <v>1181</v>
      </c>
      <c r="B65" s="1680" t="str">
        <f>'预评函-2（2）'!A8</f>
        <v>——</v>
      </c>
    </row>
    <row r="66" spans="1:2">
      <c r="A66" s="1696" t="s">
        <v>1182</v>
      </c>
      <c r="B66" s="1680" t="str">
        <f>'预评函-2（2）'!A10</f>
        <v>——</v>
      </c>
    </row>
    <row r="67" spans="1:2" s="1690" customFormat="1" ht="15.75" thickBot="1">
      <c r="A67" s="1697" t="s">
        <v>1183</v>
      </c>
      <c r="B67" s="1681" t="str">
        <f>'预评函-2（2）'!A12</f>
        <v>——</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8" sqref="J16:J18"/>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北京市房地产市场价值预评估</v>
      </c>
      <c r="C1" s="1060"/>
      <c r="D1" s="1986"/>
      <c r="E1" s="1060"/>
      <c r="F1" s="1987" t="s">
        <v>1544</v>
      </c>
      <c r="G1" s="1673"/>
      <c r="I1" s="1017" t="str">
        <f>IF(B6="北京市","北京市",C6)&amp;IF(E12="房屋所有权证",B28,E28)&amp;"房地产"</f>
        <v>北京市房地产</v>
      </c>
    </row>
    <row r="2" spans="1:10" ht="13.5" thickTop="1">
      <c r="A2" s="1988" t="s">
        <v>1545</v>
      </c>
      <c r="B2" s="1085">
        <v>43328</v>
      </c>
      <c r="C2" s="1989" t="s">
        <v>1546</v>
      </c>
      <c r="D2" s="1085">
        <f>B2</f>
        <v>43328</v>
      </c>
      <c r="E2" s="1061"/>
      <c r="F2" s="1061"/>
      <c r="G2" s="1674"/>
      <c r="H2" s="1017"/>
    </row>
    <row r="3" spans="1:10" ht="13.5" thickBot="1">
      <c r="A3" s="1990" t="s">
        <v>1547</v>
      </c>
      <c r="B3" s="1991" t="s">
        <v>2818</v>
      </c>
      <c r="C3" s="1062">
        <f ca="1">SUMIF(注册房地产估价师,B3,估价师及机构信息!B3:B24)</f>
        <v>1120060040</v>
      </c>
      <c r="D3" s="1991" t="s">
        <v>2819</v>
      </c>
      <c r="E3" s="1063">
        <f ca="1">SUMIF(注册房地产估价师,D3,估价师及机构信息!B3:B24)</f>
        <v>1119970111</v>
      </c>
      <c r="F3" s="1064"/>
      <c r="G3" s="1675"/>
      <c r="H3" s="1017"/>
    </row>
    <row r="4" spans="1:10" ht="13.5" customHeight="1" thickTop="1">
      <c r="A4" s="1992" t="s">
        <v>1548</v>
      </c>
      <c r="B4" s="1993"/>
      <c r="C4" s="1994" t="s">
        <v>1549</v>
      </c>
      <c r="D4" s="1995" t="s">
        <v>2820</v>
      </c>
      <c r="E4" s="1061"/>
      <c r="F4" s="1061"/>
      <c r="G4" s="1674"/>
    </row>
    <row r="5" spans="1:10">
      <c r="A5" s="1996" t="s">
        <v>1550</v>
      </c>
      <c r="B5" s="1997"/>
      <c r="C5" s="1998" t="s">
        <v>1551</v>
      </c>
      <c r="D5" s="1999" t="s">
        <v>2821</v>
      </c>
      <c r="E5" s="2000" t="s">
        <v>1552</v>
      </c>
      <c r="F5" s="2001"/>
      <c r="G5" s="2002"/>
      <c r="I5" s="1017" t="str">
        <f>IF(C16="否","截至估价时点，估价对象抵押权未见登记。","截至价值时点，估价对象已设定抵押。")</f>
        <v>截至价值时点，估价对象已设定抵押。</v>
      </c>
    </row>
    <row r="6" spans="1:10" ht="37.5">
      <c r="A6" s="2003" t="s">
        <v>1553</v>
      </c>
      <c r="B6" s="2004" t="s">
        <v>2822</v>
      </c>
      <c r="C6" s="2005" t="s">
        <v>2849</v>
      </c>
      <c r="D6" s="2006" t="s">
        <v>1554</v>
      </c>
      <c r="E6" s="1019"/>
      <c r="F6" s="1018"/>
      <c r="G6" s="1071"/>
      <c r="I6" s="1067" t="str">
        <f>IF(COUNTIF(B5,"*上海银行*"),"上海银行","")</f>
        <v/>
      </c>
    </row>
    <row r="7" spans="1:10" ht="13.5" thickBot="1">
      <c r="A7" s="1990" t="s">
        <v>1555</v>
      </c>
      <c r="B7" s="2007" t="s">
        <v>2823</v>
      </c>
      <c r="C7" s="2008" t="str">
        <f>IF(B7="自然人","姓名","名称")</f>
        <v>姓名</v>
      </c>
      <c r="D7" s="2009"/>
      <c r="E7" s="1065"/>
      <c r="F7" s="1064"/>
      <c r="G7" s="1675"/>
    </row>
    <row r="8" spans="1:10" ht="39" thickTop="1">
      <c r="A8" s="2813" t="s">
        <v>1556</v>
      </c>
      <c r="B8" s="2010" t="s">
        <v>1557</v>
      </c>
      <c r="C8" s="2825"/>
      <c r="D8" s="2826"/>
      <c r="E8" s="2011" t="s">
        <v>1558</v>
      </c>
      <c r="F8" s="2012" t="s">
        <v>1559</v>
      </c>
      <c r="G8" s="688" t="str">
        <f>C6</f>
        <v>朝阳区朝新嘉园东里七区12号楼3层2单元302</v>
      </c>
    </row>
    <row r="9" spans="1:10">
      <c r="A9" s="2813"/>
      <c r="B9" s="342" t="s">
        <v>1560</v>
      </c>
      <c r="C9" s="1997"/>
      <c r="D9" s="2013"/>
      <c r="E9" s="1007" t="s">
        <v>1561</v>
      </c>
      <c r="F9" s="993" t="s">
        <v>70</v>
      </c>
      <c r="G9" s="1009"/>
    </row>
    <row r="10" spans="1:10" ht="13.5" thickBot="1">
      <c r="A10" s="2813"/>
      <c r="B10" s="342" t="s">
        <v>1562</v>
      </c>
      <c r="C10" s="2827"/>
      <c r="D10" s="2828"/>
      <c r="E10" s="2014" t="s">
        <v>1563</v>
      </c>
      <c r="F10" s="1010" t="s">
        <v>352</v>
      </c>
      <c r="G10" s="1011"/>
    </row>
    <row r="11" spans="1:10" ht="13.5" thickBot="1">
      <c r="A11" s="2813"/>
      <c r="B11" s="2015" t="s">
        <v>1564</v>
      </c>
      <c r="C11" s="2829"/>
      <c r="D11" s="2830"/>
      <c r="E11" s="1019"/>
      <c r="F11" s="1018"/>
      <c r="G11" s="1071"/>
    </row>
    <row r="12" spans="1:10" ht="24.75" thickBot="1">
      <c r="A12" s="2816" t="s">
        <v>1565</v>
      </c>
      <c r="B12" s="2016" t="s">
        <v>1566</v>
      </c>
      <c r="C12" s="1013">
        <v>87.21</v>
      </c>
      <c r="D12" s="2016" t="s">
        <v>1567</v>
      </c>
      <c r="E12" s="2017" t="s">
        <v>1568</v>
      </c>
      <c r="F12" s="2018" t="s">
        <v>1569</v>
      </c>
      <c r="G12" s="1071"/>
    </row>
    <row r="13" spans="1:10" ht="21" customHeight="1" thickBot="1">
      <c r="A13" s="2817"/>
      <c r="B13" s="2019" t="s">
        <v>1570</v>
      </c>
      <c r="C13" s="1014"/>
      <c r="D13" s="2019" t="s">
        <v>1571</v>
      </c>
      <c r="E13" s="2020" t="s">
        <v>1568</v>
      </c>
      <c r="F13" s="1018"/>
      <c r="G13" s="1071"/>
      <c r="I13" s="2803"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803"/>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c r="D15" s="1064"/>
      <c r="E15" s="1064"/>
      <c r="F15" s="1064"/>
      <c r="G15" s="1675"/>
      <c r="I15" s="2803"/>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831" t="s">
        <v>1579</v>
      </c>
      <c r="C17" s="2832"/>
      <c r="D17" s="2833" t="s">
        <v>1580</v>
      </c>
      <c r="E17" s="2834"/>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819" t="s">
        <v>1596</v>
      </c>
      <c r="D27" s="2820"/>
      <c r="E27" s="1001"/>
      <c r="F27" s="1008" t="s">
        <v>1596</v>
      </c>
      <c r="G27" s="1001"/>
      <c r="I27" s="1068"/>
      <c r="K27" s="1068"/>
    </row>
    <row r="28" spans="1:15">
      <c r="A28" s="1005" t="s">
        <v>1597</v>
      </c>
      <c r="B28" s="976"/>
      <c r="C28" s="2821" t="s">
        <v>1598</v>
      </c>
      <c r="D28" s="2822"/>
      <c r="E28" s="976"/>
      <c r="F28" s="1884" t="s">
        <v>1598</v>
      </c>
      <c r="G28" s="976"/>
      <c r="I28" s="1068"/>
      <c r="K28" s="1068"/>
    </row>
    <row r="29" spans="1:15">
      <c r="A29" s="1005" t="s">
        <v>1599</v>
      </c>
      <c r="B29" s="976"/>
      <c r="C29" s="2821" t="s">
        <v>1599</v>
      </c>
      <c r="D29" s="2822"/>
      <c r="E29" s="976"/>
      <c r="F29" s="1884" t="s">
        <v>1600</v>
      </c>
      <c r="G29" s="976"/>
      <c r="I29" s="1068"/>
      <c r="K29" s="1068"/>
    </row>
    <row r="30" spans="1:15">
      <c r="A30" s="1005" t="s">
        <v>1601</v>
      </c>
      <c r="B30" s="976"/>
      <c r="C30" s="2810" t="s">
        <v>1602</v>
      </c>
      <c r="D30" s="2058"/>
      <c r="E30" s="1020" t="str">
        <f>E31&amp;" "&amp;E32&amp;" "&amp;E33&amp;" "&amp;E34</f>
        <v xml:space="preserve">   </v>
      </c>
      <c r="F30" s="1884" t="s">
        <v>1603</v>
      </c>
      <c r="G30" s="976"/>
    </row>
    <row r="31" spans="1:15">
      <c r="A31" s="1005" t="s">
        <v>1604</v>
      </c>
      <c r="B31" s="976"/>
      <c r="C31" s="2811"/>
      <c r="D31" s="1883" t="s">
        <v>1605</v>
      </c>
      <c r="E31" s="976"/>
      <c r="F31" s="1884" t="s">
        <v>1606</v>
      </c>
      <c r="G31" s="976"/>
    </row>
    <row r="32" spans="1:15" ht="24.75" thickBot="1">
      <c r="A32" s="1006" t="s">
        <v>1607</v>
      </c>
      <c r="B32" s="1002"/>
      <c r="C32" s="2811"/>
      <c r="D32" s="1883" t="s">
        <v>1608</v>
      </c>
      <c r="E32" s="976"/>
      <c r="F32" s="1884" t="s">
        <v>1609</v>
      </c>
      <c r="G32" s="976"/>
    </row>
    <row r="33" spans="1:7">
      <c r="A33" s="1004" t="s">
        <v>1610</v>
      </c>
      <c r="B33" s="1001"/>
      <c r="C33" s="2811"/>
      <c r="D33" s="1883" t="s">
        <v>1611</v>
      </c>
      <c r="E33" s="976"/>
      <c r="F33" s="1884" t="s">
        <v>1612</v>
      </c>
      <c r="G33" s="976"/>
    </row>
    <row r="34" spans="1:7" ht="13.5" thickBot="1">
      <c r="A34" s="1005" t="s">
        <v>1613</v>
      </c>
      <c r="B34" s="976"/>
      <c r="C34" s="2812"/>
      <c r="D34" s="1883" t="s">
        <v>1614</v>
      </c>
      <c r="E34" s="976"/>
      <c r="F34" s="1885" t="s">
        <v>1615</v>
      </c>
      <c r="G34" s="1003"/>
    </row>
    <row r="35" spans="1:7">
      <c r="A35" s="1005" t="s">
        <v>1566</v>
      </c>
      <c r="B35" s="976"/>
      <c r="C35" s="2821" t="s">
        <v>1616</v>
      </c>
      <c r="D35" s="2822"/>
      <c r="E35" s="976"/>
      <c r="F35" s="1016" t="s">
        <v>1617</v>
      </c>
      <c r="G35" s="1001"/>
    </row>
    <row r="36" spans="1:7" ht="13.5" thickBot="1">
      <c r="A36" s="1005" t="s">
        <v>1618</v>
      </c>
      <c r="B36" s="976"/>
      <c r="C36" s="2823" t="s">
        <v>1619</v>
      </c>
      <c r="D36" s="2824"/>
      <c r="E36" s="1002"/>
      <c r="F36" s="1881" t="s">
        <v>1620</v>
      </c>
      <c r="G36" s="976"/>
    </row>
    <row r="37" spans="1:7" ht="13.5" thickBot="1">
      <c r="A37" s="1005" t="s">
        <v>1621</v>
      </c>
      <c r="B37" s="976"/>
      <c r="C37" s="2808" t="s">
        <v>1622</v>
      </c>
      <c r="D37" s="2059" t="s">
        <v>1606</v>
      </c>
      <c r="E37" s="1001"/>
      <c r="F37" s="1885" t="s">
        <v>1623</v>
      </c>
      <c r="G37" s="1002"/>
    </row>
    <row r="38" spans="1:7">
      <c r="A38" s="1005" t="s">
        <v>1624</v>
      </c>
      <c r="B38" s="976"/>
      <c r="C38" s="2814"/>
      <c r="D38" s="1883" t="s">
        <v>1613</v>
      </c>
      <c r="E38" s="976"/>
      <c r="F38" s="1008" t="s">
        <v>1625</v>
      </c>
      <c r="G38" s="1001"/>
    </row>
    <row r="39" spans="1:7">
      <c r="A39" s="1005" t="s">
        <v>1626</v>
      </c>
      <c r="B39" s="976"/>
      <c r="C39" s="2814" t="s">
        <v>1627</v>
      </c>
      <c r="D39" s="1883" t="s">
        <v>1566</v>
      </c>
      <c r="E39" s="976"/>
      <c r="F39" s="1884" t="s">
        <v>1628</v>
      </c>
      <c r="G39" s="976"/>
    </row>
    <row r="40" spans="1:7" ht="24.75" customHeight="1" thickBot="1">
      <c r="A40" s="1006" t="s">
        <v>1629</v>
      </c>
      <c r="B40" s="1002"/>
      <c r="C40" s="2815"/>
      <c r="D40" s="1886" t="s">
        <v>1570</v>
      </c>
      <c r="E40" s="1002"/>
      <c r="F40" s="1885" t="s">
        <v>1630</v>
      </c>
      <c r="G40" s="1002"/>
    </row>
    <row r="41" spans="1:7">
      <c r="A41" s="1007" t="s">
        <v>1631</v>
      </c>
      <c r="B41" s="1057"/>
      <c r="C41" s="2804" t="s">
        <v>1631</v>
      </c>
      <c r="D41" s="2805"/>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806" t="s">
        <v>1634</v>
      </c>
      <c r="D48" s="2807"/>
      <c r="E48" s="1052"/>
      <c r="F48" s="1885" t="s">
        <v>1635</v>
      </c>
      <c r="G48" s="1002"/>
    </row>
    <row r="49" spans="1:15">
      <c r="A49" s="1005" t="s">
        <v>1636</v>
      </c>
      <c r="B49" s="1051"/>
      <c r="C49" s="2808" t="s">
        <v>1637</v>
      </c>
      <c r="D49" s="2809"/>
      <c r="E49" s="1053"/>
      <c r="F49" s="1081"/>
      <c r="G49" s="1082"/>
    </row>
    <row r="50" spans="1:15" ht="13.5" thickBot="1">
      <c r="A50" s="1005" t="s">
        <v>1638</v>
      </c>
      <c r="B50" s="1051"/>
      <c r="C50" s="2815" t="s">
        <v>1639</v>
      </c>
      <c r="D50" s="2818"/>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43328</v>
      </c>
      <c r="C2" s="1845"/>
      <c r="D2" s="2837"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2824</v>
      </c>
      <c r="C3" s="1845"/>
      <c r="D3" s="2838"/>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2825</v>
      </c>
      <c r="C4" s="1845"/>
      <c r="D4" s="2838"/>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87.21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2826</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70</v>
      </c>
      <c r="C11" s="1845"/>
      <c r="D11" s="2079" t="s">
        <v>1656</v>
      </c>
      <c r="E11" s="34">
        <v>160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v>65661</v>
      </c>
      <c r="C12" s="1845"/>
      <c r="D12" s="2084" t="s">
        <v>1659</v>
      </c>
      <c r="E12" s="37"/>
      <c r="F12" s="1838"/>
      <c r="G12" s="1845"/>
      <c r="H12" s="2839" t="s">
        <v>2828</v>
      </c>
      <c r="I12" s="2840"/>
      <c r="J12" s="2723"/>
      <c r="K12" s="2724"/>
      <c r="L12" s="2724"/>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24.75" thickBot="1">
      <c r="A13" s="2085" t="s">
        <v>1660</v>
      </c>
      <c r="B13" s="988">
        <f>IF(B12="",B11-(YEAR($B$2)-B26+B23),ROUNDDOWN(MIN((B12-$B$2)/365,B11),2))</f>
        <v>61.18</v>
      </c>
      <c r="C13" s="2086"/>
      <c r="D13" s="2087" t="s">
        <v>1661</v>
      </c>
      <c r="E13" s="39"/>
      <c r="F13" s="1839" t="s">
        <v>1662</v>
      </c>
      <c r="G13" s="1845"/>
      <c r="H13" s="2725" t="s">
        <v>2829</v>
      </c>
      <c r="I13" s="2726">
        <v>0</v>
      </c>
      <c r="J13" s="2723"/>
      <c r="K13" s="2727"/>
      <c r="L13" s="2727"/>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0.95699999999999996</v>
      </c>
      <c r="C14" s="1845"/>
      <c r="D14" s="2088" t="s">
        <v>1664</v>
      </c>
      <c r="E14" s="707">
        <v>200</v>
      </c>
      <c r="F14" s="1838"/>
      <c r="G14" s="1845"/>
      <c r="H14" s="2725" t="s">
        <v>2830</v>
      </c>
      <c r="I14" s="2728" t="s">
        <v>2846</v>
      </c>
      <c r="J14" s="2723"/>
      <c r="K14" s="2727"/>
      <c r="L14" s="2729"/>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0.03</v>
      </c>
      <c r="C15" s="1845"/>
      <c r="D15" s="2084" t="s">
        <v>1666</v>
      </c>
      <c r="E15" s="38">
        <f>E14-E16</f>
        <v>200</v>
      </c>
      <c r="F15" s="1840"/>
      <c r="G15" s="1845"/>
      <c r="H15" s="2725" t="s">
        <v>2831</v>
      </c>
      <c r="I15" s="2728" t="s">
        <v>2832</v>
      </c>
      <c r="J15" s="2723"/>
      <c r="K15" s="2727"/>
      <c r="L15" s="2727"/>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15" thickBot="1">
      <c r="A16" s="2082" t="s">
        <v>1667</v>
      </c>
      <c r="B16" s="30">
        <v>0.04</v>
      </c>
      <c r="C16" s="1845"/>
      <c r="D16" s="2089" t="s">
        <v>1668</v>
      </c>
      <c r="E16" s="708">
        <v>0</v>
      </c>
      <c r="F16" s="1841"/>
      <c r="G16" s="1845"/>
      <c r="H16" s="2725" t="s">
        <v>2833</v>
      </c>
      <c r="I16" s="2730">
        <f>ROUND(1-(1-I13)*I14/I15,2)</f>
        <v>0.88</v>
      </c>
      <c r="J16" s="2723"/>
      <c r="K16" s="2727"/>
      <c r="L16" s="2727"/>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f>2220+500</f>
        <v>2720</v>
      </c>
      <c r="F17" s="1234"/>
      <c r="G17" s="1845"/>
      <c r="H17" s="2731" t="s">
        <v>2834</v>
      </c>
      <c r="I17" s="2732">
        <v>0.3</v>
      </c>
      <c r="J17" s="2723"/>
      <c r="K17" s="2727"/>
      <c r="L17" s="2727"/>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237211</v>
      </c>
      <c r="F18" s="1317">
        <f>ROUND(E5*E17*IF(B25=0,1,E20),0)</f>
        <v>0</v>
      </c>
      <c r="G18" s="1845"/>
      <c r="H18" s="2841" t="s">
        <v>2835</v>
      </c>
      <c r="I18" s="2842"/>
      <c r="J18" s="2842"/>
      <c r="K18" s="2842"/>
      <c r="L18" s="2843"/>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733" t="s">
        <v>2836</v>
      </c>
      <c r="I19" s="2734" t="s">
        <v>2837</v>
      </c>
      <c r="J19" s="2734" t="s">
        <v>2838</v>
      </c>
      <c r="K19" s="2734" t="s">
        <v>2839</v>
      </c>
      <c r="L19" s="2734" t="s">
        <v>2840</v>
      </c>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v>0.89</v>
      </c>
      <c r="F20" s="1234"/>
      <c r="G20" s="1845"/>
      <c r="H20" s="2733" t="s">
        <v>2841</v>
      </c>
      <c r="I20" s="2734">
        <v>100</v>
      </c>
      <c r="J20" s="2734" t="s">
        <v>2842</v>
      </c>
      <c r="K20" s="2734">
        <v>90</v>
      </c>
      <c r="L20" s="2735">
        <v>0.3</v>
      </c>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0.03</v>
      </c>
      <c r="F21" s="1842" t="s">
        <v>1675</v>
      </c>
      <c r="G21" s="1845"/>
      <c r="H21" s="2733" t="s">
        <v>2843</v>
      </c>
      <c r="I21" s="2734">
        <v>100</v>
      </c>
      <c r="J21" s="2734" t="s">
        <v>2842</v>
      </c>
      <c r="K21" s="2734">
        <f>K20</f>
        <v>90</v>
      </c>
      <c r="L21" s="2735">
        <v>0.5</v>
      </c>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33" t="s">
        <v>2844</v>
      </c>
      <c r="I22" s="2734">
        <v>100</v>
      </c>
      <c r="J22" s="2734" t="s">
        <v>2845</v>
      </c>
      <c r="K22" s="2734">
        <f>K20</f>
        <v>90</v>
      </c>
      <c r="L22" s="2735">
        <f>1-L20-L21</f>
        <v>0.19999999999999996</v>
      </c>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36" t="s">
        <v>2834</v>
      </c>
      <c r="I23" s="2737">
        <f>1-I17</f>
        <v>0.7</v>
      </c>
      <c r="J23" s="2734" t="s">
        <v>2833</v>
      </c>
      <c r="K23" s="2738">
        <f>ROUND((K20*L20+K21*L21+K22*L22)/100,2)</f>
        <v>0.9</v>
      </c>
      <c r="L23" s="2739"/>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0.02</v>
      </c>
      <c r="F25" s="1842" t="s">
        <v>1687</v>
      </c>
      <c r="I25" s="1843"/>
      <c r="AE25" s="1234"/>
      <c r="AF25" s="1234"/>
      <c r="AG25" s="1234"/>
      <c r="AH25" s="1234"/>
      <c r="AI25" s="1234"/>
      <c r="AJ25" s="1234"/>
      <c r="AK25" s="1234"/>
      <c r="AL25" s="1234"/>
      <c r="AM25" s="1234"/>
      <c r="AN25" s="1234"/>
      <c r="AO25" s="1234"/>
    </row>
    <row r="26" spans="1:41" ht="15.75" thickBot="1">
      <c r="A26" s="2098" t="s">
        <v>1688</v>
      </c>
      <c r="B26" s="1091">
        <v>2011</v>
      </c>
      <c r="C26" s="1845"/>
      <c r="D26" s="2084" t="s">
        <v>1689</v>
      </c>
      <c r="E26" s="40">
        <v>0.01</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2827</v>
      </c>
      <c r="C28" s="1234"/>
      <c r="D28" s="2101" t="s">
        <v>1693</v>
      </c>
      <c r="E28" s="986">
        <v>0.2</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5000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3.5000000000000003E-2</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59.18</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844" t="s">
        <v>1735</v>
      </c>
      <c r="B1" s="2845"/>
      <c r="C1" s="2845"/>
      <c r="D1" s="2845"/>
      <c r="E1" s="2845"/>
      <c r="F1" s="2845"/>
      <c r="G1" s="2845"/>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c r="A3" s="393" t="s">
        <v>1738</v>
      </c>
      <c r="B3" s="2134" t="s">
        <v>1739</v>
      </c>
      <c r="C3" s="2742" t="s">
        <v>2854</v>
      </c>
      <c r="D3" s="2135"/>
      <c r="E3" s="409" t="s">
        <v>1738</v>
      </c>
      <c r="F3" s="2136" t="s">
        <v>1740</v>
      </c>
      <c r="G3" s="2137" t="s">
        <v>1741</v>
      </c>
      <c r="H3" s="2132"/>
      <c r="I3" s="2132"/>
      <c r="J3" s="2132"/>
      <c r="K3" s="2132"/>
      <c r="L3" s="2132"/>
      <c r="M3" s="2132"/>
      <c r="N3" s="2132"/>
      <c r="O3" s="2132"/>
      <c r="P3" s="2132"/>
      <c r="Q3" s="2132"/>
      <c r="R3" s="2132"/>
    </row>
    <row r="4" spans="1:29" ht="41.25">
      <c r="A4" s="409"/>
      <c r="B4" s="1877" t="s">
        <v>1742</v>
      </c>
      <c r="C4" s="2138" t="s">
        <v>1743</v>
      </c>
      <c r="D4" s="2135"/>
      <c r="E4" s="2139"/>
      <c r="F4" s="2140" t="s">
        <v>1744</v>
      </c>
      <c r="G4" s="2141" t="s">
        <v>1745</v>
      </c>
      <c r="H4" s="2132"/>
      <c r="I4" s="2132"/>
      <c r="J4" s="2132"/>
      <c r="K4" s="2132"/>
      <c r="L4" s="2132"/>
      <c r="M4" s="2132"/>
      <c r="N4" s="2132"/>
      <c r="O4" s="2132"/>
      <c r="P4" s="2132"/>
      <c r="Q4" s="2132"/>
      <c r="R4" s="2132"/>
    </row>
    <row r="5" spans="1:29" ht="41.25">
      <c r="A5" s="409"/>
      <c r="B5" s="1877" t="s">
        <v>1746</v>
      </c>
      <c r="C5" s="2138" t="s">
        <v>1747</v>
      </c>
      <c r="D5" s="2135"/>
      <c r="E5" s="2139"/>
      <c r="F5" s="1877" t="s">
        <v>1748</v>
      </c>
      <c r="G5" s="2141" t="s">
        <v>1749</v>
      </c>
      <c r="H5" s="2132"/>
      <c r="I5" s="2132"/>
      <c r="J5" s="2132"/>
      <c r="K5" s="2132"/>
      <c r="L5" s="2132"/>
      <c r="M5" s="2132"/>
      <c r="N5" s="2132"/>
      <c r="O5" s="2132"/>
      <c r="P5" s="2132"/>
      <c r="Q5" s="2132"/>
      <c r="R5" s="2132"/>
    </row>
    <row r="6" spans="1:29" ht="81">
      <c r="A6" s="409"/>
      <c r="B6" s="1877" t="s">
        <v>1750</v>
      </c>
      <c r="C6" s="2743" t="s">
        <v>2855</v>
      </c>
      <c r="D6" s="2135"/>
      <c r="E6" s="2139"/>
      <c r="F6" s="1877" t="s">
        <v>1751</v>
      </c>
      <c r="G6" s="2141" t="s">
        <v>1752</v>
      </c>
      <c r="H6" s="2132"/>
      <c r="I6" s="2132"/>
      <c r="J6" s="2132"/>
      <c r="K6" s="2132"/>
      <c r="L6" s="2132"/>
      <c r="M6" s="2132"/>
      <c r="N6" s="2132"/>
      <c r="O6" s="2132"/>
      <c r="P6" s="2132"/>
      <c r="Q6" s="2132"/>
      <c r="R6" s="2132"/>
    </row>
    <row r="7" spans="1:29" ht="41.25" thickBot="1">
      <c r="A7" s="409"/>
      <c r="B7" s="1877" t="s">
        <v>1748</v>
      </c>
      <c r="C7" s="2743" t="s">
        <v>2856</v>
      </c>
      <c r="D7" s="2142"/>
      <c r="E7" s="2143"/>
      <c r="F7" s="2144" t="s">
        <v>1753</v>
      </c>
      <c r="G7" s="2145" t="s">
        <v>1754</v>
      </c>
      <c r="H7" s="2132"/>
      <c r="I7" s="2132"/>
      <c r="J7" s="2132"/>
      <c r="K7" s="2132"/>
      <c r="L7" s="2132"/>
      <c r="M7" s="2132"/>
      <c r="N7" s="2132"/>
      <c r="O7" s="2132"/>
      <c r="P7" s="2132"/>
      <c r="Q7" s="2132"/>
      <c r="R7" s="2132"/>
    </row>
    <row r="8" spans="1:29" ht="15">
      <c r="A8" s="409"/>
      <c r="B8" s="1877" t="s">
        <v>1751</v>
      </c>
      <c r="C8" s="2743" t="s">
        <v>2858</v>
      </c>
      <c r="D8" s="2142"/>
      <c r="E8" s="2142"/>
      <c r="F8" s="1243"/>
      <c r="G8" s="1243"/>
      <c r="H8" s="2132"/>
      <c r="I8" s="2132"/>
      <c r="J8" s="2132"/>
      <c r="K8" s="2132"/>
      <c r="L8" s="2132"/>
      <c r="M8" s="2132"/>
      <c r="N8" s="2132"/>
      <c r="O8" s="2132"/>
      <c r="P8" s="2132"/>
      <c r="Q8" s="2132"/>
      <c r="R8" s="2132"/>
    </row>
    <row r="9" spans="1:29" ht="54">
      <c r="A9" s="409"/>
      <c r="B9" s="1877" t="s">
        <v>1755</v>
      </c>
      <c r="C9" s="2744" t="s">
        <v>2859</v>
      </c>
      <c r="D9" s="2135"/>
      <c r="E9" s="2142"/>
      <c r="F9" s="1243"/>
      <c r="G9" s="1243"/>
      <c r="H9" s="2132"/>
      <c r="I9" s="2132"/>
      <c r="J9" s="2132"/>
      <c r="K9" s="2132"/>
      <c r="L9" s="2132"/>
      <c r="M9" s="2132"/>
      <c r="N9" s="2132"/>
      <c r="O9" s="2132"/>
      <c r="P9" s="2132"/>
      <c r="Q9" s="2132"/>
      <c r="R9" s="2132"/>
    </row>
    <row r="10" spans="1:29" s="35" customFormat="1" ht="15.75" thickBot="1">
      <c r="A10" s="2146"/>
      <c r="B10" s="2147" t="s">
        <v>1756</v>
      </c>
      <c r="C10" s="2745" t="s">
        <v>2860</v>
      </c>
      <c r="D10" s="2135"/>
      <c r="E10" s="2135"/>
      <c r="F10" s="1243"/>
      <c r="G10" s="1243"/>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3"/>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3"/>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1757</v>
      </c>
      <c r="B13" s="2152"/>
      <c r="C13" s="2152"/>
      <c r="D13" s="2129"/>
      <c r="E13" s="2152"/>
      <c r="F13" s="2152"/>
      <c r="G13" s="2152"/>
    </row>
    <row r="14" spans="1:29" ht="15.75" thickBot="1">
      <c r="A14" s="2162"/>
      <c r="B14" s="2163"/>
      <c r="C14" s="2164" t="s">
        <v>1758</v>
      </c>
      <c r="D14" s="2135"/>
      <c r="E14" s="2165"/>
      <c r="F14" s="2165"/>
      <c r="G14" s="2128" t="s">
        <v>1759</v>
      </c>
    </row>
    <row r="15" spans="1:29" ht="57">
      <c r="A15" s="25" t="s">
        <v>1760</v>
      </c>
      <c r="B15" s="2166" t="s">
        <v>1739</v>
      </c>
      <c r="C15" s="2167" t="str">
        <f>C3</f>
        <v>估价对象周边有泓鑫家园、富北嘉园、金泽家园、金泰丽富嘉园等，综合评价居住社区成熟度较好</v>
      </c>
      <c r="D15" s="2135"/>
      <c r="E15" s="2168" t="s">
        <v>1761</v>
      </c>
      <c r="F15" s="2166" t="s">
        <v>1762</v>
      </c>
      <c r="G15" s="51" t="str">
        <f>G3</f>
        <v>估价对象位于XX开发区，园区建设成熟度XX，产业集聚程度XX</v>
      </c>
    </row>
    <row r="16" spans="1:29" ht="42.75">
      <c r="A16" s="627"/>
      <c r="B16" s="1484" t="s">
        <v>1742</v>
      </c>
      <c r="C16" s="2169" t="str">
        <f>C4</f>
        <v>估价对象位于XX商圈，周边商业氛围成熟，人流量大，商业繁华度好</v>
      </c>
      <c r="D16" s="2135"/>
      <c r="E16" s="2170"/>
      <c r="F16" s="2171" t="s">
        <v>1744</v>
      </c>
      <c r="G16" s="52" t="str">
        <f>G4</f>
        <v>估价对象周边道路状况、公共交通通达情况、停车便捷程度，综合评价交通便捷度较好</v>
      </c>
    </row>
    <row r="17" spans="1:18" ht="42.75">
      <c r="A17" s="627"/>
      <c r="B17" s="1484" t="s">
        <v>1746</v>
      </c>
      <c r="C17" s="2169" t="str">
        <f>C5</f>
        <v>估价对象位于XX商圈，周边办公楼项目较多，入驻率高，办公集聚程度较好</v>
      </c>
      <c r="D17" s="2142"/>
      <c r="E17" s="2170"/>
      <c r="F17" s="2171" t="s">
        <v>1763</v>
      </c>
      <c r="G17" s="2172"/>
    </row>
    <row r="18" spans="1:18" ht="85.5">
      <c r="A18" s="627"/>
      <c r="B18" s="2171" t="s">
        <v>1750</v>
      </c>
      <c r="C18" s="52" t="str">
        <f>C6</f>
        <v>估价对象周边有350路、553路、571路、619路、640路、650路等多条公交线路，距最近的地铁站6号线（褡裢站）约3500米，综合评价交通便捷度一般</v>
      </c>
      <c r="D18" s="2142"/>
      <c r="E18" s="2170"/>
      <c r="F18" s="2171" t="s">
        <v>1753</v>
      </c>
      <c r="G18" s="52" t="str">
        <f>G7</f>
        <v>该园区内是否有污染型企业，绿化情况，卫生条件，整体环境状况判断</v>
      </c>
    </row>
    <row r="19" spans="1:18" ht="28.5">
      <c r="A19" s="627"/>
      <c r="B19" s="2171" t="s">
        <v>1764</v>
      </c>
      <c r="C19" s="2172"/>
      <c r="D19" s="2135"/>
      <c r="E19" s="2170"/>
      <c r="F19" s="1877" t="s">
        <v>1748</v>
      </c>
      <c r="G19" s="52" t="str">
        <f>G5</f>
        <v>估价对象所在区域公共配套设施齐备情况</v>
      </c>
    </row>
    <row r="20" spans="1:18" ht="57">
      <c r="A20" s="627"/>
      <c r="B20" s="2171" t="s">
        <v>1765</v>
      </c>
      <c r="C20" s="2169" t="str">
        <f>C9</f>
        <v>区域自然环境：东坝郊野公园；人文环境：京城体育休闲公园、北京市东郊殡仪馆；综合评价环境状况一般</v>
      </c>
      <c r="D20" s="2142"/>
      <c r="E20" s="2170"/>
      <c r="F20" s="1877" t="s">
        <v>1766</v>
      </c>
      <c r="G20" s="52" t="str">
        <f>G6</f>
        <v>估价对象所在区域基础设施水平</v>
      </c>
    </row>
    <row r="21" spans="1:18" ht="28.5">
      <c r="A21" s="627"/>
      <c r="B21" s="1877" t="s">
        <v>1748</v>
      </c>
      <c r="C21" s="52" t="str">
        <f>C7</f>
        <v>估价对象所在区域公共配套设施齐备情况较好</v>
      </c>
      <c r="D21" s="2135"/>
      <c r="E21" s="2170"/>
      <c r="F21" s="2171" t="s">
        <v>1767</v>
      </c>
      <c r="G21" s="2173"/>
    </row>
    <row r="22" spans="1:18" ht="15">
      <c r="A22" s="627"/>
      <c r="B22" s="1877" t="s">
        <v>1751</v>
      </c>
      <c r="C22" s="52" t="str">
        <f>C8</f>
        <v>七通</v>
      </c>
      <c r="D22" s="2135"/>
      <c r="E22" s="2170"/>
      <c r="F22" s="2171" t="s">
        <v>1756</v>
      </c>
      <c r="G22" s="2174"/>
    </row>
    <row r="23" spans="1:18" s="2132" customFormat="1" ht="15.75" thickBot="1">
      <c r="A23" s="627"/>
      <c r="B23" s="2171" t="s">
        <v>1767</v>
      </c>
      <c r="C23" s="2173"/>
      <c r="D23" s="2159"/>
      <c r="E23" s="2175"/>
      <c r="F23" s="2176" t="s">
        <v>1768</v>
      </c>
      <c r="G23" s="2177"/>
      <c r="H23" s="2159"/>
      <c r="I23" s="2160"/>
      <c r="J23" s="2159"/>
      <c r="K23" s="2159"/>
      <c r="L23" s="2160"/>
      <c r="M23" s="2159"/>
      <c r="N23" s="2159"/>
      <c r="O23" s="2160"/>
      <c r="P23" s="2159"/>
      <c r="Q23" s="2159"/>
      <c r="R23" s="2161"/>
    </row>
    <row r="24" spans="1:18" s="2132" customFormat="1" ht="15.75" thickBot="1">
      <c r="A24" s="2178"/>
      <c r="B24" s="2176" t="s">
        <v>1769</v>
      </c>
      <c r="C24" s="53" t="str">
        <f>C10</f>
        <v>城市支路——市政道路</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D15" sqref="D15"/>
    </sheetView>
  </sheetViews>
  <sheetFormatPr defaultColWidth="14.625" defaultRowHeight="13.5"/>
  <cols>
    <col min="1" max="1" width="24.375" customWidth="1"/>
  </cols>
  <sheetData>
    <row r="1" spans="1:9" ht="16.5">
      <c r="A1" s="1820" t="s">
        <v>1225</v>
      </c>
      <c r="B1" s="1820">
        <f>SUM(B14:B23)</f>
        <v>87.21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43328</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C5*B14/10000</f>
        <v>272.98474199999998</v>
      </c>
      <c r="C5" s="1820">
        <f ca="1">E14</f>
        <v>31302</v>
      </c>
      <c r="D5" s="1820" t="e">
        <f ca="1">ROUND(B5*10000/$B$2,0)</f>
        <v>#DIV/0!</v>
      </c>
      <c r="E5" s="1821"/>
      <c r="F5" s="1825"/>
      <c r="G5" s="1825"/>
    </row>
    <row r="6" spans="1:9" ht="16.5">
      <c r="A6" s="1820" t="s">
        <v>1233</v>
      </c>
      <c r="B6" s="1820">
        <f ca="1">SUM(G14:G23)</f>
        <v>385.23270000000002</v>
      </c>
      <c r="C6" s="1820">
        <f t="shared" ref="C6:C8" ca="1" si="0">ROUND(B6*10000/$B$1,0)</f>
        <v>44173</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2888</v>
      </c>
      <c r="B14" s="1824">
        <f>项目基本情况!C12</f>
        <v>87.21</v>
      </c>
      <c r="C14" s="1824">
        <f>项目基本情况!C13</f>
        <v>0</v>
      </c>
      <c r="D14" s="1824">
        <f ca="1">ROUND(E14*B14/10000,4)</f>
        <v>272.98469999999998</v>
      </c>
      <c r="E14" s="1824">
        <f ca="1">结果表!G20-结果表!C28</f>
        <v>31302</v>
      </c>
      <c r="F14" s="1824" t="e">
        <f ca="1">ROUND(D14*10000/C14,0)</f>
        <v>#DIV/0!</v>
      </c>
      <c r="G14" s="1824">
        <f ca="1">IF('数据-取费表'!B3="万元",IF(A14="估价对象1（结果表）",结果表!D125,'结果表 (1修多)'!D128),IF(A14="估价对象1（结果表）",结果表!D125,'结果表 (1修多)'!D128)/10000)</f>
        <v>385.23270000000002</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 zoomScaleNormal="100" zoomScaleSheetLayoutView="100" zoomScalePageLayoutView="80" workbookViewId="0">
      <selection activeCell="G29" sqref="G29"/>
    </sheetView>
  </sheetViews>
  <sheetFormatPr defaultColWidth="12.625" defaultRowHeight="21.75" customHeight="1"/>
  <cols>
    <col min="1" max="2" width="12.625" style="2186"/>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1770</v>
      </c>
      <c r="B1" s="2185"/>
      <c r="C1" s="2185"/>
      <c r="D1" s="2185"/>
      <c r="E1" s="2185"/>
      <c r="F1" s="2185"/>
      <c r="G1" s="2185"/>
      <c r="H1" s="2185"/>
      <c r="I1" s="2185"/>
    </row>
    <row r="2" spans="1:12" ht="21.75" customHeight="1">
      <c r="A2" s="2910" t="str">
        <f>项目基本情况!B1</f>
        <v>北京市房地产市场价值预评估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87" t="s">
        <v>1772</v>
      </c>
      <c r="B4" s="2188" t="s">
        <v>1773</v>
      </c>
      <c r="C4" s="2189" t="s">
        <v>2889</v>
      </c>
      <c r="D4" s="2189" t="s">
        <v>2890</v>
      </c>
      <c r="E4" s="2894" t="s">
        <v>1774</v>
      </c>
      <c r="F4" s="2895"/>
      <c r="G4" s="2895"/>
      <c r="H4" s="2895"/>
      <c r="I4" s="2905"/>
      <c r="K4" s="1835" t="str">
        <f>IF(ISNUMBER(FIND("比较法",结果表!C4)),"比较法",IF(ISNUMBER(FIND("成本法",结果表!C4)),"成本法",IF(ISNUMBER(FIND("假设开发法",结果表!C4)),"假设开发法",IF(ISNUMBER(FIND("收益法",结果表!C4)),"收益法","基准地价系数修正法"))))</f>
        <v>比较法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v>
      </c>
      <c r="D5" s="2912">
        <v>2</v>
      </c>
      <c r="E5" s="56" t="s">
        <v>1776</v>
      </c>
      <c r="F5" s="2190"/>
      <c r="G5" s="2190"/>
      <c r="H5" s="2190"/>
      <c r="I5" s="2191"/>
    </row>
    <row r="6" spans="1:12" ht="12.75">
      <c r="A6" s="2887"/>
      <c r="B6" s="2849"/>
      <c r="C6" s="2915"/>
      <c r="D6" s="2912"/>
      <c r="E6" s="56" t="s">
        <v>1777</v>
      </c>
      <c r="F6" s="2190"/>
      <c r="G6" s="2190"/>
      <c r="H6" s="2190"/>
      <c r="I6" s="2191"/>
    </row>
    <row r="7" spans="1:12" ht="12.75">
      <c r="A7" s="2887"/>
      <c r="B7" s="2849"/>
      <c r="C7" s="2899"/>
      <c r="D7" s="2912"/>
      <c r="E7" s="56" t="s">
        <v>1778</v>
      </c>
      <c r="F7" s="2190"/>
      <c r="G7" s="2190"/>
      <c r="H7" s="2190"/>
      <c r="I7" s="2191"/>
    </row>
    <row r="8" spans="1:12" ht="12.75">
      <c r="A8" s="2887" t="s">
        <v>1779</v>
      </c>
      <c r="B8" s="2849">
        <v>15</v>
      </c>
      <c r="C8" s="2898"/>
      <c r="D8" s="2912"/>
      <c r="E8" s="56" t="s">
        <v>1780</v>
      </c>
      <c r="F8" s="2190"/>
      <c r="G8" s="2190"/>
      <c r="H8" s="2190"/>
      <c r="I8" s="2191"/>
    </row>
    <row r="9" spans="1:12" ht="12.75">
      <c r="A9" s="2887"/>
      <c r="B9" s="2849"/>
      <c r="C9" s="2899"/>
      <c r="D9" s="2912"/>
      <c r="E9" s="56" t="s">
        <v>1781</v>
      </c>
      <c r="F9" s="2190"/>
      <c r="G9" s="2190"/>
      <c r="H9" s="2190"/>
      <c r="I9" s="2191"/>
    </row>
    <row r="10" spans="1:12" ht="12.75">
      <c r="A10" s="2887" t="s">
        <v>1782</v>
      </c>
      <c r="B10" s="2849">
        <v>15</v>
      </c>
      <c r="C10" s="2898"/>
      <c r="D10" s="2912"/>
      <c r="E10" s="56" t="s">
        <v>1783</v>
      </c>
      <c r="F10" s="2190"/>
      <c r="G10" s="2190"/>
      <c r="H10" s="2190"/>
      <c r="I10" s="2191"/>
    </row>
    <row r="11" spans="1:12" ht="12.75">
      <c r="A11" s="2887"/>
      <c r="B11" s="2849"/>
      <c r="C11" s="2899"/>
      <c r="D11" s="2912"/>
      <c r="E11" s="56" t="s">
        <v>1784</v>
      </c>
      <c r="F11" s="2190"/>
      <c r="G11" s="2190"/>
      <c r="H11" s="2190"/>
      <c r="I11" s="2191"/>
    </row>
    <row r="12" spans="1:12" ht="12.75">
      <c r="A12" s="2887" t="s">
        <v>1785</v>
      </c>
      <c r="B12" s="2849">
        <v>15</v>
      </c>
      <c r="C12" s="2898"/>
      <c r="D12" s="2912"/>
      <c r="E12" s="56" t="s">
        <v>1786</v>
      </c>
      <c r="F12" s="2190"/>
      <c r="G12" s="2190"/>
      <c r="H12" s="2190"/>
      <c r="I12" s="2191"/>
    </row>
    <row r="13" spans="1:12" ht="12.75">
      <c r="A13" s="2887"/>
      <c r="B13" s="2849"/>
      <c r="C13" s="2899"/>
      <c r="D13" s="2912"/>
      <c r="E13" s="56" t="s">
        <v>1787</v>
      </c>
      <c r="F13" s="2190"/>
      <c r="G13" s="2190"/>
      <c r="H13" s="2190"/>
      <c r="I13" s="2191"/>
    </row>
    <row r="14" spans="1:12" ht="12.75">
      <c r="A14" s="2887" t="s">
        <v>1788</v>
      </c>
      <c r="B14" s="2849">
        <v>30</v>
      </c>
      <c r="C14" s="2898"/>
      <c r="D14" s="2912"/>
      <c r="E14" s="56" t="s">
        <v>1789</v>
      </c>
      <c r="F14" s="2190"/>
      <c r="G14" s="2190"/>
      <c r="H14" s="2190"/>
      <c r="I14" s="2191"/>
    </row>
    <row r="15" spans="1:12" ht="12.75">
      <c r="A15" s="2887"/>
      <c r="B15" s="2849"/>
      <c r="C15" s="2915"/>
      <c r="D15" s="2912"/>
      <c r="E15" s="56" t="s">
        <v>1790</v>
      </c>
      <c r="F15" s="2190"/>
      <c r="G15" s="2190"/>
      <c r="H15" s="2190"/>
      <c r="I15" s="2191"/>
    </row>
    <row r="16" spans="1:12" ht="12.75">
      <c r="A16" s="2887"/>
      <c r="B16" s="2849"/>
      <c r="C16" s="2899"/>
      <c r="D16" s="2912"/>
      <c r="E16" s="56" t="s">
        <v>1791</v>
      </c>
      <c r="F16" s="2190"/>
      <c r="G16" s="2190"/>
      <c r="H16" s="2190"/>
      <c r="I16" s="2191"/>
    </row>
    <row r="17" spans="1:35" ht="15">
      <c r="A17" s="2192" t="s">
        <v>1792</v>
      </c>
      <c r="B17" s="2193"/>
      <c r="C17" s="57">
        <f>SUM(C5:C16)</f>
        <v>8</v>
      </c>
      <c r="D17" s="57">
        <f>SUM(D5:D16)</f>
        <v>2</v>
      </c>
      <c r="E17" s="2185"/>
      <c r="F17" s="2185"/>
      <c r="G17" s="2185"/>
      <c r="H17" s="2185"/>
      <c r="I17" s="2185"/>
    </row>
    <row r="18" spans="1:35" ht="15.75" thickBot="1">
      <c r="A18" s="2194" t="s">
        <v>1793</v>
      </c>
      <c r="B18" s="2195"/>
      <c r="C18" s="58">
        <f>ROUND(C17/SUM(C17:D17),2)</f>
        <v>0.8</v>
      </c>
      <c r="D18" s="58">
        <f>1-C18</f>
        <v>0.19999999999999996</v>
      </c>
      <c r="E18" s="2185"/>
      <c r="F18" s="2185"/>
      <c r="G18" s="2185"/>
      <c r="H18" s="2185"/>
      <c r="I18" s="2185"/>
    </row>
    <row r="19" spans="1:35" ht="15">
      <c r="A19" s="2196" t="s">
        <v>1794</v>
      </c>
      <c r="B19" s="2197" t="s">
        <v>1795</v>
      </c>
      <c r="C19" s="59">
        <f ca="1">SUMIF(INDIRECT("'"&amp;C4&amp;"'"&amp;"!A:A"),结果表!B19,INDIRECT("'"&amp;C4&amp;"'"&amp;"!B:B"))</f>
        <v>4209191</v>
      </c>
      <c r="D19" s="60">
        <f ca="1">SUMIF(INDIRECT("'"&amp;D4&amp;"'"&amp;"!A:A"),结果表!B19,INDIRECT("'"&amp;D4&amp;"'"&amp;"!B:B"))</f>
        <v>2424774</v>
      </c>
      <c r="E19" s="2196" t="s">
        <v>1796</v>
      </c>
      <c r="F19" s="2197" t="s">
        <v>1795</v>
      </c>
      <c r="G19" s="61">
        <f ca="1">ROUND(C19*$C$18+D19*$D$18,0)</f>
        <v>3852308</v>
      </c>
      <c r="H19" s="2198" t="str">
        <f>'数据-取费表'!B3</f>
        <v>元</v>
      </c>
      <c r="I19" s="2185"/>
    </row>
    <row r="20" spans="1:35" ht="15">
      <c r="A20" s="2199"/>
      <c r="B20" s="2200" t="s">
        <v>1797</v>
      </c>
      <c r="C20" s="62">
        <f ca="1">SUMIF(INDIRECT("'"&amp;C4&amp;"'"&amp;"!A:A"),结果表!B20,INDIRECT("'"&amp;C4&amp;"'"&amp;"!B:B"))</f>
        <v>48265</v>
      </c>
      <c r="D20" s="63">
        <f ca="1">SUMIF(INDIRECT("'"&amp;D4&amp;"'"&amp;"!A:A"),结果表!B20,INDIRECT("'"&amp;D4&amp;"'"&amp;"!B:B"))</f>
        <v>27804</v>
      </c>
      <c r="E20" s="2199"/>
      <c r="F20" s="2200" t="s">
        <v>1797</v>
      </c>
      <c r="G20" s="64">
        <f ca="1">ROUND(C20*$C$18+D20*$D$18,0)</f>
        <v>44173</v>
      </c>
      <c r="H20" s="2201" t="s">
        <v>1798</v>
      </c>
      <c r="I20" s="2185"/>
    </row>
    <row r="21" spans="1:35" ht="15" customHeight="1" thickBot="1">
      <c r="A21" s="2202"/>
      <c r="B21" s="2203"/>
      <c r="C21" s="768"/>
      <c r="D21" s="769"/>
      <c r="E21" s="2202"/>
      <c r="F21" s="2203"/>
      <c r="G21" s="65"/>
      <c r="H21" s="2204"/>
      <c r="I21" s="2185"/>
    </row>
    <row r="22" spans="1:35" ht="15" thickBot="1">
      <c r="A22" s="2205" t="s">
        <v>1799</v>
      </c>
      <c r="B22" s="2206"/>
      <c r="C22" s="2207"/>
      <c r="D22" s="770">
        <f ca="1">IF(C19&lt;D19,D19/C19-1,C19/D19-1)</f>
        <v>0.73591064569316567</v>
      </c>
      <c r="E22" s="2185"/>
      <c r="F22" s="2185"/>
      <c r="G22" s="2185"/>
      <c r="H22" s="2185"/>
      <c r="I22" s="2185"/>
    </row>
    <row r="23" spans="1:35" ht="13.5" thickBot="1">
      <c r="A23" s="2185"/>
      <c r="B23" s="2185"/>
      <c r="C23" s="2185"/>
      <c r="D23" s="2185"/>
      <c r="E23" s="2185"/>
      <c r="F23" s="2185"/>
      <c r="G23" s="2185"/>
      <c r="H23" s="2185"/>
      <c r="I23" s="2185"/>
    </row>
    <row r="24" spans="1:35" ht="21.75" customHeight="1">
      <c r="A24" s="2918" t="s">
        <v>1800</v>
      </c>
      <c r="B24" s="2197" t="s">
        <v>1795</v>
      </c>
      <c r="C24" s="61">
        <f>D30</f>
        <v>0</v>
      </c>
      <c r="D24" s="991"/>
      <c r="E24" s="2185"/>
      <c r="F24" s="2185"/>
      <c r="G24" s="2185"/>
      <c r="H24" s="2185"/>
      <c r="I24" s="2185"/>
    </row>
    <row r="25" spans="1:35" ht="21.75" customHeight="1">
      <c r="A25" s="2919"/>
      <c r="B25" s="2200" t="s">
        <v>1797</v>
      </c>
      <c r="C25" s="66">
        <f>IF(B30=0,0,C30)</f>
        <v>0</v>
      </c>
      <c r="D25" s="2208"/>
      <c r="E25" s="2185"/>
      <c r="F25" s="2185"/>
      <c r="G25" s="2185"/>
      <c r="H25" s="2185"/>
      <c r="I25" s="2185"/>
    </row>
    <row r="26" spans="1:35" ht="13.5" customHeight="1">
      <c r="A26" s="2209" t="s">
        <v>1801</v>
      </c>
      <c r="B26" s="67" t="s">
        <v>1802</v>
      </c>
      <c r="C26" s="67" t="s">
        <v>1803</v>
      </c>
      <c r="D26" s="68" t="s">
        <v>1804</v>
      </c>
      <c r="E26" s="2185"/>
      <c r="F26" s="2185"/>
      <c r="G26" s="2185"/>
      <c r="H26" s="2185"/>
      <c r="I26" s="2185"/>
    </row>
    <row r="27" spans="1:35" ht="14.25">
      <c r="A27" s="2210" t="s">
        <v>2892</v>
      </c>
      <c r="B27" s="67">
        <v>0</v>
      </c>
      <c r="C27" s="67">
        <v>0</v>
      </c>
      <c r="D27" s="68">
        <f>ROUND(C27*B27/10000,0)</f>
        <v>0</v>
      </c>
      <c r="E27" s="2185"/>
      <c r="F27" s="2185"/>
      <c r="G27" s="2185"/>
      <c r="H27" s="2185"/>
      <c r="I27" s="2185"/>
    </row>
    <row r="28" spans="1:35" ht="14.25">
      <c r="A28" s="2751" t="s">
        <v>2891</v>
      </c>
      <c r="B28" s="67">
        <f>'数据-取费表'!B5</f>
        <v>87.21</v>
      </c>
      <c r="C28" s="67">
        <f ca="1">ROUND((G20-7400)*0.35,0)</f>
        <v>12871</v>
      </c>
      <c r="D28" s="68">
        <f t="shared" ref="D28:D29" ca="1" si="0">ROUND(C28*B28/10000,0)</f>
        <v>112</v>
      </c>
      <c r="E28" s="2185"/>
      <c r="F28" s="2185"/>
      <c r="G28" s="2185"/>
      <c r="H28" s="2185"/>
      <c r="I28" s="2185"/>
    </row>
    <row r="29" spans="1:35" ht="14.25">
      <c r="A29" s="2209"/>
      <c r="B29" s="67"/>
      <c r="C29" s="67"/>
      <c r="D29" s="68">
        <f t="shared" si="0"/>
        <v>0</v>
      </c>
      <c r="E29" s="2185"/>
      <c r="F29" s="2185"/>
      <c r="G29" s="2185"/>
      <c r="H29" s="2185"/>
      <c r="I29" s="2185"/>
    </row>
    <row r="30" spans="1:35" ht="14.25">
      <c r="A30" s="67" t="s">
        <v>1805</v>
      </c>
      <c r="B30" s="67"/>
      <c r="C30" s="67"/>
      <c r="D30" s="67"/>
      <c r="E30" s="2704" t="s">
        <v>2806</v>
      </c>
      <c r="F30" s="2185"/>
      <c r="G30" s="2185"/>
      <c r="H30" s="2185"/>
      <c r="I30" s="2185"/>
    </row>
    <row r="31" spans="1:35" s="2212" customFormat="1" ht="15" thickBot="1">
      <c r="A31" s="2211"/>
      <c r="B31" s="2211"/>
      <c r="C31" s="2211"/>
      <c r="D31" s="2211"/>
      <c r="E31" s="2185"/>
      <c r="F31" s="2185"/>
      <c r="G31" s="2185"/>
      <c r="H31" s="2185"/>
      <c r="I31" s="2185"/>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3" t="s">
        <v>1806</v>
      </c>
      <c r="B32" s="2214" t="str">
        <f>'数据-取费表'!B4</f>
        <v>楼面单价</v>
      </c>
      <c r="C32" s="1142">
        <f ca="1">IF(B32="总价",G19-C24,G20-C25)</f>
        <v>44173</v>
      </c>
      <c r="D32" s="2185" t="str">
        <f>IF(B32="楼面单价","元/平方米",H19)</f>
        <v>元/平方米</v>
      </c>
      <c r="E32" s="2185"/>
      <c r="F32" s="2185"/>
      <c r="G32" s="2185"/>
      <c r="H32" s="2185"/>
      <c r="I32" s="2185"/>
    </row>
    <row r="33" spans="1:16" ht="15">
      <c r="A33" s="2215" t="s">
        <v>1807</v>
      </c>
      <c r="B33" s="2216"/>
      <c r="C33" s="2217"/>
      <c r="D33" s="2218"/>
      <c r="E33" s="2219" t="s">
        <v>1808</v>
      </c>
      <c r="F33" s="2220" t="str">
        <f>IF(B32="楼面单价","取值（单价）","取值（总价）")</f>
        <v>取值（单价）</v>
      </c>
      <c r="G33" s="2185"/>
      <c r="H33" s="2185"/>
      <c r="I33" s="2185"/>
    </row>
    <row r="34" spans="1:16" ht="15">
      <c r="A34" s="2221"/>
      <c r="B34" s="2222" t="s">
        <v>1809</v>
      </c>
      <c r="C34" s="72">
        <f ca="1">IF(D33="自定义",F34,C32-C35)</f>
        <v>38033</v>
      </c>
      <c r="D34" s="1088">
        <f ca="1">IF(D33="自定义",ROUND(C34/C32,3),1-D35)</f>
        <v>0.86099999999999999</v>
      </c>
      <c r="E34" s="2223" t="s">
        <v>1810</v>
      </c>
      <c r="F34" s="1818">
        <v>2000</v>
      </c>
      <c r="G34" s="2185"/>
      <c r="H34" s="2185"/>
      <c r="I34" s="2185"/>
    </row>
    <row r="35" spans="1:16" ht="15.75" thickBot="1">
      <c r="A35" s="2224"/>
      <c r="B35" s="2225" t="s">
        <v>1811</v>
      </c>
      <c r="C35" s="73">
        <f ca="1">IF(D33="自定义",F35,ROUND(C32*D35,0))</f>
        <v>6140</v>
      </c>
      <c r="D35" s="1087">
        <f ca="1">IF(D33="自定义",ROUND(C35/C32,3),IF(D33="成本法成本比率",成本法!C56,IF(D33="收益法收益比率",收益法!J38,收益法!J41)))</f>
        <v>0.13900000000000001</v>
      </c>
      <c r="E35" s="2226" t="s">
        <v>1812</v>
      </c>
      <c r="F35" s="79">
        <v>4460</v>
      </c>
      <c r="G35" s="2185"/>
      <c r="H35" s="2185"/>
      <c r="I35" s="2185"/>
    </row>
    <row r="36" spans="1:16" ht="15.75" thickBot="1">
      <c r="A36" s="2900" t="s">
        <v>1813</v>
      </c>
      <c r="B36" s="2227" t="s">
        <v>1814</v>
      </c>
      <c r="C36" s="69">
        <v>0</v>
      </c>
      <c r="D36" s="2228"/>
      <c r="E36" s="2229"/>
      <c r="F36" s="2229"/>
      <c r="G36" s="2185"/>
      <c r="H36" s="2185"/>
      <c r="I36" s="2185"/>
    </row>
    <row r="37" spans="1:16" ht="15.75" thickBot="1">
      <c r="A37" s="2901"/>
      <c r="B37" s="2230" t="s">
        <v>1815</v>
      </c>
      <c r="C37" s="71">
        <v>0</v>
      </c>
      <c r="D37" s="2195"/>
      <c r="E37" s="2195"/>
      <c r="F37" s="2229"/>
      <c r="G37" s="2195"/>
      <c r="H37" s="2195"/>
      <c r="I37" s="2195"/>
    </row>
    <row r="38" spans="1:16" ht="15.75" thickBot="1">
      <c r="A38" s="2902"/>
      <c r="B38" s="2231" t="s">
        <v>1816</v>
      </c>
      <c r="C38" s="710">
        <v>0</v>
      </c>
      <c r="D38" s="2232" t="s">
        <v>1817</v>
      </c>
      <c r="E38" s="2195"/>
      <c r="F38" s="2229"/>
      <c r="G38" s="2195"/>
      <c r="H38" s="2195"/>
      <c r="I38" s="2195"/>
    </row>
    <row r="39" spans="1:16" ht="15">
      <c r="A39" s="2199" t="s">
        <v>1818</v>
      </c>
      <c r="B39" s="2233" t="s">
        <v>1802</v>
      </c>
      <c r="C39" s="2234" t="s">
        <v>1803</v>
      </c>
      <c r="D39" s="2234" t="s">
        <v>1819</v>
      </c>
      <c r="E39" s="2235" t="s">
        <v>1804</v>
      </c>
      <c r="F39" s="2229"/>
      <c r="G39" s="2195"/>
      <c r="H39" s="2195"/>
      <c r="I39" s="2195"/>
    </row>
    <row r="40" spans="1:16" ht="14.25">
      <c r="A40" s="2236" t="s">
        <v>1820</v>
      </c>
      <c r="B40" s="74">
        <f>B28</f>
        <v>87.21</v>
      </c>
      <c r="C40" s="75">
        <f ca="1">C28</f>
        <v>12871</v>
      </c>
      <c r="D40" s="75"/>
      <c r="E40" s="76">
        <f ca="1">D28</f>
        <v>112</v>
      </c>
      <c r="F40" s="2229"/>
      <c r="G40" s="2195"/>
      <c r="H40" s="2195"/>
      <c r="I40" s="2195"/>
    </row>
    <row r="41" spans="1:16" ht="14.25">
      <c r="A41" s="2236" t="s">
        <v>1821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1822</v>
      </c>
      <c r="B44" s="2242"/>
      <c r="C44" s="2242"/>
      <c r="D44" s="2243"/>
      <c r="E44" s="2243"/>
      <c r="F44" s="2244"/>
      <c r="G44" s="2244"/>
      <c r="H44" s="2244"/>
      <c r="I44" s="2244"/>
      <c r="J44" s="2245" t="s">
        <v>1823</v>
      </c>
      <c r="K44" s="2246"/>
      <c r="L44" s="2246"/>
      <c r="M44" s="2246"/>
      <c r="N44" s="2246"/>
      <c r="O44" s="2246"/>
      <c r="P44" s="1835"/>
    </row>
    <row r="45" spans="1:16" ht="14.25" customHeight="1" thickBot="1">
      <c r="A45" s="2906" t="s">
        <v>1824</v>
      </c>
      <c r="B45" s="2907"/>
      <c r="C45" s="2908"/>
      <c r="D45" s="80">
        <f ca="1">ROUND(I102*F45,0)</f>
        <v>3852327</v>
      </c>
      <c r="E45" s="81" t="s">
        <v>1825</v>
      </c>
      <c r="F45" s="82">
        <v>1</v>
      </c>
      <c r="G45" s="83" t="s">
        <v>1826</v>
      </c>
      <c r="H45" s="2185"/>
      <c r="I45" s="2185"/>
      <c r="J45" s="2968" t="s">
        <v>1827</v>
      </c>
      <c r="K45" s="2968"/>
      <c r="L45" s="2968"/>
      <c r="M45" s="2968"/>
      <c r="N45" s="2968"/>
      <c r="O45" s="2968"/>
      <c r="P45" s="1835"/>
    </row>
    <row r="46" spans="1:16" ht="14.25" customHeight="1">
      <c r="A46" s="2891" t="s">
        <v>1828</v>
      </c>
      <c r="B46" s="2892"/>
      <c r="C46" s="2892"/>
      <c r="D46" s="2892"/>
      <c r="E46" s="2892"/>
      <c r="F46" s="2892"/>
      <c r="G46" s="2893"/>
      <c r="H46" s="2247"/>
      <c r="I46" s="1141"/>
      <c r="J46" s="1873">
        <v>1</v>
      </c>
      <c r="K46" s="2968" t="s">
        <v>1829</v>
      </c>
      <c r="L46" s="2968"/>
      <c r="M46" s="2969" t="str">
        <f>项目基本情况!B1</f>
        <v>北京市房地产市场价值预评估</v>
      </c>
      <c r="N46" s="2969"/>
      <c r="O46" s="2969"/>
      <c r="P46" s="1835"/>
    </row>
    <row r="47" spans="1:16" ht="12" customHeight="1">
      <c r="A47" s="85" t="s">
        <v>1830</v>
      </c>
      <c r="B47" s="86"/>
      <c r="C47" s="87"/>
      <c r="D47" s="88" t="s">
        <v>1831</v>
      </c>
      <c r="E47" s="14" t="s">
        <v>1832</v>
      </c>
      <c r="F47" s="89" t="s">
        <v>1833</v>
      </c>
      <c r="G47" s="90" t="s">
        <v>1834</v>
      </c>
      <c r="H47" s="2247"/>
      <c r="I47" s="1141"/>
      <c r="J47" s="1873">
        <v>2</v>
      </c>
      <c r="K47" s="2968" t="s">
        <v>1835</v>
      </c>
      <c r="L47" s="2968"/>
      <c r="M47" s="2970">
        <f>'数据-取费表'!B2</f>
        <v>43328</v>
      </c>
      <c r="N47" s="2970"/>
      <c r="O47" s="2970"/>
      <c r="P47" s="1835"/>
    </row>
    <row r="48" spans="1:16" ht="25.5">
      <c r="A48" s="2903" t="s">
        <v>1836</v>
      </c>
      <c r="B48" s="2904"/>
      <c r="C48" s="2904"/>
      <c r="D48" s="56">
        <f ca="1">IF(H48="情况1",0,IF(H48="情况2",D52,IF(H48="情况3",D53,IF(H48="情况4",D54))))</f>
        <v>205457</v>
      </c>
      <c r="E48" s="1883" t="str">
        <f>IF(H48="情况4","(销售额-原购置价)×税（费）率","销售额×税（费）率")</f>
        <v>销售额×税（费）率</v>
      </c>
      <c r="F48" s="91">
        <f>IF(H48="情况1","免征",'数据-取费表'!E29)</f>
        <v>5.6000000000000001E-2</v>
      </c>
      <c r="G48" s="2248" t="s">
        <v>1837</v>
      </c>
      <c r="H48" s="2249" t="s">
        <v>1838</v>
      </c>
      <c r="I48" s="2247"/>
      <c r="J48" s="1873">
        <v>3</v>
      </c>
      <c r="K48" s="2968" t="s">
        <v>1839</v>
      </c>
      <c r="L48" s="2968"/>
      <c r="M48" s="2969">
        <f ca="1">I102</f>
        <v>3852327</v>
      </c>
      <c r="N48" s="2969"/>
      <c r="O48" s="2969"/>
      <c r="P48" s="1835"/>
    </row>
    <row r="49" spans="1:16" ht="25.5" customHeight="1">
      <c r="A49" s="92" t="s">
        <v>1840</v>
      </c>
      <c r="B49" s="2896" t="s">
        <v>1841</v>
      </c>
      <c r="C49" s="2896"/>
      <c r="D49" s="93">
        <v>0</v>
      </c>
      <c r="E49" s="13" t="s">
        <v>1842</v>
      </c>
      <c r="F49" s="18" t="s">
        <v>48</v>
      </c>
      <c r="G49" s="2961"/>
      <c r="H49" s="2185"/>
      <c r="I49" s="2250"/>
      <c r="J49" s="187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35"/>
    </row>
    <row r="50" spans="1:16" ht="25.5" customHeight="1">
      <c r="A50" s="94"/>
      <c r="B50" s="2896" t="s">
        <v>1843</v>
      </c>
      <c r="C50" s="2896"/>
      <c r="D50" s="95"/>
      <c r="E50" s="21"/>
      <c r="F50" s="96"/>
      <c r="G50" s="2962"/>
      <c r="H50" s="2185"/>
      <c r="I50" s="2250"/>
      <c r="J50" s="2968" t="s">
        <v>1844</v>
      </c>
      <c r="K50" s="2968"/>
      <c r="L50" s="2968"/>
      <c r="M50" s="2968"/>
      <c r="N50" s="2968"/>
      <c r="O50" s="2968"/>
      <c r="P50" s="1835"/>
    </row>
    <row r="51" spans="1:16" ht="12" customHeight="1">
      <c r="A51" s="97"/>
      <c r="B51" s="2896" t="s">
        <v>1845</v>
      </c>
      <c r="C51" s="2896"/>
      <c r="D51" s="98"/>
      <c r="E51" s="20"/>
      <c r="F51" s="96"/>
      <c r="G51" s="2963"/>
      <c r="H51" s="2185"/>
      <c r="I51" s="2250"/>
      <c r="J51" s="2251" t="s">
        <v>1846</v>
      </c>
      <c r="K51" s="2968" t="s">
        <v>1847</v>
      </c>
      <c r="L51" s="2968"/>
      <c r="M51" s="2251" t="s">
        <v>1848</v>
      </c>
      <c r="N51" s="2251" t="s">
        <v>1849</v>
      </c>
      <c r="O51" s="2251" t="s">
        <v>1850</v>
      </c>
      <c r="P51" s="1835"/>
    </row>
    <row r="52" spans="1:16" ht="24" customHeight="1">
      <c r="A52" s="99" t="s">
        <v>1851</v>
      </c>
      <c r="B52" s="2896" t="s">
        <v>1852</v>
      </c>
      <c r="C52" s="2896"/>
      <c r="D52" s="98">
        <f ca="1">ROUND(D45*'数据-取费表'!E29/(1+'数据-取费表'!F30),0)</f>
        <v>205457</v>
      </c>
      <c r="E52" s="10" t="s">
        <v>1853</v>
      </c>
      <c r="F52" s="100">
        <f>'数据-取费表'!E29</f>
        <v>5.6000000000000001E-2</v>
      </c>
      <c r="G52" s="2252"/>
      <c r="H52" s="2185"/>
      <c r="I52" s="2250"/>
      <c r="J52" s="1873">
        <v>1</v>
      </c>
      <c r="K52" s="2928" t="s">
        <v>1854</v>
      </c>
      <c r="L52" s="2928"/>
      <c r="M52" s="776">
        <f ca="1">D48</f>
        <v>205457</v>
      </c>
      <c r="N52" s="1873" t="str">
        <f>E48</f>
        <v>销售额×税（费）率</v>
      </c>
      <c r="O52" s="777">
        <f>F48</f>
        <v>5.6000000000000001E-2</v>
      </c>
      <c r="P52" s="1835"/>
    </row>
    <row r="53" spans="1:16" ht="12" customHeight="1">
      <c r="A53" s="99" t="s">
        <v>1855</v>
      </c>
      <c r="B53" s="2897" t="s">
        <v>1856</v>
      </c>
      <c r="C53" s="2822"/>
      <c r="D53" s="98">
        <f ca="1">ROUND(D45*'数据-取费表'!E29/(1+'数据-取费表'!F30),0)</f>
        <v>205457</v>
      </c>
      <c r="E53" s="10" t="s">
        <v>1853</v>
      </c>
      <c r="F53" s="100">
        <f>'数据-取费表'!E29</f>
        <v>5.6000000000000001E-2</v>
      </c>
      <c r="G53" s="2252"/>
      <c r="H53" s="2185"/>
      <c r="I53" s="2250"/>
      <c r="J53" s="1873">
        <v>2</v>
      </c>
      <c r="K53" s="2928" t="s">
        <v>1857</v>
      </c>
      <c r="L53" s="2928"/>
      <c r="M53" s="776">
        <f t="shared" ref="M53:O54" ca="1" si="1">D55</f>
        <v>1926</v>
      </c>
      <c r="N53" s="1873" t="str">
        <f t="shared" si="1"/>
        <v>销售额×税（费）率</v>
      </c>
      <c r="O53" s="777">
        <f t="shared" si="1"/>
        <v>5.0000000000000001E-4</v>
      </c>
      <c r="P53" s="1835"/>
    </row>
    <row r="54" spans="1:16" ht="12" customHeight="1">
      <c r="A54" s="99" t="s">
        <v>1858</v>
      </c>
      <c r="B54" s="2897" t="s">
        <v>1859</v>
      </c>
      <c r="C54" s="2822"/>
      <c r="D54" s="98">
        <f ca="1">C68</f>
        <v>205457</v>
      </c>
      <c r="E54" s="20" t="s">
        <v>1860</v>
      </c>
      <c r="F54" s="100">
        <f>'数据-取费表'!E29</f>
        <v>5.6000000000000001E-2</v>
      </c>
      <c r="G54" s="2252"/>
      <c r="H54" s="2253"/>
      <c r="I54" s="2250"/>
      <c r="J54" s="1873">
        <v>3</v>
      </c>
      <c r="K54" s="2928" t="s">
        <v>1861</v>
      </c>
      <c r="L54" s="2928"/>
      <c r="M54" s="776">
        <f t="shared" ca="1" si="1"/>
        <v>2180417</v>
      </c>
      <c r="N54" s="1873" t="str">
        <f t="shared" si="1"/>
        <v>增值额×税（费）率</v>
      </c>
      <c r="O54" s="778" t="str">
        <f t="shared" si="1"/>
        <v>——</v>
      </c>
      <c r="P54" s="1835"/>
    </row>
    <row r="55" spans="1:16" ht="24" customHeight="1">
      <c r="A55" s="2814" t="s">
        <v>1862</v>
      </c>
      <c r="B55" s="2904"/>
      <c r="C55" s="2904"/>
      <c r="D55" s="101">
        <f ca="1">IF(H55="个人住宅",0,ROUND(D45*I55,0))</f>
        <v>1926</v>
      </c>
      <c r="E55" s="10" t="s">
        <v>1863</v>
      </c>
      <c r="F55" s="100">
        <f>IF(H55="正常",I55,"免征")</f>
        <v>5.0000000000000001E-4</v>
      </c>
      <c r="G55" s="2252"/>
      <c r="H55" s="2249" t="s">
        <v>1864</v>
      </c>
      <c r="I55" s="102">
        <f>'数据-取费表'!E37</f>
        <v>5.0000000000000001E-4</v>
      </c>
      <c r="J55" s="1873">
        <f>IF(H59="非个人房产","",4)</f>
        <v>4</v>
      </c>
      <c r="K55" s="2928" t="str">
        <f>IF(H59="非个人房产","——","个人所得税")</f>
        <v>个人所得税</v>
      </c>
      <c r="L55" s="2928"/>
      <c r="M55" s="779">
        <f ca="1">D59</f>
        <v>38523</v>
      </c>
      <c r="N55" s="1876" t="str">
        <f>E59</f>
        <v>销售额×税（费）率</v>
      </c>
      <c r="O55" s="780">
        <f>F59</f>
        <v>0.01</v>
      </c>
      <c r="P55" s="1835"/>
    </row>
    <row r="56" spans="1:16" ht="24.75">
      <c r="A56" s="2814" t="s">
        <v>1865</v>
      </c>
      <c r="B56" s="2904"/>
      <c r="C56" s="2904"/>
      <c r="D56" s="101">
        <f ca="1">IF(H56="个人住宅",D57,D58)</f>
        <v>2180417</v>
      </c>
      <c r="E56" s="10" t="s">
        <v>1866</v>
      </c>
      <c r="F56" s="100" t="str">
        <f>IF(H56="正常",F58,"免征")</f>
        <v>——</v>
      </c>
      <c r="G56" s="2254" t="s">
        <v>1867</v>
      </c>
      <c r="H56" s="2255" t="s">
        <v>1864</v>
      </c>
      <c r="I56" s="1019"/>
      <c r="J56" s="1873" t="str">
        <f>IF(项目基本情况!I6="上海银行",IF(J55="",4,J55+1),"")</f>
        <v/>
      </c>
      <c r="K56" s="2946" t="str">
        <f>IF(项目基本情况!I6="上海银行","其他处置费用","")</f>
        <v/>
      </c>
      <c r="L56" s="2947"/>
      <c r="M56" s="776" t="str">
        <f>IF(项目基本情况!I6="上海银行",M69,"")</f>
        <v/>
      </c>
      <c r="N56" s="2959" t="str">
        <f>IF(项目基本情况!I6="上海银行","包含处置中涉及的律师、诉讼、拍卖、评估等费用","")</f>
        <v/>
      </c>
      <c r="O56" s="2960"/>
      <c r="P56" s="1835"/>
    </row>
    <row r="57" spans="1:16" ht="12.75">
      <c r="A57" s="99" t="s">
        <v>1840</v>
      </c>
      <c r="B57" s="2894" t="s">
        <v>1868</v>
      </c>
      <c r="C57" s="2905"/>
      <c r="D57" s="103">
        <v>0</v>
      </c>
      <c r="E57" s="13" t="s">
        <v>1842</v>
      </c>
      <c r="F57" s="70"/>
      <c r="G57" s="2252"/>
      <c r="H57" s="1019"/>
      <c r="I57" s="1019"/>
      <c r="J57" s="2928">
        <f>IF(AND(J55="",J56=""),4,IF(项目基本情况!I6="上海银行",J56+1,J55+1))</f>
        <v>5</v>
      </c>
      <c r="K57" s="2928" t="s">
        <v>1869</v>
      </c>
      <c r="L57" s="2256" t="s">
        <v>1870</v>
      </c>
      <c r="M57" s="781"/>
      <c r="N57" s="782">
        <f ca="1">SUMIF(M52:M56,"&lt;9e307")</f>
        <v>2426323</v>
      </c>
      <c r="O57" s="2257"/>
      <c r="P57" s="1831" t="e">
        <f ca="1">N57/M49</f>
        <v>#VALUE!</v>
      </c>
    </row>
    <row r="58" spans="1:16" ht="24.75">
      <c r="A58" s="99" t="s">
        <v>1851</v>
      </c>
      <c r="B58" s="2894" t="s">
        <v>1871</v>
      </c>
      <c r="C58" s="2895"/>
      <c r="D58" s="101">
        <f ca="1">IF(H58="转让取得",C81,C97)</f>
        <v>2180417</v>
      </c>
      <c r="E58" s="10" t="s">
        <v>1866</v>
      </c>
      <c r="F58" s="14" t="s">
        <v>48</v>
      </c>
      <c r="G58" s="2252"/>
      <c r="H58" s="2255" t="s">
        <v>1872</v>
      </c>
      <c r="I58" s="1019"/>
      <c r="J58" s="2928"/>
      <c r="K58" s="2928"/>
      <c r="L58" s="2256" t="s">
        <v>1873</v>
      </c>
      <c r="M58" s="783"/>
      <c r="N58" s="2258" t="str">
        <f ca="1">IF(H19="元",NUMBERSTRING(INT(N57),2)&amp;"元整",NUMBERSTRING(INT(N57*10000),2)&amp;"元整")</f>
        <v>贰佰肆拾贰万陆仟叁佰贰拾叁元整</v>
      </c>
      <c r="O58" s="2259"/>
      <c r="P58" s="1835"/>
    </row>
    <row r="59" spans="1:16" ht="26.25" thickBot="1">
      <c r="A59" s="2815" t="s">
        <v>1874</v>
      </c>
      <c r="B59" s="2818"/>
      <c r="C59" s="2818"/>
      <c r="D59" s="104">
        <f ca="1">IF(H59="非个人房产","——",IF(H59="个人住宅",0,ROUND(D45*I59,0)))</f>
        <v>38523</v>
      </c>
      <c r="E59" s="105" t="str">
        <f>IF(H59="非个人房产","——","销售额×税（费）率")</f>
        <v>销售额×税（费）率</v>
      </c>
      <c r="F59" s="106">
        <f>IF(H59="非个人房产","——",IF(H59="个人住宅","免征",I59))</f>
        <v>0.01</v>
      </c>
      <c r="G59" s="2260" t="s">
        <v>1867</v>
      </c>
      <c r="H59" s="2255" t="s">
        <v>1875</v>
      </c>
      <c r="I59" s="107">
        <v>0.01</v>
      </c>
      <c r="J59" s="2926">
        <f>J57+1</f>
        <v>6</v>
      </c>
      <c r="K59" s="2928" t="s">
        <v>1876</v>
      </c>
      <c r="L59" s="1873" t="s">
        <v>1870</v>
      </c>
      <c r="M59" s="784"/>
      <c r="N59" s="785" t="e">
        <f ca="1">M49-N57</f>
        <v>#VALUE!</v>
      </c>
      <c r="O59" s="2261"/>
      <c r="P59" s="1835"/>
    </row>
    <row r="60" spans="1:16" ht="12" customHeight="1">
      <c r="A60" s="2058"/>
      <c r="B60" s="2185"/>
      <c r="C60" s="2185"/>
      <c r="D60" s="2185"/>
      <c r="E60" s="1019"/>
      <c r="F60" s="1019"/>
      <c r="G60" s="1019"/>
      <c r="H60" s="2238"/>
      <c r="I60" s="2185"/>
      <c r="J60" s="2927"/>
      <c r="K60" s="2928"/>
      <c r="L60" s="2256" t="s">
        <v>1873</v>
      </c>
      <c r="M60" s="783"/>
      <c r="N60" s="2258" t="e">
        <f ca="1">IF(H19="元",NUMBERSTRING(INT(N59),2)&amp;"元整",NUMBERSTRING(INT(N59*10000),2)&amp;"元整")</f>
        <v>#VALUE!</v>
      </c>
      <c r="O60" s="2259"/>
      <c r="P60" s="1835"/>
    </row>
    <row r="61" spans="1:16" ht="13.5" thickBot="1">
      <c r="A61" s="2909" t="s">
        <v>1877</v>
      </c>
      <c r="B61" s="2909"/>
      <c r="C61" s="2909"/>
      <c r="D61" s="2909"/>
      <c r="E61" s="2909"/>
      <c r="F61" s="1019"/>
      <c r="G61" s="1019"/>
      <c r="H61" s="2238"/>
      <c r="I61" s="2185"/>
      <c r="J61" s="1873">
        <f>J59+1</f>
        <v>7</v>
      </c>
      <c r="K61" s="2928" t="s">
        <v>1878</v>
      </c>
      <c r="L61" s="2928"/>
      <c r="M61" s="786"/>
      <c r="N61" s="787" t="e">
        <f ca="1">IF(H19="元",ROUND(N59/项目基本情况!C12,0),ROUND(N59*10000/项目基本情况!C12,0))</f>
        <v>#VALUE!</v>
      </c>
      <c r="O61" s="2262"/>
      <c r="P61" s="1835"/>
    </row>
    <row r="62" spans="1:16" ht="12.75">
      <c r="A62" s="2916" t="s">
        <v>1879</v>
      </c>
      <c r="B62" s="2917"/>
      <c r="C62" s="1875"/>
      <c r="D62" s="1875" t="s">
        <v>1880</v>
      </c>
      <c r="E62" s="108" t="s">
        <v>1881</v>
      </c>
      <c r="F62" s="1019"/>
      <c r="G62" s="1019"/>
      <c r="H62" s="2238"/>
      <c r="I62" s="2185"/>
      <c r="J62" s="1835"/>
      <c r="K62" s="1835"/>
      <c r="L62" s="1835"/>
      <c r="M62" s="1835"/>
      <c r="N62" s="1835"/>
      <c r="O62" s="1835"/>
      <c r="P62" s="1835"/>
    </row>
    <row r="63" spans="1:16" ht="12.75">
      <c r="A63" s="109">
        <v>1</v>
      </c>
      <c r="B63" s="110" t="s">
        <v>1882</v>
      </c>
      <c r="C63" s="111">
        <f ca="1">ROUND((C64+C65)/(1+'数据-取费表'!F30),0)</f>
        <v>3668883</v>
      </c>
      <c r="D63" s="112"/>
      <c r="E63" s="113"/>
      <c r="F63" s="1019"/>
      <c r="G63" s="1019"/>
      <c r="H63" s="2238"/>
      <c r="I63" s="2185"/>
      <c r="J63" s="2948" t="s">
        <v>1883</v>
      </c>
      <c r="K63" s="2263"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3852327</v>
      </c>
      <c r="D64" s="117" t="s">
        <v>41</v>
      </c>
      <c r="E64" s="118"/>
      <c r="F64" s="1019"/>
      <c r="G64" s="1019"/>
      <c r="H64" s="2238"/>
      <c r="I64" s="2185"/>
      <c r="J64" s="2948"/>
      <c r="K64" s="2263"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8"/>
      <c r="I65" s="2185"/>
      <c r="J65" s="2948"/>
      <c r="K65" s="2263"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8"/>
      <c r="I66" s="2185"/>
      <c r="J66" s="2948"/>
      <c r="K66" s="2263" t="s">
        <v>1892</v>
      </c>
      <c r="L66" s="1834" t="e">
        <f>M49*0.5%</f>
        <v>#VALUE!</v>
      </c>
      <c r="M66" s="14" t="e">
        <f>IF(L66&gt;0.5,0.5,ROUND(L66,0))</f>
        <v>#VALUE!</v>
      </c>
      <c r="N66" s="1835" t="s">
        <v>1893</v>
      </c>
      <c r="O66" s="1835"/>
      <c r="P66" s="1835"/>
    </row>
    <row r="67" spans="1:35" ht="12.75">
      <c r="A67" s="120" t="s">
        <v>42</v>
      </c>
      <c r="B67" s="121" t="s">
        <v>1894</v>
      </c>
      <c r="C67" s="124">
        <f ca="1">C63-C66</f>
        <v>3668883</v>
      </c>
      <c r="D67" s="117" t="s">
        <v>41</v>
      </c>
      <c r="E67" s="118"/>
      <c r="F67" s="1019"/>
      <c r="G67" s="1019"/>
      <c r="H67" s="2238"/>
      <c r="I67" s="2185"/>
      <c r="J67" s="2948"/>
      <c r="K67" s="2263"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205457</v>
      </c>
      <c r="D68" s="128">
        <f>'数据-取费表'!E29</f>
        <v>5.6000000000000001E-2</v>
      </c>
      <c r="E68" s="129"/>
      <c r="F68" s="1019"/>
      <c r="G68" s="1019"/>
      <c r="H68" s="2238"/>
      <c r="I68" s="2185"/>
      <c r="J68" s="2948"/>
      <c r="K68" s="2263" t="s">
        <v>1897</v>
      </c>
      <c r="L68" s="1834" t="e">
        <f>IF(M49&gt;10000,M49*0.5%,IF(AND(M49&gt;5000,M49&lt;=10000),M49*1%,IF(AND(M49&gt;1000,M49&lt;=5000),M49*2%,IF(AND(M49&gt;200,M49&lt;=1000),M49*3%,M49*5%))))</f>
        <v>#VALUE!</v>
      </c>
      <c r="M68" s="14" t="e">
        <f>ROUND(L68,1)</f>
        <v>#VALUE!</v>
      </c>
      <c r="N68" s="1835"/>
      <c r="O68" s="1835"/>
      <c r="P68" s="1835"/>
    </row>
    <row r="69" spans="1:35" s="2212" customFormat="1" ht="7.5" customHeight="1">
      <c r="A69" s="2264"/>
      <c r="B69" s="2265"/>
      <c r="C69" s="2266"/>
      <c r="D69" s="2267"/>
      <c r="E69" s="2268"/>
      <c r="F69" s="1019"/>
      <c r="G69" s="1019"/>
      <c r="H69" s="2238"/>
      <c r="I69" s="2185"/>
      <c r="J69" s="2948"/>
      <c r="K69" s="2263" t="s">
        <v>1898</v>
      </c>
      <c r="L69" s="2269"/>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1" customFormat="1" ht="15" thickBot="1">
      <c r="A70" s="2920" t="s">
        <v>1899</v>
      </c>
      <c r="B70" s="2921"/>
      <c r="C70" s="2921"/>
      <c r="D70" s="2921"/>
      <c r="E70" s="2921"/>
      <c r="F70" s="2921"/>
      <c r="G70" s="2921"/>
      <c r="H70" s="2921"/>
      <c r="I70" s="2270"/>
      <c r="O70" s="1283"/>
      <c r="P70" s="1283"/>
      <c r="Q70" s="1283"/>
      <c r="R70" s="1283"/>
      <c r="S70" s="1283"/>
      <c r="T70" s="1283"/>
      <c r="U70" s="1283"/>
      <c r="V70" s="1283"/>
      <c r="W70" s="1283"/>
      <c r="X70" s="1283"/>
      <c r="Y70" s="1283"/>
      <c r="Z70" s="1283"/>
      <c r="AA70" s="2272"/>
      <c r="AB70" s="2272"/>
      <c r="AC70" s="2272"/>
      <c r="AD70" s="2272"/>
      <c r="AE70" s="2272"/>
      <c r="AF70" s="2272"/>
      <c r="AG70" s="2272"/>
      <c r="AH70" s="2272"/>
      <c r="AI70" s="2272"/>
    </row>
    <row r="71" spans="1:35" s="2271" customFormat="1" ht="14.25">
      <c r="A71" s="2916" t="s">
        <v>1879</v>
      </c>
      <c r="B71" s="2917"/>
      <c r="C71" s="1875"/>
      <c r="D71" s="1875" t="s">
        <v>1880</v>
      </c>
      <c r="E71" s="130" t="s">
        <v>1881</v>
      </c>
      <c r="F71" s="131"/>
      <c r="G71" s="131"/>
      <c r="H71" s="132"/>
      <c r="I71" s="227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133">
        <v>1</v>
      </c>
      <c r="B72" s="121" t="s">
        <v>1900</v>
      </c>
      <c r="C72" s="124">
        <f ca="1">ROUND(D45/(1+'数据-取费表'!F30),0)</f>
        <v>3668883</v>
      </c>
      <c r="D72" s="117" t="s">
        <v>41</v>
      </c>
      <c r="E72" s="12" t="s">
        <v>1901</v>
      </c>
      <c r="F72" s="1879"/>
      <c r="G72" s="1879"/>
      <c r="H72" s="134"/>
      <c r="I72" s="227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5">
        <v>2</v>
      </c>
      <c r="B73" s="89" t="s">
        <v>1902</v>
      </c>
      <c r="C73" s="124">
        <f ca="1">C74+C78</f>
        <v>22013</v>
      </c>
      <c r="D73" s="117" t="s">
        <v>41</v>
      </c>
      <c r="E73" s="1878"/>
      <c r="F73" s="1879"/>
      <c r="G73" s="1879"/>
      <c r="H73" s="134"/>
      <c r="I73" s="227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24">
      <c r="A74" s="136" t="s">
        <v>73</v>
      </c>
      <c r="B74" s="115" t="s">
        <v>1903</v>
      </c>
      <c r="C74" s="117">
        <f>ROUND(IF(G77="2016年5月1日后购买",C75/(1+'数据-取费表'!F30)+C76+C77,C75+C76+C77),0)</f>
        <v>0</v>
      </c>
      <c r="D74" s="117" t="s">
        <v>41</v>
      </c>
      <c r="E74" s="1878"/>
      <c r="F74" s="1879"/>
      <c r="G74" s="1879"/>
      <c r="H74" s="134"/>
      <c r="I74" s="227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74</v>
      </c>
      <c r="B75" s="115" t="s">
        <v>1904</v>
      </c>
      <c r="C75" s="137"/>
      <c r="D75" s="117" t="s">
        <v>41</v>
      </c>
      <c r="E75" s="138" t="s">
        <v>1905</v>
      </c>
      <c r="F75" s="2274" t="s">
        <v>1906</v>
      </c>
      <c r="G75" s="138" t="s">
        <v>1907</v>
      </c>
      <c r="H75" s="139"/>
      <c r="I75" s="9"/>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24.75" customHeight="1">
      <c r="A76" s="136" t="s">
        <v>75</v>
      </c>
      <c r="B76" s="140" t="s">
        <v>1908</v>
      </c>
      <c r="C76" s="117">
        <f>IF(F75="购房发票",ROUND(C75*H75*D76,0),0)</f>
        <v>0</v>
      </c>
      <c r="D76" s="141">
        <v>0.05</v>
      </c>
      <c r="E76" s="2897" t="s">
        <v>1909</v>
      </c>
      <c r="F76" s="2896"/>
      <c r="G76" s="2896"/>
      <c r="H76" s="2911"/>
      <c r="I76" s="227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5" t="s">
        <v>1912</v>
      </c>
      <c r="H77" s="1880" t="str">
        <f>IF(G77="个人买卖住房","免征印花税"," ")</f>
        <v xml:space="preserve"> </v>
      </c>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77</v>
      </c>
      <c r="B78" s="115" t="s">
        <v>1913</v>
      </c>
      <c r="C78" s="144">
        <f ca="1">ROUND(D45*D78/(1+'数据-取费表'!F30),0)</f>
        <v>22013</v>
      </c>
      <c r="D78" s="145">
        <f>'数据-取费表'!E31</f>
        <v>6.000000000000001E-3</v>
      </c>
      <c r="E78" s="2888" t="s">
        <v>1914</v>
      </c>
      <c r="F78" s="2889"/>
      <c r="G78" s="2889"/>
      <c r="H78" s="2890"/>
      <c r="I78" s="2276"/>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14.25">
      <c r="A79" s="146" t="s">
        <v>42</v>
      </c>
      <c r="B79" s="121" t="s">
        <v>1915</v>
      </c>
      <c r="C79" s="124">
        <f ca="1">C72-C73</f>
        <v>3646870</v>
      </c>
      <c r="D79" s="117" t="s">
        <v>41</v>
      </c>
      <c r="E79" s="1878"/>
      <c r="F79" s="1879"/>
      <c r="G79" s="1879"/>
      <c r="H79" s="134"/>
      <c r="I79" s="2273"/>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24">
      <c r="A80" s="146" t="s">
        <v>43</v>
      </c>
      <c r="B80" s="121" t="s">
        <v>1916</v>
      </c>
      <c r="C80" s="147">
        <f ca="1">IF(C79&lt;=0,0,C79/C73)</f>
        <v>165.66892290919003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24.75" thickBot="1">
      <c r="A81" s="148" t="s">
        <v>44</v>
      </c>
      <c r="B81" s="126" t="s">
        <v>1917</v>
      </c>
      <c r="C81" s="149">
        <f ca="1">ROUND(IF(C79&lt;=0,0,IF(C80&gt;=200%,C79*60%-C73*35%,IF(C80&gt;=100%,C79*50%-C73*15%,IF(C80&gt;=50%,C79*40%-C73*5%,IF(C80&lt;50%,C79*30%,0))))),0)</f>
        <v>2180417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7.5" customHeight="1">
      <c r="A82" s="715"/>
      <c r="B82" s="716"/>
      <c r="C82" s="9"/>
      <c r="D82" s="9"/>
      <c r="E82" s="716"/>
      <c r="F82" s="716"/>
      <c r="G82" s="716"/>
      <c r="H82" s="717"/>
      <c r="I82" s="2276"/>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15" thickBot="1">
      <c r="A83" s="2920" t="s">
        <v>1918</v>
      </c>
      <c r="B83" s="2921"/>
      <c r="C83" s="2921"/>
      <c r="D83" s="2921"/>
      <c r="E83" s="2921"/>
      <c r="F83" s="2921"/>
      <c r="G83" s="2921"/>
      <c r="H83" s="2921"/>
      <c r="I83" s="9"/>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4.25">
      <c r="A84" s="2916" t="s">
        <v>1879</v>
      </c>
      <c r="B84" s="2917"/>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24">
      <c r="A85" s="133">
        <v>1</v>
      </c>
      <c r="B85" s="121" t="s">
        <v>1900</v>
      </c>
      <c r="C85" s="124">
        <f ca="1">ROUND(D45/(1+'数据-取费表'!F30),0)</f>
        <v>3668883</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5">
        <v>2</v>
      </c>
      <c r="B86" s="89" t="s">
        <v>1902</v>
      </c>
      <c r="C86" s="124">
        <f ca="1">IF(H88="仅含出让金",C87+C90+C91+C92+C93+C94,C87+C91+C92+C93+C94)</f>
        <v>22013</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74</v>
      </c>
      <c r="B88" s="115" t="s">
        <v>1920</v>
      </c>
      <c r="C88" s="157"/>
      <c r="D88" s="145"/>
      <c r="E88" s="158" t="s">
        <v>1921</v>
      </c>
      <c r="F88" s="1872"/>
      <c r="G88" s="159" t="s">
        <v>1922</v>
      </c>
      <c r="H88" s="2277"/>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30.75" customHeight="1">
      <c r="A91" s="136" t="s">
        <v>78</v>
      </c>
      <c r="B91" s="115" t="s">
        <v>1925</v>
      </c>
      <c r="C91" s="144">
        <f>IF(H91="——",成本法!C33,I91)</f>
        <v>0</v>
      </c>
      <c r="D91" s="145"/>
      <c r="E91" s="2888" t="s">
        <v>1926</v>
      </c>
      <c r="F91" s="2889"/>
      <c r="G91" s="2889"/>
      <c r="H91" s="2278" t="s">
        <v>1927</v>
      </c>
      <c r="I91" s="227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25.5" customHeight="1">
      <c r="A92" s="136" t="s">
        <v>79</v>
      </c>
      <c r="B92" s="115" t="s">
        <v>1928</v>
      </c>
      <c r="C92" s="144">
        <f>ROUND((C87+C90+C91)*D92,0)</f>
        <v>0</v>
      </c>
      <c r="D92" s="145">
        <v>0.1</v>
      </c>
      <c r="E92" s="2888" t="s">
        <v>1929</v>
      </c>
      <c r="F92" s="2889"/>
      <c r="G92" s="2889"/>
      <c r="H92" s="2890"/>
      <c r="I92" s="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80</v>
      </c>
      <c r="B93" s="115" t="s">
        <v>1913</v>
      </c>
      <c r="C93" s="144">
        <f ca="1">ROUND(D45*D93/(1+'数据-取费表'!F30),0)</f>
        <v>22013</v>
      </c>
      <c r="D93" s="145">
        <f>'数据-取费表'!E31</f>
        <v>6.000000000000001E-3</v>
      </c>
      <c r="E93" s="2888" t="s">
        <v>1914</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81</v>
      </c>
      <c r="B94" s="115" t="s">
        <v>1930</v>
      </c>
      <c r="C94" s="144">
        <f>ROUND((C87+C90+C91)*D94,0)</f>
        <v>0</v>
      </c>
      <c r="D94" s="145">
        <v>0.2</v>
      </c>
      <c r="E94" s="2888" t="s">
        <v>1931</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14.25">
      <c r="A95" s="146" t="s">
        <v>42</v>
      </c>
      <c r="B95" s="121" t="s">
        <v>1915</v>
      </c>
      <c r="C95" s="124">
        <f ca="1">ROUND(C85-C86,0)</f>
        <v>3646870</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24">
      <c r="A96" s="146" t="s">
        <v>43</v>
      </c>
      <c r="B96" s="121" t="s">
        <v>1916</v>
      </c>
      <c r="C96" s="147">
        <f ca="1">IF(C95&lt;=0,0,C95/C86)</f>
        <v>165.66892290919003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24.75" thickBot="1">
      <c r="A97" s="148" t="s">
        <v>44</v>
      </c>
      <c r="B97" s="126" t="s">
        <v>1917</v>
      </c>
      <c r="C97" s="149">
        <f ca="1">ROUND(IF(C95&lt;=0,0,IF(C96&gt;=200%,C95*60%-C86*35%,IF(C96&gt;=100%,C95*50%-C86*15%,IF(C96&gt;=50%,C95*40%-C86*5%,IF(C96&lt;50%,C95*30%,0))))),0)</f>
        <v>2180417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ht="21.75" customHeight="1" thickBot="1">
      <c r="A98" s="2241" t="s">
        <v>1932</v>
      </c>
      <c r="B98" s="2185"/>
      <c r="C98" s="2185"/>
      <c r="D98" s="2185"/>
      <c r="E98" s="1019"/>
      <c r="F98" s="1019"/>
      <c r="G98" s="1019"/>
      <c r="H98" s="2238"/>
      <c r="I98" s="2185"/>
    </row>
    <row r="99" spans="1:35" ht="15.75">
      <c r="A99" s="2943" t="s">
        <v>1933</v>
      </c>
      <c r="B99" s="2944"/>
      <c r="C99" s="2944"/>
      <c r="D99" s="2945"/>
      <c r="E99" s="2185"/>
      <c r="F99" s="2954" t="s">
        <v>1934</v>
      </c>
      <c r="G99" s="2955"/>
      <c r="H99" s="2955"/>
      <c r="I99" s="2956"/>
    </row>
    <row r="100" spans="1:35" ht="15.75">
      <c r="A100" s="2957" t="s">
        <v>1935</v>
      </c>
      <c r="B100" s="2958"/>
      <c r="C100" s="718" t="str">
        <f>C4</f>
        <v>比较法-住宅</v>
      </c>
      <c r="D100" s="719" t="str">
        <f>D4</f>
        <v>收益法</v>
      </c>
      <c r="E100" s="2185"/>
      <c r="F100" s="2853" t="s">
        <v>1936</v>
      </c>
      <c r="G100" s="2854"/>
      <c r="H100" s="2853" t="s">
        <v>1937</v>
      </c>
      <c r="I100" s="2852"/>
    </row>
    <row r="101" spans="1:35" ht="15.75">
      <c r="A101" s="2935" t="s">
        <v>1938</v>
      </c>
      <c r="B101" s="2280" t="str">
        <f>IF(H19="元","总价（元）","总价（万元）")</f>
        <v>总价（元）</v>
      </c>
      <c r="C101" s="718">
        <f ca="1">C19</f>
        <v>4209191</v>
      </c>
      <c r="D101" s="719">
        <f ca="1">D19</f>
        <v>2424774</v>
      </c>
      <c r="E101" s="2185"/>
      <c r="F101" s="2853" t="str">
        <f>项目基本情况!I1</f>
        <v>北京市房地产</v>
      </c>
      <c r="G101" s="2854"/>
      <c r="H101" s="2851">
        <f>项目基本情况!C12</f>
        <v>87.21</v>
      </c>
      <c r="I101" s="2852"/>
    </row>
    <row r="102" spans="1:35" ht="15.75">
      <c r="A102" s="2935"/>
      <c r="B102" s="2280" t="s">
        <v>1939</v>
      </c>
      <c r="C102" s="720">
        <f ca="1">C20</f>
        <v>48265</v>
      </c>
      <c r="D102" s="721">
        <f ca="1">D20</f>
        <v>27804</v>
      </c>
      <c r="E102" s="2185"/>
      <c r="F102" s="2880" t="s">
        <v>1940</v>
      </c>
      <c r="G102" s="2881"/>
      <c r="H102" s="2281" t="str">
        <f>C106</f>
        <v>总价（元）</v>
      </c>
      <c r="I102" s="1852">
        <f ca="1">H121</f>
        <v>3852327</v>
      </c>
    </row>
    <row r="103" spans="1:35" ht="15">
      <c r="A103" s="2935" t="s">
        <v>1941</v>
      </c>
      <c r="B103" s="2282" t="str">
        <f>B101</f>
        <v>总价（元）</v>
      </c>
      <c r="C103" s="722">
        <f ca="1">H121</f>
        <v>3852327</v>
      </c>
      <c r="D103" s="723"/>
      <c r="E103" s="2185"/>
      <c r="F103" s="2880"/>
      <c r="G103" s="2881"/>
      <c r="H103" s="2281" t="s">
        <v>1939</v>
      </c>
      <c r="I103" s="1047">
        <f ca="1">I121</f>
        <v>44173</v>
      </c>
    </row>
    <row r="104" spans="1:35" ht="16.5" thickBot="1">
      <c r="A104" s="2936"/>
      <c r="B104" s="2283" t="s">
        <v>1939</v>
      </c>
      <c r="C104" s="724">
        <f ca="1">I121</f>
        <v>44173</v>
      </c>
      <c r="D104" s="725"/>
      <c r="E104" s="2185"/>
      <c r="F104" s="2952"/>
      <c r="G104" s="2953"/>
      <c r="H104" s="2937"/>
      <c r="I104" s="2938"/>
    </row>
    <row r="105" spans="1:35" ht="15.75">
      <c r="A105" s="2943" t="s">
        <v>1942</v>
      </c>
      <c r="B105" s="2944"/>
      <c r="C105" s="2944"/>
      <c r="D105" s="2945"/>
      <c r="E105" s="2185"/>
      <c r="F105" s="2941" t="s">
        <v>1943</v>
      </c>
      <c r="G105" s="2942"/>
      <c r="H105" s="2284" t="str">
        <f>C108</f>
        <v>总额（元）</v>
      </c>
      <c r="I105" s="1852">
        <f>SUMIF(I106:I108,"&lt;9E307")</f>
        <v>0</v>
      </c>
    </row>
    <row r="106" spans="1:35" ht="15">
      <c r="A106" s="2867" t="s">
        <v>1944</v>
      </c>
      <c r="B106" s="2868"/>
      <c r="C106" s="2281" t="str">
        <f>B101</f>
        <v>总价（元）</v>
      </c>
      <c r="D106" s="1048">
        <f ca="1">H121</f>
        <v>3852327</v>
      </c>
      <c r="E106" s="2185"/>
      <c r="F106" s="2869" t="s">
        <v>1945</v>
      </c>
      <c r="G106" s="2870"/>
      <c r="H106" s="2284" t="str">
        <f>C109</f>
        <v>总额（元）</v>
      </c>
      <c r="I106" s="1047">
        <f>IF(D36="同一抵押权人同一抵押物续贷",C36&amp;"（未扣减，详见特别提示）",C36)</f>
        <v>0</v>
      </c>
      <c r="K106" s="2195" t="str">
        <f>IF(D123=0,"本次评估不存在"&amp;A123&amp;"。","本次评估"&amp;A123&amp;"为"&amp;D123&amp;"元人民币。")</f>
        <v>本次评估不存在——。</v>
      </c>
    </row>
    <row r="107" spans="1:35" ht="15">
      <c r="A107" s="2867"/>
      <c r="B107" s="2868"/>
      <c r="C107" s="2281" t="s">
        <v>1939</v>
      </c>
      <c r="D107" s="1049">
        <f ca="1">I121</f>
        <v>44173</v>
      </c>
      <c r="E107" s="2185"/>
      <c r="F107" s="2869" t="s">
        <v>1946</v>
      </c>
      <c r="G107" s="2870"/>
      <c r="H107" s="2284" t="str">
        <f>C110</f>
        <v>总额（元）</v>
      </c>
      <c r="I107" s="1047">
        <f>C37</f>
        <v>0</v>
      </c>
      <c r="K107" s="2285"/>
    </row>
    <row r="108" spans="1:35" ht="15">
      <c r="A108" s="2874" t="s">
        <v>1947</v>
      </c>
      <c r="B108" s="2875"/>
      <c r="C108" s="2284" t="str">
        <f>IF(H19="元","总额（元）","总额（万元）")</f>
        <v>总额（元）</v>
      </c>
      <c r="D108" s="1048">
        <f>IF(D36="正常操作",I106+I107+I108,I107+I108)</f>
        <v>0</v>
      </c>
      <c r="E108" s="2185"/>
      <c r="F108" s="2869" t="s">
        <v>1948</v>
      </c>
      <c r="G108" s="2870"/>
      <c r="H108" s="2284" t="str">
        <f>C111</f>
        <v>总额（元）</v>
      </c>
      <c r="I108" s="1047">
        <f>C38</f>
        <v>0</v>
      </c>
    </row>
    <row r="109" spans="1:35" ht="15.75">
      <c r="A109" s="2869" t="s">
        <v>1945</v>
      </c>
      <c r="B109" s="2870"/>
      <c r="C109" s="2284" t="str">
        <f>C108</f>
        <v>总额（元）</v>
      </c>
      <c r="D109" s="635">
        <f>IF(D36="同一抵押权人同一抵押物续贷",C36&amp;"（未扣减，详见特别提示）",C36)</f>
        <v>0</v>
      </c>
      <c r="E109" s="2185"/>
      <c r="F109" s="2952"/>
      <c r="G109" s="2953"/>
      <c r="H109" s="2939"/>
      <c r="I109" s="2940"/>
    </row>
    <row r="110" spans="1:35" ht="28.5" customHeight="1">
      <c r="A110" s="2869" t="s">
        <v>1946</v>
      </c>
      <c r="B110" s="2870"/>
      <c r="C110" s="2284" t="str">
        <f>C108</f>
        <v>总额（元）</v>
      </c>
      <c r="D110" s="635">
        <f>C37</f>
        <v>0</v>
      </c>
      <c r="E110" s="2185"/>
      <c r="F110" s="2855" t="str">
        <f>IF(项目基本情况!F5="已注销","——","3.房地产抵押价值")</f>
        <v>3.房地产抵押价值</v>
      </c>
      <c r="G110" s="2856"/>
      <c r="H110" s="2286" t="str">
        <f>C112</f>
        <v>总价（元）</v>
      </c>
      <c r="I110" s="1853">
        <f ca="1">IF(F110="——","——",I102-I105)</f>
        <v>3852327</v>
      </c>
    </row>
    <row r="111" spans="1:35" ht="15">
      <c r="A111" s="2869" t="s">
        <v>1948</v>
      </c>
      <c r="B111" s="2870"/>
      <c r="C111" s="2284" t="str">
        <f>C108</f>
        <v>总额（元）</v>
      </c>
      <c r="D111" s="635">
        <f>C38</f>
        <v>0</v>
      </c>
      <c r="E111" s="2185"/>
      <c r="F111" s="2971"/>
      <c r="G111" s="2972"/>
      <c r="H111" s="2281" t="s">
        <v>1939</v>
      </c>
      <c r="I111" s="2287">
        <f ca="1">D113</f>
        <v>44173</v>
      </c>
    </row>
    <row r="112" spans="1:35" ht="26.25" customHeight="1">
      <c r="A112" s="2867" t="str">
        <f>IF(项目基本情况!F5="已注销","——","3.房地产抵押价值")</f>
        <v>3.房地产抵押价值</v>
      </c>
      <c r="B112" s="2868"/>
      <c r="C112" s="2281" t="str">
        <f>B101</f>
        <v>总价（元）</v>
      </c>
      <c r="D112" s="1048">
        <f ca="1">IF(A112="——","——",D106-D108)</f>
        <v>3852327</v>
      </c>
      <c r="E112" s="2185"/>
      <c r="F112" s="2855" t="str">
        <f>IF(项目基本情况!F5="已注销及未注销","4.抵押担保权已注销时的房地产抵押价值",IF(项目基本情况!F5="已注销","3.抵押担保权已注销时的房地产抵押价值","——"))</f>
        <v>——</v>
      </c>
      <c r="G112" s="2856"/>
      <c r="H112" s="2286" t="str">
        <f>C114</f>
        <v>总价（元）</v>
      </c>
      <c r="I112" s="1853" t="str">
        <f>IF(F112="——","——",I102-I107-I108)</f>
        <v>——</v>
      </c>
    </row>
    <row r="113" spans="1:15" ht="15">
      <c r="A113" s="2867"/>
      <c r="B113" s="2868"/>
      <c r="C113" s="2281" t="s">
        <v>1939</v>
      </c>
      <c r="D113" s="1049">
        <f ca="1">ROUND(IF(D112=D106,D107,IF(H19="元",D112/项目基本情况!C12,D112*10000/项目基本情况!C12)),0)</f>
        <v>44173</v>
      </c>
      <c r="E113" s="2185"/>
      <c r="F113" s="2971"/>
      <c r="G113" s="2972"/>
      <c r="H113" s="2281" t="s">
        <v>1939</v>
      </c>
      <c r="I113" s="2288" t="str">
        <f>D115</f>
        <v>——</v>
      </c>
    </row>
    <row r="114" spans="1:15" ht="15.75">
      <c r="A114" s="2867" t="str">
        <f>IF(项目基本情况!F5="已注销及未注销","4.抵押担保权已注销时的房地产抵押价值",IF(项目基本情况!F5="已注销","3.抵押担保权已注销时的房地产抵押价值","——"))</f>
        <v>——</v>
      </c>
      <c r="B114" s="2868"/>
      <c r="C114" s="2281" t="str">
        <f>B101</f>
        <v>总价（元）</v>
      </c>
      <c r="D114" s="1048" t="str">
        <f>IF(A114="——","——",D106-D110-D111)</f>
        <v>——</v>
      </c>
      <c r="E114" s="2185"/>
      <c r="F114" s="2855" t="str">
        <f>IF(项目基本情况!G5="抵押净值",IF(OR(项目基本情况!F5="已注销",项目基本情况!F5="房地产抵押价值"),"4.抵押净值","5.抵押净值"),"——")</f>
        <v>——</v>
      </c>
      <c r="G114" s="2856"/>
      <c r="H114" s="2281" t="str">
        <f>C116</f>
        <v>总价（元）</v>
      </c>
      <c r="I114" s="1852" t="str">
        <f>IF(F114="——","——",N59)</f>
        <v>——</v>
      </c>
    </row>
    <row r="115" spans="1:15" ht="15.75" thickBot="1">
      <c r="A115" s="2867"/>
      <c r="B115" s="2868"/>
      <c r="C115" s="2281" t="s">
        <v>1939</v>
      </c>
      <c r="D115" s="1049" t="str">
        <f>IF(A114="——","——",ROUND(IF(D114=D106,D107,IF(H19="元",D114/项目基本情况!C12,D114*10000/项目基本情况!C12)),0))</f>
        <v>——</v>
      </c>
      <c r="E115" s="2185"/>
      <c r="F115" s="2857"/>
      <c r="G115" s="2858"/>
      <c r="H115" s="2289" t="s">
        <v>1939</v>
      </c>
      <c r="I115" s="1854" t="str">
        <f ca="1">D117</f>
        <v>——</v>
      </c>
    </row>
    <row r="116" spans="1:15" ht="15.75">
      <c r="A116" s="2867" t="str">
        <f>IF(项目基本情况!G5="抵押净值",IF(OR(项目基本情况!F5="已注销",项目基本情况!F5="房地产抵押价值"),"4.抵押净值","5.抵押净值"),"——")</f>
        <v>——</v>
      </c>
      <c r="B116" s="2868"/>
      <c r="C116" s="2281" t="str">
        <f>B101</f>
        <v>总价（元）</v>
      </c>
      <c r="D116" s="1048" t="str">
        <f>IF(A116="——","——",N59)</f>
        <v>——</v>
      </c>
      <c r="E116" s="2185"/>
      <c r="F116" s="2967"/>
      <c r="G116" s="2967"/>
      <c r="H116" s="2923"/>
      <c r="I116" s="2923"/>
      <c r="N116" s="55"/>
      <c r="O116" s="55"/>
    </row>
    <row r="117" spans="1:15" ht="15.75" thickBot="1">
      <c r="A117" s="2872"/>
      <c r="B117" s="2873"/>
      <c r="C117" s="2289" t="s">
        <v>1939</v>
      </c>
      <c r="D117" s="1050" t="str">
        <f ca="1">IF(D116=D112,D113,IF(A116="——","——",N61))</f>
        <v>——</v>
      </c>
      <c r="E117" s="218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77" t="s">
        <v>1955</v>
      </c>
      <c r="E120" s="1877" t="s">
        <v>1956</v>
      </c>
      <c r="F120" s="1877" t="s">
        <v>1955</v>
      </c>
      <c r="G120" s="1877" t="s">
        <v>1957</v>
      </c>
      <c r="H120" s="1877" t="s">
        <v>1955</v>
      </c>
      <c r="I120" s="635" t="s">
        <v>1957</v>
      </c>
    </row>
    <row r="121" spans="1:15" ht="14.25">
      <c r="A121" s="2171" t="str">
        <f>项目基本情况!I1</f>
        <v>北京市房地产</v>
      </c>
      <c r="B121" s="1877">
        <f>项目基本情况!C12</f>
        <v>87.21</v>
      </c>
      <c r="C121" s="1877">
        <f>项目基本情况!C13</f>
        <v>0</v>
      </c>
      <c r="D121" s="1877">
        <f ca="1">ROUND(IF(B32="总价",C34,IF('数据-取费表'!B3="万元",E121*B121/10000,E121*B121)),0)</f>
        <v>3316858</v>
      </c>
      <c r="E121" s="1877">
        <f ca="1">ROUND(IF(B32="楼面单价",C34,IF(H19="元",D121/B121,D121*10000/B121)),0)</f>
        <v>38033</v>
      </c>
      <c r="F121" s="1877">
        <f ca="1">ROUND(IF(B32="总价",C35,IF('数据-取费表'!B3="万元",G121*B121/10000,G121*B121)),0)</f>
        <v>535469</v>
      </c>
      <c r="G121" s="1877">
        <f ca="1">ROUND(IF(B32="楼面单价",C35,IF(H19="元",F121/B121,F121*10000/B121)),0)</f>
        <v>6140</v>
      </c>
      <c r="H121" s="1877">
        <f ca="1">ROUND(IF(B32="总价",C32,IF('数据-取费表'!B3="万元",I121*B121/10000,I121*B121)),0)</f>
        <v>3852327</v>
      </c>
      <c r="I121" s="635">
        <f ca="1">ROUND(IF(B32="楼面单价",C32,IF(H19="元",H121/B121,H121*10000/B121)),0)</f>
        <v>44173</v>
      </c>
    </row>
    <row r="122" spans="1:15" ht="14.25">
      <c r="A122" s="2848" t="s">
        <v>1958</v>
      </c>
      <c r="B122" s="2849"/>
      <c r="C122" s="2849"/>
      <c r="D122" s="2882" t="str">
        <f ca="1">IF(H19="元",NUMBERSTRING(INT(D121),2)&amp;"元整",NUMBERSTRING(INT(D121*10000),2)&amp;"元整")</f>
        <v>叁佰叁拾壹万陆仟捌佰伍拾捌元整</v>
      </c>
      <c r="E122" s="2929"/>
      <c r="F122" s="2882" t="str">
        <f ca="1">IF(H19="元",NUMBERSTRING(INT(F121),2)&amp;"元整",NUMBERSTRING(INT(F121*10000),2)&amp;"元整")</f>
        <v>伍拾叁万伍仟肆佰陆拾玖元整</v>
      </c>
      <c r="G122" s="2929"/>
      <c r="H122" s="2882" t="str">
        <f ca="1">IF(H19="元",NUMBERSTRING(INT(H121),2)&amp;"元整",NUMBERSTRING(INT(H121*10000),2)&amp;"元整")</f>
        <v>叁佰捌拾伍万贰仟叁佰贰拾柒元整</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f ca="1">I110</f>
        <v>3852327</v>
      </c>
      <c r="E125" s="2860"/>
      <c r="F125" s="2860"/>
      <c r="G125" s="2860"/>
      <c r="H125" s="2860"/>
      <c r="I125" s="2861"/>
    </row>
    <row r="126" spans="1:15" ht="14.25">
      <c r="A126" s="2848" t="s">
        <v>1958</v>
      </c>
      <c r="B126" s="2849"/>
      <c r="C126" s="2849"/>
      <c r="D126" s="2862">
        <f ca="1">I111</f>
        <v>44173</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290" t="s">
        <v>1959</v>
      </c>
      <c r="B133" s="2291"/>
      <c r="C133" s="2292" t="s">
        <v>1960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6"/>
    </row>
    <row r="139" spans="1:9" ht="21.75" customHeight="1">
      <c r="A139" s="796"/>
      <c r="B139" s="796"/>
      <c r="C139" s="796"/>
      <c r="D139" s="796"/>
      <c r="E139" s="796"/>
      <c r="F139" s="2303" t="s">
        <v>1961</v>
      </c>
      <c r="G139" s="2304"/>
      <c r="H139" s="2304"/>
      <c r="I139" s="2305" t="s">
        <v>1962</v>
      </c>
    </row>
    <row r="140" spans="1:9" ht="21.75" customHeight="1">
      <c r="A140" s="796"/>
      <c r="B140" s="2306"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4"/>
      <c r="C142" s="2304"/>
      <c r="D142" s="2304"/>
      <c r="E142" s="2304"/>
      <c r="F142" s="2304"/>
      <c r="G142" s="2304"/>
      <c r="H142" s="2304"/>
      <c r="I142" s="2305" t="s">
        <v>1964</v>
      </c>
    </row>
    <row r="143" spans="1:9" ht="21.75" customHeight="1">
      <c r="A143" s="796"/>
      <c r="B143" s="2306" t="s">
        <v>1965</v>
      </c>
      <c r="C143" s="796"/>
      <c r="D143" s="796"/>
      <c r="E143" s="796"/>
      <c r="F143" s="796"/>
      <c r="G143" s="796"/>
      <c r="H143" s="796"/>
      <c r="I143" s="796"/>
    </row>
    <row r="144" spans="1:9" ht="21.75" customHeight="1">
      <c r="A144" s="796"/>
      <c r="B144" s="2306"/>
      <c r="C144" s="796"/>
      <c r="D144" s="796"/>
      <c r="E144" s="796"/>
      <c r="F144" s="796"/>
      <c r="G144" s="796"/>
      <c r="H144" s="796"/>
      <c r="I144" s="796"/>
    </row>
    <row r="145" spans="1:35" ht="21.75" customHeight="1">
      <c r="A145" s="796"/>
      <c r="B145" s="2304"/>
      <c r="C145" s="2304"/>
      <c r="D145" s="2304"/>
      <c r="E145" s="2304"/>
      <c r="F145" s="2304"/>
      <c r="G145" s="2304"/>
      <c r="H145" s="2304"/>
      <c r="I145" s="2305" t="s">
        <v>1964</v>
      </c>
    </row>
    <row r="146" spans="1:35" ht="21.75" customHeight="1">
      <c r="A146" s="796"/>
      <c r="B146" s="2306"/>
      <c r="C146" s="2307"/>
      <c r="D146" s="2308"/>
      <c r="E146" s="2308"/>
      <c r="F146" s="2309"/>
      <c r="G146" s="796"/>
      <c r="H146" s="796"/>
      <c r="I146" s="796"/>
    </row>
    <row r="147" spans="1:35" s="55" customFormat="1" ht="21.75" customHeight="1">
      <c r="A147" s="796"/>
      <c r="B147" s="2306"/>
      <c r="C147" s="2307"/>
      <c r="D147" s="2308"/>
      <c r="E147" s="2308"/>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6"/>
      <c r="G516" s="2186"/>
      <c r="H516" s="2186"/>
      <c r="I516" s="2186"/>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6" customWidth="1"/>
    <col min="12" max="12" width="12.625" style="796"/>
    <col min="13" max="13" width="14.125" style="796" bestFit="1" customWidth="1"/>
    <col min="14" max="26" width="12.625" style="796"/>
    <col min="27" max="35" width="12.625" style="1835"/>
    <col min="36" max="16384" width="12.625" style="2186"/>
  </cols>
  <sheetData>
    <row r="1" spans="1:12" ht="21.75" customHeight="1">
      <c r="A1" s="2184" t="s">
        <v>1966</v>
      </c>
      <c r="B1" s="2185"/>
      <c r="C1" s="2185"/>
      <c r="D1" s="2185"/>
      <c r="E1" s="2185"/>
      <c r="F1" s="2185"/>
      <c r="G1" s="2185"/>
      <c r="H1" s="2185"/>
      <c r="I1" s="218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87" t="s">
        <v>1772</v>
      </c>
      <c r="B4" s="2188" t="s">
        <v>1773</v>
      </c>
      <c r="C4" s="2189"/>
      <c r="D4" s="2189"/>
      <c r="E4" s="2894" t="s">
        <v>1968</v>
      </c>
      <c r="F4" s="2895"/>
      <c r="G4" s="2895"/>
      <c r="H4" s="2895"/>
      <c r="I4" s="2905"/>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190"/>
      <c r="G5" s="2190"/>
      <c r="H5" s="2190"/>
      <c r="I5" s="2191"/>
    </row>
    <row r="6" spans="1:12" ht="12.75">
      <c r="A6" s="2887"/>
      <c r="B6" s="2849"/>
      <c r="C6" s="2915"/>
      <c r="D6" s="2912"/>
      <c r="E6" s="56" t="s">
        <v>1777</v>
      </c>
      <c r="F6" s="2190"/>
      <c r="G6" s="2190"/>
      <c r="H6" s="2190"/>
      <c r="I6" s="2191"/>
    </row>
    <row r="7" spans="1:12" ht="12.75">
      <c r="A7" s="2887"/>
      <c r="B7" s="2849"/>
      <c r="C7" s="2899"/>
      <c r="D7" s="2912"/>
      <c r="E7" s="56" t="s">
        <v>1778</v>
      </c>
      <c r="F7" s="2190"/>
      <c r="G7" s="2190"/>
      <c r="H7" s="2190"/>
      <c r="I7" s="2191"/>
    </row>
    <row r="8" spans="1:12" ht="12.75">
      <c r="A8" s="2887" t="s">
        <v>1779</v>
      </c>
      <c r="B8" s="2849">
        <v>15</v>
      </c>
      <c r="C8" s="2898"/>
      <c r="D8" s="2912"/>
      <c r="E8" s="56" t="s">
        <v>1780</v>
      </c>
      <c r="F8" s="2190"/>
      <c r="G8" s="2190"/>
      <c r="H8" s="2190"/>
      <c r="I8" s="2191"/>
    </row>
    <row r="9" spans="1:12" ht="12.75">
      <c r="A9" s="2887"/>
      <c r="B9" s="2849"/>
      <c r="C9" s="2899"/>
      <c r="D9" s="2912"/>
      <c r="E9" s="56" t="s">
        <v>1781</v>
      </c>
      <c r="F9" s="2190"/>
      <c r="G9" s="2190"/>
      <c r="H9" s="2190"/>
      <c r="I9" s="2191"/>
    </row>
    <row r="10" spans="1:12" ht="12.75">
      <c r="A10" s="2887" t="s">
        <v>1782</v>
      </c>
      <c r="B10" s="2849">
        <v>15</v>
      </c>
      <c r="C10" s="2898"/>
      <c r="D10" s="2912"/>
      <c r="E10" s="56" t="s">
        <v>1783</v>
      </c>
      <c r="F10" s="2190"/>
      <c r="G10" s="2190"/>
      <c r="H10" s="2190"/>
      <c r="I10" s="2191"/>
    </row>
    <row r="11" spans="1:12" ht="12.75">
      <c r="A11" s="2887"/>
      <c r="B11" s="2849"/>
      <c r="C11" s="2899"/>
      <c r="D11" s="2912"/>
      <c r="E11" s="56" t="s">
        <v>1784</v>
      </c>
      <c r="F11" s="2190"/>
      <c r="G11" s="2190"/>
      <c r="H11" s="2190"/>
      <c r="I11" s="2191"/>
    </row>
    <row r="12" spans="1:12" ht="12.75">
      <c r="A12" s="2887" t="s">
        <v>1785</v>
      </c>
      <c r="B12" s="2849">
        <v>15</v>
      </c>
      <c r="C12" s="2898"/>
      <c r="D12" s="2912"/>
      <c r="E12" s="56" t="s">
        <v>1786</v>
      </c>
      <c r="F12" s="2190"/>
      <c r="G12" s="2190"/>
      <c r="H12" s="2190"/>
      <c r="I12" s="2191"/>
    </row>
    <row r="13" spans="1:12" ht="12.75">
      <c r="A13" s="2887"/>
      <c r="B13" s="2849"/>
      <c r="C13" s="2899"/>
      <c r="D13" s="2912"/>
      <c r="E13" s="56" t="s">
        <v>1787</v>
      </c>
      <c r="F13" s="2190"/>
      <c r="G13" s="2190"/>
      <c r="H13" s="2190"/>
      <c r="I13" s="2191"/>
    </row>
    <row r="14" spans="1:12" ht="12.75">
      <c r="A14" s="2887" t="s">
        <v>1788</v>
      </c>
      <c r="B14" s="2849">
        <v>30</v>
      </c>
      <c r="C14" s="2898"/>
      <c r="D14" s="2912"/>
      <c r="E14" s="56" t="s">
        <v>1789</v>
      </c>
      <c r="F14" s="2190"/>
      <c r="G14" s="2190"/>
      <c r="H14" s="2190"/>
      <c r="I14" s="2191"/>
    </row>
    <row r="15" spans="1:12" ht="12.75">
      <c r="A15" s="2887"/>
      <c r="B15" s="2849"/>
      <c r="C15" s="2915"/>
      <c r="D15" s="2912"/>
      <c r="E15" s="56" t="s">
        <v>1790</v>
      </c>
      <c r="F15" s="2190"/>
      <c r="G15" s="2190"/>
      <c r="H15" s="2190"/>
      <c r="I15" s="2191"/>
    </row>
    <row r="16" spans="1:12" ht="12.75">
      <c r="A16" s="2887"/>
      <c r="B16" s="2849"/>
      <c r="C16" s="2899"/>
      <c r="D16" s="2912"/>
      <c r="E16" s="56" t="s">
        <v>1791</v>
      </c>
      <c r="F16" s="2190"/>
      <c r="G16" s="2190"/>
      <c r="H16" s="2190"/>
      <c r="I16" s="2191"/>
    </row>
    <row r="17" spans="1:35" ht="15">
      <c r="A17" s="2192" t="s">
        <v>1792</v>
      </c>
      <c r="B17" s="2193"/>
      <c r="C17" s="57">
        <f>SUM(C5:C16)</f>
        <v>0</v>
      </c>
      <c r="D17" s="57">
        <f>SUM(D5:D16)</f>
        <v>0</v>
      </c>
      <c r="E17" s="2185"/>
      <c r="F17" s="2185"/>
      <c r="G17" s="2185"/>
      <c r="H17" s="2185"/>
      <c r="I17" s="2185"/>
    </row>
    <row r="18" spans="1:35" ht="15.75" thickBot="1">
      <c r="A18" s="2194" t="s">
        <v>1793</v>
      </c>
      <c r="B18" s="2195"/>
      <c r="C18" s="58" t="e">
        <f>ROUND(C17/SUM(C17:D17),2)</f>
        <v>#DIV/0!</v>
      </c>
      <c r="D18" s="58" t="e">
        <f>1-C18</f>
        <v>#DIV/0!</v>
      </c>
      <c r="E18" s="2185"/>
      <c r="F18" s="2185"/>
      <c r="G18" s="2185"/>
      <c r="H18" s="2185"/>
      <c r="I18" s="2185"/>
    </row>
    <row r="19" spans="1:35" ht="15">
      <c r="A19" s="2196" t="s">
        <v>1794</v>
      </c>
      <c r="B19" s="2197" t="s">
        <v>1795</v>
      </c>
      <c r="C19" s="59" t="e">
        <f ca="1">SUMIF(INDIRECT("'"&amp;C4&amp;"'"&amp;"!A:A"),'结果表 (1修多)'!B19,INDIRECT("'"&amp;C4&amp;"'"&amp;"!B:B"))</f>
        <v>#REF!</v>
      </c>
      <c r="D19" s="60" t="e">
        <f ca="1">SUMIF(INDIRECT("'"&amp;D4&amp;"'"&amp;"!A:A"),'结果表 (1修多)'!B19,INDIRECT("'"&amp;D4&amp;"'"&amp;"!B:B"))</f>
        <v>#REF!</v>
      </c>
      <c r="E19" s="2196" t="s">
        <v>1796</v>
      </c>
      <c r="F19" s="2197" t="s">
        <v>1795</v>
      </c>
      <c r="G19" s="61" t="e">
        <f ca="1">ROUND(C19*$C$18+D19*$D$18,0)</f>
        <v>#REF!</v>
      </c>
      <c r="H19" s="2198" t="str">
        <f>'数据-取费表'!B3</f>
        <v>元</v>
      </c>
      <c r="I19" s="2185"/>
    </row>
    <row r="20" spans="1:35" ht="15">
      <c r="A20" s="2199"/>
      <c r="B20" s="2200" t="s">
        <v>1797</v>
      </c>
      <c r="C20" s="62" t="e">
        <f ca="1">SUMIF(INDIRECT("'"&amp;C4&amp;"'"&amp;"!A:A"),'结果表 (1修多)'!B20,INDIRECT("'"&amp;C4&amp;"'"&amp;"!B:B"))</f>
        <v>#REF!</v>
      </c>
      <c r="D20" s="63" t="e">
        <f ca="1">SUMIF(INDIRECT("'"&amp;D4&amp;"'"&amp;"!A:A"),'结果表 (1修多)'!B20,INDIRECT("'"&amp;D4&amp;"'"&amp;"!B:B"))</f>
        <v>#REF!</v>
      </c>
      <c r="E20" s="2199"/>
      <c r="F20" s="2200" t="s">
        <v>1797</v>
      </c>
      <c r="G20" s="64" t="e">
        <f ca="1">ROUND(C20*$C$18+D20*$D$18,0)</f>
        <v>#REF!</v>
      </c>
      <c r="H20" s="2201" t="s">
        <v>1798</v>
      </c>
      <c r="I20" s="2185"/>
    </row>
    <row r="21" spans="1:35" ht="15" customHeight="1" thickBot="1">
      <c r="A21" s="2202"/>
      <c r="B21" s="2203"/>
      <c r="C21" s="768"/>
      <c r="D21" s="769"/>
      <c r="E21" s="2202"/>
      <c r="F21" s="2203"/>
      <c r="G21" s="65"/>
      <c r="H21" s="2204"/>
      <c r="I21" s="2185"/>
    </row>
    <row r="22" spans="1:35" ht="15" thickBot="1">
      <c r="A22" s="2205" t="s">
        <v>1799</v>
      </c>
      <c r="B22" s="2206"/>
      <c r="C22" s="2207"/>
      <c r="D22" s="770"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18" t="s">
        <v>1800</v>
      </c>
      <c r="B24" s="2197" t="s">
        <v>1795</v>
      </c>
      <c r="C24" s="61">
        <f>D30</f>
        <v>0</v>
      </c>
      <c r="D24" s="991"/>
      <c r="E24" s="2185"/>
      <c r="F24" s="2185"/>
      <c r="G24" s="2185"/>
      <c r="H24" s="2185"/>
      <c r="I24" s="2185"/>
    </row>
    <row r="25" spans="1:35" ht="21.75" customHeight="1">
      <c r="A25" s="2919"/>
      <c r="B25" s="2200" t="s">
        <v>1797</v>
      </c>
      <c r="C25" s="66">
        <f>IF(B30=0,0,C30)</f>
        <v>0</v>
      </c>
      <c r="D25" s="2208"/>
      <c r="E25" s="2185"/>
      <c r="F25" s="2185"/>
      <c r="G25" s="2185"/>
      <c r="H25" s="2185"/>
      <c r="I25" s="2185"/>
    </row>
    <row r="26" spans="1:35" ht="13.5" customHeight="1">
      <c r="A26" s="2209" t="s">
        <v>1801</v>
      </c>
      <c r="B26" s="67" t="s">
        <v>1802</v>
      </c>
      <c r="C26" s="67" t="s">
        <v>1803</v>
      </c>
      <c r="D26" s="68" t="s">
        <v>1804</v>
      </c>
      <c r="E26" s="2185"/>
      <c r="F26" s="2185"/>
      <c r="G26" s="2185"/>
      <c r="H26" s="2185"/>
      <c r="I26" s="2185"/>
    </row>
    <row r="27" spans="1:35" ht="14.25">
      <c r="A27" s="2210" t="s">
        <v>1969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705" t="s">
        <v>1970</v>
      </c>
      <c r="B30" s="2706"/>
      <c r="C30" s="2706"/>
      <c r="D30" s="2706"/>
      <c r="E30" s="2704" t="s">
        <v>2807</v>
      </c>
      <c r="F30" s="2185"/>
      <c r="G30" s="2185"/>
      <c r="H30" s="2185"/>
      <c r="I30" s="2185"/>
    </row>
    <row r="31" spans="1:35" s="2212" customFormat="1" ht="15.75" thickBot="1">
      <c r="A31" s="2974" t="s">
        <v>1971</v>
      </c>
      <c r="B31" s="2974"/>
      <c r="C31" s="2974"/>
      <c r="D31" s="2974"/>
      <c r="E31" s="2974"/>
      <c r="F31" s="2974"/>
      <c r="G31" s="2974"/>
      <c r="H31" s="2974"/>
      <c r="I31" s="2974"/>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0"/>
      <c r="B32" s="2311" t="s">
        <v>1972</v>
      </c>
      <c r="C32" s="1305">
        <f>典型户型修正!R27</f>
        <v>0</v>
      </c>
      <c r="D32" s="2185" t="s">
        <v>1973</v>
      </c>
      <c r="E32" s="2185"/>
      <c r="F32" s="2185"/>
      <c r="G32" s="2185"/>
      <c r="H32" s="2185"/>
      <c r="I32" s="2185"/>
    </row>
    <row r="33" spans="1:16" ht="15">
      <c r="A33" s="2312" t="s">
        <v>1974</v>
      </c>
      <c r="B33" s="2313" t="s">
        <v>1975</v>
      </c>
      <c r="C33" s="1306">
        <f>典型户型修正!B2</f>
        <v>0</v>
      </c>
      <c r="D33" s="2314" t="str">
        <f>IF('数据-取费表'!B3="万元","万元","元")</f>
        <v>元</v>
      </c>
      <c r="E33" s="2185"/>
      <c r="F33" s="2185"/>
      <c r="G33" s="2185"/>
      <c r="H33" s="2185"/>
      <c r="I33" s="2185"/>
    </row>
    <row r="34" spans="1:16" ht="15.75" thickBot="1">
      <c r="A34" s="2315"/>
      <c r="B34" s="2316" t="s">
        <v>1976</v>
      </c>
      <c r="C34" s="769" t="e">
        <f>典型户型修正!B3</f>
        <v>#DIV/0!</v>
      </c>
      <c r="D34" s="2185" t="s">
        <v>1977</v>
      </c>
      <c r="E34" s="2185"/>
      <c r="F34" s="2185"/>
      <c r="G34" s="2185"/>
      <c r="H34" s="2185"/>
      <c r="I34" s="2185"/>
    </row>
    <row r="35" spans="1:16" ht="15">
      <c r="A35" s="2317"/>
      <c r="B35" s="2318" t="s">
        <v>1978</v>
      </c>
      <c r="C35" s="1313">
        <f>IF('数据-取费表'!B3="万元",典型户型修正!V25,典型户型修正!U25)</f>
        <v>0</v>
      </c>
      <c r="D35" s="2185" t="str">
        <f>D33</f>
        <v>元</v>
      </c>
      <c r="E35" s="2185"/>
      <c r="F35" s="2185"/>
      <c r="G35" s="2185"/>
      <c r="H35" s="2185"/>
      <c r="I35" s="2185"/>
    </row>
    <row r="36" spans="1:16" ht="15.75" thickBot="1">
      <c r="A36" s="2224"/>
      <c r="B36" s="2319" t="s">
        <v>1979</v>
      </c>
      <c r="C36" s="1314">
        <f>IF('数据-取费表'!B3="万元",典型户型修正!Y25,典型户型修正!X25)</f>
        <v>0</v>
      </c>
      <c r="D36" s="2185" t="str">
        <f>D33</f>
        <v>元</v>
      </c>
      <c r="E36" s="2185"/>
      <c r="F36" s="2185"/>
      <c r="G36" s="2185"/>
      <c r="H36" s="2185"/>
      <c r="I36" s="2185"/>
    </row>
    <row r="37" spans="1:16" ht="15.75" thickBot="1">
      <c r="A37" s="2900" t="s">
        <v>1980</v>
      </c>
      <c r="B37" s="2227" t="s">
        <v>1981</v>
      </c>
      <c r="C37" s="69"/>
      <c r="D37" s="2228"/>
      <c r="E37" s="2229"/>
      <c r="F37" s="2229"/>
      <c r="G37" s="2185"/>
      <c r="H37" s="2185"/>
      <c r="I37" s="2185"/>
    </row>
    <row r="38" spans="1:16" ht="15.75" thickBot="1">
      <c r="A38" s="2901"/>
      <c r="B38" s="2230" t="s">
        <v>1982</v>
      </c>
      <c r="C38" s="71"/>
      <c r="D38" s="2195"/>
      <c r="E38" s="2195"/>
      <c r="F38" s="2229"/>
      <c r="G38" s="2195"/>
      <c r="H38" s="2195"/>
      <c r="I38" s="2195"/>
    </row>
    <row r="39" spans="1:16" ht="15.75" thickBot="1">
      <c r="A39" s="2902"/>
      <c r="B39" s="2231" t="s">
        <v>1983</v>
      </c>
      <c r="C39" s="710"/>
      <c r="D39" s="2232" t="s">
        <v>1984</v>
      </c>
      <c r="E39" s="2195"/>
      <c r="F39" s="2229"/>
      <c r="G39" s="2195"/>
      <c r="H39" s="2195"/>
      <c r="I39" s="2195"/>
    </row>
    <row r="40" spans="1:16" ht="15">
      <c r="A40" s="2199" t="s">
        <v>1985</v>
      </c>
      <c r="B40" s="2233" t="s">
        <v>1986</v>
      </c>
      <c r="C40" s="2234" t="s">
        <v>1987</v>
      </c>
      <c r="D40" s="2234" t="s">
        <v>1988</v>
      </c>
      <c r="E40" s="2235" t="s">
        <v>1989</v>
      </c>
      <c r="F40" s="2229"/>
      <c r="G40" s="2195"/>
      <c r="H40" s="2195"/>
      <c r="I40" s="2195"/>
    </row>
    <row r="41" spans="1:16" ht="14.25">
      <c r="A41" s="2236" t="s">
        <v>1990</v>
      </c>
      <c r="B41" s="74"/>
      <c r="C41" s="75"/>
      <c r="D41" s="75"/>
      <c r="E41" s="76"/>
      <c r="F41" s="2229"/>
      <c r="G41" s="2195"/>
      <c r="H41" s="2195"/>
      <c r="I41" s="2195"/>
    </row>
    <row r="42" spans="1:16" ht="14.25">
      <c r="A42" s="2236" t="s">
        <v>1991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1992</v>
      </c>
      <c r="B45" s="2242"/>
      <c r="C45" s="2242"/>
      <c r="D45" s="2243"/>
      <c r="E45" s="2243"/>
      <c r="F45" s="2244"/>
      <c r="G45" s="2244"/>
      <c r="H45" s="2244"/>
      <c r="I45" s="2244"/>
      <c r="J45" s="2245" t="s">
        <v>1823</v>
      </c>
      <c r="K45" s="2246"/>
      <c r="L45" s="2246"/>
      <c r="M45" s="2246"/>
      <c r="N45" s="2246"/>
      <c r="O45" s="2246"/>
      <c r="P45" s="1835"/>
    </row>
    <row r="46" spans="1:16" ht="14.25" customHeight="1" thickBot="1">
      <c r="A46" s="2906" t="s">
        <v>1993</v>
      </c>
      <c r="B46" s="2907"/>
      <c r="C46" s="2908"/>
      <c r="D46" s="80">
        <f>ROUND(I103*F46,0)</f>
        <v>0</v>
      </c>
      <c r="E46" s="81" t="s">
        <v>1994</v>
      </c>
      <c r="F46" s="82">
        <v>1</v>
      </c>
      <c r="G46" s="83" t="s">
        <v>1995</v>
      </c>
      <c r="H46" s="2185"/>
      <c r="I46" s="2185"/>
      <c r="J46" s="2968" t="s">
        <v>1827</v>
      </c>
      <c r="K46" s="2968"/>
      <c r="L46" s="2968"/>
      <c r="M46" s="2968"/>
      <c r="N46" s="2968"/>
      <c r="O46" s="2968"/>
      <c r="P46" s="1835"/>
    </row>
    <row r="47" spans="1:16" ht="14.25" customHeight="1">
      <c r="A47" s="2891" t="s">
        <v>1828</v>
      </c>
      <c r="B47" s="2892"/>
      <c r="C47" s="2892"/>
      <c r="D47" s="2892"/>
      <c r="E47" s="2892"/>
      <c r="F47" s="2892"/>
      <c r="G47" s="2893"/>
      <c r="H47" s="2247"/>
      <c r="I47" s="1141"/>
      <c r="J47" s="1873">
        <v>1</v>
      </c>
      <c r="K47" s="2968" t="s">
        <v>1829</v>
      </c>
      <c r="L47" s="2968"/>
      <c r="M47" s="2984"/>
      <c r="N47" s="2984"/>
      <c r="O47" s="2984"/>
      <c r="P47" s="1835"/>
    </row>
    <row r="48" spans="1:16" ht="12" customHeight="1">
      <c r="A48" s="85" t="s">
        <v>1830</v>
      </c>
      <c r="B48" s="86"/>
      <c r="C48" s="87"/>
      <c r="D48" s="88" t="s">
        <v>1831</v>
      </c>
      <c r="E48" s="14" t="s">
        <v>1832</v>
      </c>
      <c r="F48" s="89" t="s">
        <v>1833</v>
      </c>
      <c r="G48" s="90" t="s">
        <v>1834</v>
      </c>
      <c r="H48" s="2247"/>
      <c r="I48" s="1141"/>
      <c r="J48" s="1873">
        <v>2</v>
      </c>
      <c r="K48" s="2968" t="s">
        <v>1835</v>
      </c>
      <c r="L48" s="2968"/>
      <c r="M48" s="2970">
        <f>'数据-取费表'!B2</f>
        <v>43328</v>
      </c>
      <c r="N48" s="2970"/>
      <c r="O48" s="2970"/>
      <c r="P48" s="1835"/>
    </row>
    <row r="49" spans="1:16" ht="25.5">
      <c r="A49" s="2903" t="s">
        <v>1836</v>
      </c>
      <c r="B49" s="2904"/>
      <c r="C49" s="2904"/>
      <c r="D49" s="56">
        <f>IF(H49="情况1",0,IF(H49="情况2",D53,IF(H49="情况3",D54,IF(H49="情况4",D55))))</f>
        <v>0</v>
      </c>
      <c r="E49" s="1883" t="str">
        <f>IF(H49="情况4","(销售额-原购置价)×税（费）率","销售额×税（费）率")</f>
        <v>销售额×税（费）率</v>
      </c>
      <c r="F49" s="91">
        <f>IF(H49="情况1","免征",'数据-取费表'!E29)</f>
        <v>5.6000000000000001E-2</v>
      </c>
      <c r="G49" s="2248" t="s">
        <v>1837</v>
      </c>
      <c r="H49" s="2249" t="s">
        <v>1838</v>
      </c>
      <c r="I49" s="2247"/>
      <c r="J49" s="1873">
        <v>3</v>
      </c>
      <c r="K49" s="2968" t="s">
        <v>1839</v>
      </c>
      <c r="L49" s="2968"/>
      <c r="M49" s="2969">
        <f>I103</f>
        <v>0</v>
      </c>
      <c r="N49" s="2969"/>
      <c r="O49" s="2969"/>
      <c r="P49" s="1835"/>
    </row>
    <row r="50" spans="1:16" ht="25.5" customHeight="1">
      <c r="A50" s="92" t="s">
        <v>1840</v>
      </c>
      <c r="B50" s="2896" t="s">
        <v>1841</v>
      </c>
      <c r="C50" s="2896"/>
      <c r="D50" s="93">
        <v>0</v>
      </c>
      <c r="E50" s="13" t="s">
        <v>1842</v>
      </c>
      <c r="F50" s="18" t="s">
        <v>48</v>
      </c>
      <c r="G50" s="2961"/>
      <c r="H50" s="2185"/>
      <c r="I50" s="2250"/>
      <c r="J50" s="187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35"/>
    </row>
    <row r="51" spans="1:16" ht="25.5" customHeight="1">
      <c r="A51" s="94"/>
      <c r="B51" s="2896" t="s">
        <v>1843</v>
      </c>
      <c r="C51" s="2896"/>
      <c r="D51" s="95"/>
      <c r="E51" s="21"/>
      <c r="F51" s="96"/>
      <c r="G51" s="2962"/>
      <c r="H51" s="2185"/>
      <c r="I51" s="2250"/>
      <c r="J51" s="2968" t="s">
        <v>1844</v>
      </c>
      <c r="K51" s="2968"/>
      <c r="L51" s="2968"/>
      <c r="M51" s="2968"/>
      <c r="N51" s="2968"/>
      <c r="O51" s="2968"/>
      <c r="P51" s="1835"/>
    </row>
    <row r="52" spans="1:16" ht="12" customHeight="1">
      <c r="A52" s="97"/>
      <c r="B52" s="2896" t="s">
        <v>1845</v>
      </c>
      <c r="C52" s="2896"/>
      <c r="D52" s="98"/>
      <c r="E52" s="20"/>
      <c r="F52" s="96"/>
      <c r="G52" s="2963"/>
      <c r="H52" s="2185"/>
      <c r="I52" s="2250"/>
      <c r="J52" s="2251" t="s">
        <v>1846</v>
      </c>
      <c r="K52" s="2968" t="s">
        <v>1847</v>
      </c>
      <c r="L52" s="2968"/>
      <c r="M52" s="2251" t="s">
        <v>1848</v>
      </c>
      <c r="N52" s="2251" t="s">
        <v>1849</v>
      </c>
      <c r="O52" s="2251" t="s">
        <v>1850</v>
      </c>
      <c r="P52" s="1835"/>
    </row>
    <row r="53" spans="1:16" ht="24" customHeight="1">
      <c r="A53" s="99" t="s">
        <v>1851</v>
      </c>
      <c r="B53" s="2896" t="s">
        <v>1852</v>
      </c>
      <c r="C53" s="2896"/>
      <c r="D53" s="98">
        <f>ROUND(D46*'数据-取费表'!E29/(1+'数据-取费表'!F30),0)</f>
        <v>0</v>
      </c>
      <c r="E53" s="10" t="s">
        <v>1853</v>
      </c>
      <c r="F53" s="100">
        <f>'数据-取费表'!E29</f>
        <v>5.6000000000000001E-2</v>
      </c>
      <c r="G53" s="2252"/>
      <c r="H53" s="2185"/>
      <c r="I53" s="2250"/>
      <c r="J53" s="1873">
        <v>1</v>
      </c>
      <c r="K53" s="2928" t="s">
        <v>1854</v>
      </c>
      <c r="L53" s="2928"/>
      <c r="M53" s="776">
        <f>D49</f>
        <v>0</v>
      </c>
      <c r="N53" s="1873" t="str">
        <f>E49</f>
        <v>销售额×税（费）率</v>
      </c>
      <c r="O53" s="777">
        <f>F49</f>
        <v>5.6000000000000001E-2</v>
      </c>
      <c r="P53" s="1835"/>
    </row>
    <row r="54" spans="1:16" ht="12" customHeight="1">
      <c r="A54" s="99" t="s">
        <v>1855</v>
      </c>
      <c r="B54" s="2897" t="s">
        <v>1856</v>
      </c>
      <c r="C54" s="2822"/>
      <c r="D54" s="98">
        <f>ROUND(D46*'数据-取费表'!E29/(1+'数据-取费表'!F30),0)</f>
        <v>0</v>
      </c>
      <c r="E54" s="10" t="s">
        <v>1853</v>
      </c>
      <c r="F54" s="100">
        <f>'数据-取费表'!E29</f>
        <v>5.6000000000000001E-2</v>
      </c>
      <c r="G54" s="2252"/>
      <c r="H54" s="2185"/>
      <c r="I54" s="2250"/>
      <c r="J54" s="1873">
        <v>2</v>
      </c>
      <c r="K54" s="2928" t="s">
        <v>1857</v>
      </c>
      <c r="L54" s="2928"/>
      <c r="M54" s="776">
        <f t="shared" ref="M54:O55" si="1">D56</f>
        <v>0</v>
      </c>
      <c r="N54" s="1873" t="str">
        <f t="shared" si="1"/>
        <v>销售额×税（费）率</v>
      </c>
      <c r="O54" s="777">
        <f t="shared" si="1"/>
        <v>5.0000000000000001E-4</v>
      </c>
      <c r="P54" s="1835"/>
    </row>
    <row r="55" spans="1:16" ht="12" customHeight="1">
      <c r="A55" s="99" t="s">
        <v>1858</v>
      </c>
      <c r="B55" s="2897" t="s">
        <v>1859</v>
      </c>
      <c r="C55" s="2822"/>
      <c r="D55" s="98">
        <f>C69</f>
        <v>0</v>
      </c>
      <c r="E55" s="20" t="s">
        <v>1860</v>
      </c>
      <c r="F55" s="100">
        <f>'数据-取费表'!E29</f>
        <v>5.6000000000000001E-2</v>
      </c>
      <c r="G55" s="2252"/>
      <c r="H55" s="2253"/>
      <c r="I55" s="2250"/>
      <c r="J55" s="1873">
        <v>3</v>
      </c>
      <c r="K55" s="2928" t="s">
        <v>1861</v>
      </c>
      <c r="L55" s="2928"/>
      <c r="M55" s="776">
        <f t="shared" si="1"/>
        <v>0</v>
      </c>
      <c r="N55" s="1873" t="str">
        <f t="shared" si="1"/>
        <v>增值额×税（费）率</v>
      </c>
      <c r="O55" s="778" t="str">
        <f t="shared" si="1"/>
        <v>——</v>
      </c>
      <c r="P55" s="1835"/>
    </row>
    <row r="56" spans="1:16" ht="24" customHeight="1">
      <c r="A56" s="2814" t="s">
        <v>1862</v>
      </c>
      <c r="B56" s="2904"/>
      <c r="C56" s="2904"/>
      <c r="D56" s="101">
        <f>IF(H56="个人住宅",0,ROUND(D46*I56,0))</f>
        <v>0</v>
      </c>
      <c r="E56" s="10" t="s">
        <v>1863</v>
      </c>
      <c r="F56" s="100">
        <f>IF(H56="正常",I56,"免征")</f>
        <v>5.0000000000000001E-4</v>
      </c>
      <c r="G56" s="2252"/>
      <c r="H56" s="2249" t="s">
        <v>1864</v>
      </c>
      <c r="I56" s="102">
        <f>'数据-取费表'!E37</f>
        <v>5.0000000000000001E-4</v>
      </c>
      <c r="J56" s="1873" t="str">
        <f>IF(H60="非个人房产","",4)</f>
        <v/>
      </c>
      <c r="K56" s="2928" t="str">
        <f>IF(H60="非个人房产","——","个人所得税")</f>
        <v>——</v>
      </c>
      <c r="L56" s="2928"/>
      <c r="M56" s="779" t="str">
        <f>D60</f>
        <v>——</v>
      </c>
      <c r="N56" s="1876" t="str">
        <f>E60</f>
        <v>——</v>
      </c>
      <c r="O56" s="780" t="str">
        <f>F60</f>
        <v>——</v>
      </c>
      <c r="P56" s="1835"/>
    </row>
    <row r="57" spans="1:16" ht="24.75">
      <c r="A57" s="2814" t="s">
        <v>1865</v>
      </c>
      <c r="B57" s="2904"/>
      <c r="C57" s="2904"/>
      <c r="D57" s="101">
        <f>IF(H57="个人住宅",D58,D59)</f>
        <v>0</v>
      </c>
      <c r="E57" s="10" t="s">
        <v>1866</v>
      </c>
      <c r="F57" s="100" t="str">
        <f>IF(H57="正常",F59,"免征")</f>
        <v>——</v>
      </c>
      <c r="G57" s="2254" t="s">
        <v>1867</v>
      </c>
      <c r="H57" s="2255" t="s">
        <v>1864</v>
      </c>
      <c r="I57" s="1019"/>
      <c r="J57" s="1873" t="str">
        <f>IF(项目基本情况!I6="上海银行",IF(J56="",4,J56+1),"")</f>
        <v/>
      </c>
      <c r="K57" s="2946" t="str">
        <f>IF(项目基本情况!I6="上海银行","其他处置费用","")</f>
        <v/>
      </c>
      <c r="L57" s="2947"/>
      <c r="M57" s="776" t="str">
        <f>IF(项目基本情况!I6="上海银行",M70,"")</f>
        <v/>
      </c>
      <c r="N57" s="2959" t="str">
        <f>IF(项目基本情况!I6="上海银行","包含处置中涉及的律师、诉讼、拍卖、评估等费用","")</f>
        <v/>
      </c>
      <c r="O57" s="2960"/>
      <c r="P57" s="1835"/>
    </row>
    <row r="58" spans="1:16" ht="12.75">
      <c r="A58" s="99" t="s">
        <v>1840</v>
      </c>
      <c r="B58" s="2894" t="s">
        <v>1868</v>
      </c>
      <c r="C58" s="2905"/>
      <c r="D58" s="103">
        <v>0</v>
      </c>
      <c r="E58" s="13" t="s">
        <v>1842</v>
      </c>
      <c r="F58" s="70"/>
      <c r="G58" s="2252"/>
      <c r="H58" s="1019"/>
      <c r="I58" s="1019"/>
      <c r="J58" s="2928">
        <f>IF(AND(J56="",J57=""),4,IF(项目基本情况!I6="上海银行",J57+1,J56+1))</f>
        <v>4</v>
      </c>
      <c r="K58" s="2928" t="s">
        <v>1869</v>
      </c>
      <c r="L58" s="2256" t="s">
        <v>1870</v>
      </c>
      <c r="M58" s="781"/>
      <c r="N58" s="782">
        <f>SUMIF(M53:M57,"&lt;9e307")</f>
        <v>0</v>
      </c>
      <c r="O58" s="2257"/>
      <c r="P58" s="1831" t="e">
        <f>N58/M50</f>
        <v>#VALUE!</v>
      </c>
    </row>
    <row r="59" spans="1:16" ht="24.75">
      <c r="A59" s="99" t="s">
        <v>1851</v>
      </c>
      <c r="B59" s="2894" t="s">
        <v>1871</v>
      </c>
      <c r="C59" s="2895"/>
      <c r="D59" s="101">
        <f>IF(H59="转让取得",C82,C98)</f>
        <v>0</v>
      </c>
      <c r="E59" s="10" t="s">
        <v>1866</v>
      </c>
      <c r="F59" s="14" t="s">
        <v>48</v>
      </c>
      <c r="G59" s="2252"/>
      <c r="H59" s="2255" t="s">
        <v>1872</v>
      </c>
      <c r="I59" s="1019"/>
      <c r="J59" s="2928"/>
      <c r="K59" s="2928"/>
      <c r="L59" s="2256" t="s">
        <v>1873</v>
      </c>
      <c r="M59" s="783"/>
      <c r="N59" s="2258" t="str">
        <f>IF(H19="元",NUMBERSTRING(INT(N58),2)&amp;"元整",NUMBERSTRING(INT(N58*10000),2)&amp;"元整")</f>
        <v>零元整</v>
      </c>
      <c r="O59" s="2259"/>
      <c r="P59" s="1835"/>
    </row>
    <row r="60" spans="1:16" ht="24.75" thickBot="1">
      <c r="A60" s="2815" t="s">
        <v>1874</v>
      </c>
      <c r="B60" s="2818"/>
      <c r="C60" s="2818"/>
      <c r="D60" s="104" t="str">
        <f>IF(H60="非个人房产","——",IF(H60="个人住宅",0,ROUND(D46*I60,0)))</f>
        <v>——</v>
      </c>
      <c r="E60" s="105" t="str">
        <f>IF(H60="非个人房产","——","销售额×税（费）率")</f>
        <v>——</v>
      </c>
      <c r="F60" s="106" t="str">
        <f>IF(H60="非个人房产","——",IF(H60="个人住宅","免征",I60))</f>
        <v>——</v>
      </c>
      <c r="G60" s="2260" t="s">
        <v>1867</v>
      </c>
      <c r="H60" s="2255" t="s">
        <v>1996</v>
      </c>
      <c r="I60" s="107">
        <v>0.01</v>
      </c>
      <c r="J60" s="2926">
        <f>J58+1</f>
        <v>5</v>
      </c>
      <c r="K60" s="2928" t="s">
        <v>1876</v>
      </c>
      <c r="L60" s="1873" t="s">
        <v>1870</v>
      </c>
      <c r="M60" s="784"/>
      <c r="N60" s="785" t="e">
        <f>M50-N58</f>
        <v>#VALUE!</v>
      </c>
      <c r="O60" s="2261"/>
      <c r="P60" s="1835"/>
    </row>
    <row r="61" spans="1:16" ht="12" customHeight="1">
      <c r="A61" s="2058"/>
      <c r="B61" s="2185"/>
      <c r="C61" s="2185"/>
      <c r="D61" s="2185"/>
      <c r="E61" s="1019"/>
      <c r="F61" s="1019"/>
      <c r="G61" s="1019"/>
      <c r="H61" s="2238"/>
      <c r="I61" s="2185"/>
      <c r="J61" s="2927"/>
      <c r="K61" s="2928"/>
      <c r="L61" s="2256" t="s">
        <v>1873</v>
      </c>
      <c r="M61" s="783"/>
      <c r="N61" s="2258" t="e">
        <f>IF(H19="元",NUMBERSTRING(INT(N60),2)&amp;"元整",NUMBERSTRING(INT(N60*10000),2)&amp;"元整")</f>
        <v>#VALUE!</v>
      </c>
      <c r="O61" s="2259"/>
      <c r="P61" s="1835"/>
    </row>
    <row r="62" spans="1:16" ht="13.5" thickBot="1">
      <c r="A62" s="2909" t="s">
        <v>1877</v>
      </c>
      <c r="B62" s="2909"/>
      <c r="C62" s="2909"/>
      <c r="D62" s="2909"/>
      <c r="E62" s="2909"/>
      <c r="F62" s="1019"/>
      <c r="G62" s="1019"/>
      <c r="H62" s="2238"/>
      <c r="I62" s="2185"/>
      <c r="J62" s="1873">
        <f>J60+1</f>
        <v>6</v>
      </c>
      <c r="K62" s="2928" t="s">
        <v>1878</v>
      </c>
      <c r="L62" s="2928"/>
      <c r="M62" s="786"/>
      <c r="N62" s="787" t="e">
        <f>IF(H19="元",ROUND(N60/项目基本情况!C12,0),ROUND(N60*10000/项目基本情况!C12,0))</f>
        <v>#VALUE!</v>
      </c>
      <c r="O62" s="2262"/>
      <c r="P62" s="1835"/>
    </row>
    <row r="63" spans="1:16" ht="12.75">
      <c r="A63" s="2916" t="s">
        <v>1879</v>
      </c>
      <c r="B63" s="2917"/>
      <c r="C63" s="1875"/>
      <c r="D63" s="1875" t="s">
        <v>1880</v>
      </c>
      <c r="E63" s="108" t="s">
        <v>1881</v>
      </c>
      <c r="F63" s="1019"/>
      <c r="G63" s="1019"/>
      <c r="H63" s="2238"/>
      <c r="I63" s="2185"/>
      <c r="J63" s="1835"/>
      <c r="K63" s="1835"/>
      <c r="L63" s="1835"/>
      <c r="M63" s="1835"/>
      <c r="N63" s="1835"/>
      <c r="O63" s="1835"/>
      <c r="P63" s="1835"/>
    </row>
    <row r="64" spans="1:16" ht="12.75">
      <c r="A64" s="109">
        <v>1</v>
      </c>
      <c r="B64" s="110" t="s">
        <v>1882</v>
      </c>
      <c r="C64" s="111">
        <f>ROUND((C65+C66)/(1+'数据-取费表'!F30),0)</f>
        <v>0</v>
      </c>
      <c r="D64" s="112"/>
      <c r="E64" s="113"/>
      <c r="F64" s="1019"/>
      <c r="G64" s="1019"/>
      <c r="H64" s="2238"/>
      <c r="I64" s="2185"/>
      <c r="J64" s="2948" t="s">
        <v>1883</v>
      </c>
      <c r="K64" s="2263"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8"/>
      <c r="I65" s="2185"/>
      <c r="J65" s="2948"/>
      <c r="K65" s="2263"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8"/>
      <c r="I66" s="2185"/>
      <c r="J66" s="2948"/>
      <c r="K66" s="2263"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8"/>
      <c r="I67" s="2185"/>
      <c r="J67" s="2948"/>
      <c r="K67" s="2263"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8"/>
      <c r="I68" s="2185"/>
      <c r="J68" s="2948"/>
      <c r="K68" s="2263"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8"/>
      <c r="I69" s="2185"/>
      <c r="J69" s="2948"/>
      <c r="K69" s="2263" t="s">
        <v>1897</v>
      </c>
      <c r="L69" s="1834" t="e">
        <f>IF(M50&gt;10000,M50*0.5%,IF(AND(M50&gt;5000,M50&lt;=10000),M50*1%,IF(AND(M50&gt;1000,M50&lt;=5000),M50*2%,IF(AND(M50&gt;200,M50&lt;=1000),M50*3%,M50*5%))))</f>
        <v>#VALUE!</v>
      </c>
      <c r="M69" s="14" t="e">
        <f>ROUND(L69,1)</f>
        <v>#VALUE!</v>
      </c>
      <c r="N69" s="1835"/>
      <c r="O69" s="1835"/>
      <c r="P69" s="1835"/>
    </row>
    <row r="70" spans="1:35" s="2212" customFormat="1" ht="7.5" customHeight="1">
      <c r="A70" s="2264"/>
      <c r="B70" s="2265"/>
      <c r="C70" s="2266"/>
      <c r="D70" s="2267"/>
      <c r="E70" s="2268"/>
      <c r="F70" s="1019"/>
      <c r="G70" s="1019"/>
      <c r="H70" s="2238"/>
      <c r="I70" s="2185"/>
      <c r="J70" s="2948"/>
      <c r="K70" s="2263" t="s">
        <v>1898</v>
      </c>
      <c r="L70" s="2269"/>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1" customFormat="1" ht="15" thickBot="1">
      <c r="A71" s="2920" t="s">
        <v>1899</v>
      </c>
      <c r="B71" s="2921"/>
      <c r="C71" s="2921"/>
      <c r="D71" s="2921"/>
      <c r="E71" s="2921"/>
      <c r="F71" s="2921"/>
      <c r="G71" s="2921"/>
      <c r="H71" s="2921"/>
      <c r="I71" s="2270"/>
      <c r="J71" s="1283"/>
      <c r="K71" s="1283"/>
      <c r="L71" s="1283"/>
      <c r="M71" s="1283"/>
      <c r="N71" s="1283"/>
      <c r="O71" s="1283"/>
      <c r="P71" s="1283"/>
      <c r="Q71" s="1283"/>
      <c r="R71" s="1283"/>
      <c r="S71" s="1283"/>
      <c r="T71" s="1283"/>
      <c r="U71" s="1283"/>
      <c r="V71" s="1283"/>
      <c r="W71" s="1283"/>
      <c r="X71" s="1283"/>
      <c r="Y71" s="1283"/>
      <c r="Z71" s="1283"/>
      <c r="AA71" s="2272"/>
      <c r="AB71" s="2272"/>
      <c r="AC71" s="2272"/>
      <c r="AD71" s="2272"/>
      <c r="AE71" s="2272"/>
      <c r="AF71" s="2272"/>
      <c r="AG71" s="2272"/>
      <c r="AH71" s="2272"/>
      <c r="AI71" s="2272"/>
    </row>
    <row r="72" spans="1:35" s="2271" customFormat="1" ht="14.25">
      <c r="A72" s="2916" t="s">
        <v>1879</v>
      </c>
      <c r="B72" s="2917"/>
      <c r="C72" s="1875"/>
      <c r="D72" s="1875" t="s">
        <v>1880</v>
      </c>
      <c r="E72" s="130" t="s">
        <v>1881</v>
      </c>
      <c r="F72" s="131"/>
      <c r="G72" s="131"/>
      <c r="H72" s="132"/>
      <c r="I72" s="2273"/>
      <c r="J72" s="1283"/>
      <c r="K72" s="1283"/>
      <c r="L72" s="1283"/>
      <c r="M72" s="1283"/>
      <c r="N72" s="1283"/>
      <c r="O72" s="1283"/>
      <c r="P72" s="1283"/>
      <c r="Q72" s="1283"/>
      <c r="R72" s="1283"/>
      <c r="S72" s="1283"/>
      <c r="T72" s="1283"/>
      <c r="U72" s="1283"/>
      <c r="V72" s="1283"/>
      <c r="W72" s="1283"/>
      <c r="X72" s="1283"/>
      <c r="Y72" s="1283"/>
      <c r="Z72" s="1283"/>
      <c r="AA72" s="2272"/>
      <c r="AB72" s="2272"/>
      <c r="AC72" s="2272"/>
      <c r="AD72" s="2272"/>
      <c r="AE72" s="2272"/>
      <c r="AF72" s="2272"/>
      <c r="AG72" s="2272"/>
      <c r="AH72" s="2272"/>
      <c r="AI72" s="2272"/>
    </row>
    <row r="73" spans="1:35" s="2271" customFormat="1" ht="14.25">
      <c r="A73" s="133">
        <v>1</v>
      </c>
      <c r="B73" s="121" t="s">
        <v>1900</v>
      </c>
      <c r="C73" s="124">
        <f>ROUND(D46/(1+'数据-取费表'!F30),0)</f>
        <v>0</v>
      </c>
      <c r="D73" s="117" t="s">
        <v>41</v>
      </c>
      <c r="E73" s="1878"/>
      <c r="F73" s="1879"/>
      <c r="G73" s="1879"/>
      <c r="H73" s="134"/>
      <c r="I73" s="2273"/>
      <c r="J73" s="1283"/>
      <c r="K73" s="1283"/>
      <c r="L73" s="1283"/>
      <c r="M73" s="1283"/>
      <c r="N73" s="1283"/>
      <c r="O73" s="1283"/>
      <c r="P73" s="1283"/>
      <c r="Q73" s="1283"/>
      <c r="R73" s="1283"/>
      <c r="S73" s="1283"/>
      <c r="T73" s="1283"/>
      <c r="U73" s="1283"/>
      <c r="V73" s="1283"/>
      <c r="W73" s="1283"/>
      <c r="X73" s="1283"/>
      <c r="Y73" s="1283"/>
      <c r="Z73" s="1283"/>
      <c r="AA73" s="2272"/>
      <c r="AB73" s="2272"/>
      <c r="AC73" s="2272"/>
      <c r="AD73" s="2272"/>
      <c r="AE73" s="2272"/>
      <c r="AF73" s="2272"/>
      <c r="AG73" s="2272"/>
      <c r="AH73" s="2272"/>
      <c r="AI73" s="2272"/>
    </row>
    <row r="74" spans="1:35" s="2271" customFormat="1" ht="14.25">
      <c r="A74" s="135">
        <v>2</v>
      </c>
      <c r="B74" s="89" t="s">
        <v>1902</v>
      </c>
      <c r="C74" s="124">
        <f>C75+C79</f>
        <v>0</v>
      </c>
      <c r="D74" s="117" t="s">
        <v>41</v>
      </c>
      <c r="E74" s="1878"/>
      <c r="F74" s="1879"/>
      <c r="G74" s="1879"/>
      <c r="H74" s="134"/>
      <c r="I74" s="2273"/>
      <c r="J74" s="1283"/>
      <c r="K74" s="1283"/>
      <c r="L74" s="1283"/>
      <c r="M74" s="1283"/>
      <c r="N74" s="1283"/>
      <c r="O74" s="1283"/>
      <c r="P74" s="1283"/>
      <c r="Q74" s="1283"/>
      <c r="R74" s="1283"/>
      <c r="S74" s="1283"/>
      <c r="T74" s="1283"/>
      <c r="U74" s="1283"/>
      <c r="V74" s="1283"/>
      <c r="W74" s="1283"/>
      <c r="X74" s="1283"/>
      <c r="Y74" s="1283"/>
      <c r="Z74" s="1283"/>
      <c r="AA74" s="2272"/>
      <c r="AB74" s="2272"/>
      <c r="AC74" s="2272"/>
      <c r="AD74" s="2272"/>
      <c r="AE74" s="2272"/>
      <c r="AF74" s="2272"/>
      <c r="AG74" s="2272"/>
      <c r="AH74" s="2272"/>
      <c r="AI74" s="2272"/>
    </row>
    <row r="75" spans="1:35" s="2271" customFormat="1" ht="14.25">
      <c r="A75" s="136" t="s">
        <v>73</v>
      </c>
      <c r="B75" s="115" t="s">
        <v>1903</v>
      </c>
      <c r="C75" s="117">
        <f>ROUND(IF(G78="2016年5月1日后购买",C76/(1+'数据-取费表'!F30)+C77+C78,C76+C77+C78),0)</f>
        <v>0</v>
      </c>
      <c r="D75" s="117" t="s">
        <v>41</v>
      </c>
      <c r="E75" s="1878"/>
      <c r="F75" s="1879"/>
      <c r="G75" s="1879"/>
      <c r="H75" s="134"/>
      <c r="I75" s="2273"/>
      <c r="J75" s="1283"/>
      <c r="K75" s="1283"/>
      <c r="L75" s="1283"/>
      <c r="M75" s="1283"/>
      <c r="N75" s="1283"/>
      <c r="O75" s="1283"/>
      <c r="P75" s="1283"/>
      <c r="Q75" s="1283"/>
      <c r="R75" s="1283"/>
      <c r="S75" s="1283"/>
      <c r="T75" s="1283"/>
      <c r="U75" s="1283"/>
      <c r="V75" s="1283"/>
      <c r="W75" s="1283"/>
      <c r="X75" s="1283"/>
      <c r="Y75" s="1283"/>
      <c r="Z75" s="1283"/>
      <c r="AA75" s="2272"/>
      <c r="AB75" s="2272"/>
      <c r="AC75" s="2272"/>
      <c r="AD75" s="2272"/>
      <c r="AE75" s="2272"/>
      <c r="AF75" s="2272"/>
      <c r="AG75" s="2272"/>
      <c r="AH75" s="2272"/>
      <c r="AI75" s="2272"/>
    </row>
    <row r="76" spans="1:35" s="2271" customFormat="1" ht="14.25">
      <c r="A76" s="136" t="s">
        <v>74</v>
      </c>
      <c r="B76" s="115" t="s">
        <v>1904</v>
      </c>
      <c r="C76" s="137"/>
      <c r="D76" s="117" t="s">
        <v>41</v>
      </c>
      <c r="E76" s="138" t="s">
        <v>1905</v>
      </c>
      <c r="F76" s="2274"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2"/>
      <c r="AB76" s="2272"/>
      <c r="AC76" s="2272"/>
      <c r="AD76" s="2272"/>
      <c r="AE76" s="2272"/>
      <c r="AF76" s="2272"/>
      <c r="AG76" s="2272"/>
      <c r="AH76" s="2272"/>
      <c r="AI76" s="2272"/>
    </row>
    <row r="77" spans="1:35" s="2271" customFormat="1" ht="24.75" customHeight="1">
      <c r="A77" s="136" t="s">
        <v>75</v>
      </c>
      <c r="B77" s="140" t="s">
        <v>1908</v>
      </c>
      <c r="C77" s="117">
        <f>IF(F76="购房发票",ROUND(C76*H76*D77,0),0)</f>
        <v>0</v>
      </c>
      <c r="D77" s="141">
        <v>0.05</v>
      </c>
      <c r="E77" s="2897" t="s">
        <v>1909</v>
      </c>
      <c r="F77" s="2896"/>
      <c r="G77" s="2896"/>
      <c r="H77" s="2911"/>
      <c r="I77" s="2273"/>
      <c r="J77" s="1283"/>
      <c r="K77" s="1283"/>
      <c r="L77" s="1283"/>
      <c r="M77" s="1283"/>
      <c r="N77" s="1283"/>
      <c r="O77" s="1283"/>
      <c r="P77" s="1283"/>
      <c r="Q77" s="1283"/>
      <c r="R77" s="1283"/>
      <c r="S77" s="1283"/>
      <c r="T77" s="1283"/>
      <c r="U77" s="1283"/>
      <c r="V77" s="1283"/>
      <c r="W77" s="1283"/>
      <c r="X77" s="1283"/>
      <c r="Y77" s="1283"/>
      <c r="Z77" s="1283"/>
      <c r="AA77" s="2272"/>
      <c r="AB77" s="2272"/>
      <c r="AC77" s="2272"/>
      <c r="AD77" s="2272"/>
      <c r="AE77" s="2272"/>
      <c r="AF77" s="2272"/>
      <c r="AG77" s="2272"/>
      <c r="AH77" s="2272"/>
      <c r="AI77" s="2272"/>
    </row>
    <row r="78" spans="1:35" s="227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5" t="s">
        <v>1912</v>
      </c>
      <c r="H78" s="1880" t="str">
        <f>IF(G78="个人买卖住房","免征印花税"," ")</f>
        <v xml:space="preserve"> </v>
      </c>
      <c r="I78" s="2273"/>
      <c r="J78" s="1283"/>
      <c r="K78" s="1283"/>
      <c r="L78" s="1283"/>
      <c r="M78" s="1283"/>
      <c r="N78" s="1283"/>
      <c r="O78" s="1283"/>
      <c r="P78" s="1283"/>
      <c r="Q78" s="1283"/>
      <c r="R78" s="1283"/>
      <c r="S78" s="1283"/>
      <c r="T78" s="1283"/>
      <c r="U78" s="1283"/>
      <c r="V78" s="1283"/>
      <c r="W78" s="1283"/>
      <c r="X78" s="1283"/>
      <c r="Y78" s="1283"/>
      <c r="Z78" s="1283"/>
      <c r="AA78" s="2272"/>
      <c r="AB78" s="2272"/>
      <c r="AC78" s="2272"/>
      <c r="AD78" s="2272"/>
      <c r="AE78" s="2272"/>
      <c r="AF78" s="2272"/>
      <c r="AG78" s="2272"/>
      <c r="AH78" s="2272"/>
      <c r="AI78" s="2272"/>
    </row>
    <row r="79" spans="1:35" s="2271" customFormat="1" ht="24.75" customHeight="1">
      <c r="A79" s="136" t="s">
        <v>77</v>
      </c>
      <c r="B79" s="115" t="s">
        <v>1913</v>
      </c>
      <c r="C79" s="144">
        <f>ROUND(D46*D79/(1+'数据-取费表'!F30),0)</f>
        <v>0</v>
      </c>
      <c r="D79" s="145">
        <f>'数据-取费表'!E31</f>
        <v>6.000000000000001E-3</v>
      </c>
      <c r="E79" s="2888" t="s">
        <v>1914</v>
      </c>
      <c r="F79" s="2889"/>
      <c r="G79" s="2889"/>
      <c r="H79" s="2890"/>
      <c r="I79" s="2276"/>
      <c r="J79" s="1283"/>
      <c r="K79" s="1283"/>
      <c r="L79" s="1283"/>
      <c r="M79" s="1283"/>
      <c r="N79" s="1283"/>
      <c r="O79" s="1283"/>
      <c r="P79" s="1283"/>
      <c r="Q79" s="1283"/>
      <c r="R79" s="1283"/>
      <c r="S79" s="1283"/>
      <c r="T79" s="1283"/>
      <c r="U79" s="1283"/>
      <c r="V79" s="1283"/>
      <c r="W79" s="1283"/>
      <c r="X79" s="1283"/>
      <c r="Y79" s="1283"/>
      <c r="Z79" s="1283"/>
      <c r="AA79" s="2272"/>
      <c r="AB79" s="2272"/>
      <c r="AC79" s="2272"/>
      <c r="AD79" s="2272"/>
      <c r="AE79" s="2272"/>
      <c r="AF79" s="2272"/>
      <c r="AG79" s="2272"/>
      <c r="AH79" s="2272"/>
      <c r="AI79" s="2272"/>
    </row>
    <row r="80" spans="1:35" s="2271" customFormat="1" ht="14.25">
      <c r="A80" s="146" t="s">
        <v>42</v>
      </c>
      <c r="B80" s="121" t="s">
        <v>1915</v>
      </c>
      <c r="C80" s="124">
        <f>C73-C74</f>
        <v>0</v>
      </c>
      <c r="D80" s="117" t="s">
        <v>41</v>
      </c>
      <c r="E80" s="1878"/>
      <c r="F80" s="1879"/>
      <c r="G80" s="1879"/>
      <c r="H80" s="134"/>
      <c r="I80" s="2273"/>
      <c r="J80" s="1283"/>
      <c r="K80" s="1283"/>
      <c r="L80" s="1283"/>
      <c r="M80" s="1283"/>
      <c r="N80" s="1283"/>
      <c r="O80" s="1283"/>
      <c r="P80" s="1283"/>
      <c r="Q80" s="1283"/>
      <c r="R80" s="1283"/>
      <c r="S80" s="1283"/>
      <c r="T80" s="1283"/>
      <c r="U80" s="1283"/>
      <c r="V80" s="1283"/>
      <c r="W80" s="1283"/>
      <c r="X80" s="1283"/>
      <c r="Y80" s="1283"/>
      <c r="Z80" s="1283"/>
      <c r="AA80" s="2272"/>
      <c r="AB80" s="2272"/>
      <c r="AC80" s="2272"/>
      <c r="AD80" s="2272"/>
      <c r="AE80" s="2272"/>
      <c r="AF80" s="2272"/>
      <c r="AG80" s="2272"/>
      <c r="AH80" s="2272"/>
      <c r="AI80" s="2272"/>
    </row>
    <row r="81" spans="1:35" s="227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3"/>
      <c r="J81" s="1283"/>
      <c r="K81" s="1283"/>
      <c r="L81" s="1283"/>
      <c r="M81" s="1283"/>
      <c r="N81" s="1283"/>
      <c r="O81" s="1283"/>
      <c r="P81" s="1283"/>
      <c r="Q81" s="1283"/>
      <c r="R81" s="1283"/>
      <c r="S81" s="1283"/>
      <c r="T81" s="1283"/>
      <c r="U81" s="1283"/>
      <c r="V81" s="1283"/>
      <c r="W81" s="1283"/>
      <c r="X81" s="1283"/>
      <c r="Y81" s="1283"/>
      <c r="Z81" s="1283"/>
      <c r="AA81" s="2272"/>
      <c r="AB81" s="2272"/>
      <c r="AC81" s="2272"/>
      <c r="AD81" s="2272"/>
      <c r="AE81" s="2272"/>
      <c r="AF81" s="2272"/>
      <c r="AG81" s="2272"/>
      <c r="AH81" s="2272"/>
      <c r="AI81" s="2272"/>
    </row>
    <row r="82" spans="1:35" s="227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3"/>
      <c r="J82" s="1283"/>
      <c r="K82" s="1283"/>
      <c r="L82" s="1283"/>
      <c r="M82" s="1283"/>
      <c r="N82" s="1283"/>
      <c r="O82" s="1283"/>
      <c r="P82" s="1283"/>
      <c r="Q82" s="1283"/>
      <c r="R82" s="1283"/>
      <c r="S82" s="1283"/>
      <c r="T82" s="1283"/>
      <c r="U82" s="1283"/>
      <c r="V82" s="1283"/>
      <c r="W82" s="1283"/>
      <c r="X82" s="1283"/>
      <c r="Y82" s="1283"/>
      <c r="Z82" s="1283"/>
      <c r="AA82" s="2272"/>
      <c r="AB82" s="2272"/>
      <c r="AC82" s="2272"/>
      <c r="AD82" s="2272"/>
      <c r="AE82" s="2272"/>
      <c r="AF82" s="2272"/>
      <c r="AG82" s="2272"/>
      <c r="AH82" s="2272"/>
      <c r="AI82" s="2272"/>
    </row>
    <row r="83" spans="1:35" s="2271" customFormat="1" ht="7.5" customHeight="1">
      <c r="A83" s="715"/>
      <c r="B83" s="716"/>
      <c r="C83" s="9"/>
      <c r="D83" s="9"/>
      <c r="E83" s="716"/>
      <c r="F83" s="716"/>
      <c r="G83" s="716"/>
      <c r="H83" s="717"/>
      <c r="I83" s="2276"/>
      <c r="J83" s="1283"/>
      <c r="K83" s="1283"/>
      <c r="L83" s="1283"/>
      <c r="M83" s="1283"/>
      <c r="N83" s="1283"/>
      <c r="O83" s="1283"/>
      <c r="P83" s="1283"/>
      <c r="Q83" s="1283"/>
      <c r="R83" s="1283"/>
      <c r="S83" s="1283"/>
      <c r="T83" s="1283"/>
      <c r="U83" s="1283"/>
      <c r="V83" s="1283"/>
      <c r="W83" s="1283"/>
      <c r="X83" s="1283"/>
      <c r="Y83" s="1283"/>
      <c r="Z83" s="1283"/>
      <c r="AA83" s="2272"/>
      <c r="AB83" s="2272"/>
      <c r="AC83" s="2272"/>
      <c r="AD83" s="2272"/>
      <c r="AE83" s="2272"/>
      <c r="AF83" s="2272"/>
      <c r="AG83" s="2272"/>
      <c r="AH83" s="2272"/>
      <c r="AI83" s="2272"/>
    </row>
    <row r="84" spans="1:35" s="2271" customFormat="1" ht="15" thickBot="1">
      <c r="A84" s="2920" t="s">
        <v>1918</v>
      </c>
      <c r="B84" s="2921"/>
      <c r="C84" s="2921"/>
      <c r="D84" s="2921"/>
      <c r="E84" s="2921"/>
      <c r="F84" s="2921"/>
      <c r="G84" s="2921"/>
      <c r="H84" s="2921"/>
      <c r="I84" s="9"/>
      <c r="J84" s="1283"/>
      <c r="K84" s="1283"/>
      <c r="L84" s="1283"/>
      <c r="M84" s="1283"/>
      <c r="N84" s="1283"/>
      <c r="O84" s="1283"/>
      <c r="P84" s="1283"/>
      <c r="Q84" s="1283"/>
      <c r="R84" s="1283"/>
      <c r="S84" s="1283"/>
      <c r="T84" s="1283"/>
      <c r="U84" s="1283"/>
      <c r="V84" s="1283"/>
      <c r="W84" s="1283"/>
      <c r="X84" s="1283"/>
      <c r="Y84" s="1283"/>
      <c r="Z84" s="1283"/>
      <c r="AA84" s="2272"/>
      <c r="AB84" s="2272"/>
      <c r="AC84" s="2272"/>
      <c r="AD84" s="2272"/>
      <c r="AE84" s="2272"/>
      <c r="AF84" s="2272"/>
      <c r="AG84" s="2272"/>
      <c r="AH84" s="2272"/>
      <c r="AI84" s="2272"/>
    </row>
    <row r="85" spans="1:35" s="2271" customFormat="1" ht="14.25">
      <c r="A85" s="2916" t="s">
        <v>1879</v>
      </c>
      <c r="B85" s="2917"/>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2"/>
      <c r="AB85" s="2272"/>
      <c r="AC85" s="2272"/>
      <c r="AD85" s="2272"/>
      <c r="AE85" s="2272"/>
      <c r="AF85" s="2272"/>
      <c r="AG85" s="2272"/>
      <c r="AH85" s="2272"/>
      <c r="AI85" s="2272"/>
    </row>
    <row r="86" spans="1:35" s="2271"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2"/>
      <c r="AB86" s="2272"/>
      <c r="AC86" s="2272"/>
      <c r="AD86" s="2272"/>
      <c r="AE86" s="2272"/>
      <c r="AF86" s="2272"/>
      <c r="AG86" s="2272"/>
      <c r="AH86" s="2272"/>
      <c r="AI86" s="2272"/>
    </row>
    <row r="87" spans="1:35" s="2271"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2"/>
      <c r="AB87" s="2272"/>
      <c r="AC87" s="2272"/>
      <c r="AD87" s="2272"/>
      <c r="AE87" s="2272"/>
      <c r="AF87" s="2272"/>
      <c r="AG87" s="2272"/>
      <c r="AH87" s="2272"/>
      <c r="AI87" s="2272"/>
    </row>
    <row r="88" spans="1:35" s="2271"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2"/>
      <c r="AB88" s="2272"/>
      <c r="AC88" s="2272"/>
      <c r="AD88" s="2272"/>
      <c r="AE88" s="2272"/>
      <c r="AF88" s="2272"/>
      <c r="AG88" s="2272"/>
      <c r="AH88" s="2272"/>
      <c r="AI88" s="2272"/>
    </row>
    <row r="89" spans="1:35" s="2271" customFormat="1" ht="14.25">
      <c r="A89" s="136" t="s">
        <v>74</v>
      </c>
      <c r="B89" s="115" t="s">
        <v>1920</v>
      </c>
      <c r="C89" s="157"/>
      <c r="D89" s="145"/>
      <c r="E89" s="158" t="s">
        <v>1921</v>
      </c>
      <c r="F89" s="1872"/>
      <c r="G89" s="159" t="s">
        <v>1922</v>
      </c>
      <c r="H89" s="2277"/>
      <c r="I89" s="9"/>
      <c r="J89" s="1283"/>
      <c r="K89" s="1283"/>
      <c r="L89" s="1283"/>
      <c r="M89" s="1283"/>
      <c r="N89" s="1283"/>
      <c r="O89" s="1283"/>
      <c r="P89" s="1283"/>
      <c r="Q89" s="1283"/>
      <c r="R89" s="1283"/>
      <c r="S89" s="1283"/>
      <c r="T89" s="1283"/>
      <c r="U89" s="1283"/>
      <c r="V89" s="1283"/>
      <c r="W89" s="1283"/>
      <c r="X89" s="1283"/>
      <c r="Y89" s="1283"/>
      <c r="Z89" s="1283"/>
      <c r="AA89" s="2272"/>
      <c r="AB89" s="2272"/>
      <c r="AC89" s="2272"/>
      <c r="AD89" s="2272"/>
      <c r="AE89" s="2272"/>
      <c r="AF89" s="2272"/>
      <c r="AG89" s="2272"/>
      <c r="AH89" s="2272"/>
      <c r="AI89" s="2272"/>
    </row>
    <row r="90" spans="1:35" s="2271"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2"/>
      <c r="AB90" s="2272"/>
      <c r="AC90" s="2272"/>
      <c r="AD90" s="2272"/>
      <c r="AE90" s="2272"/>
      <c r="AF90" s="2272"/>
      <c r="AG90" s="2272"/>
      <c r="AH90" s="2272"/>
      <c r="AI90" s="2272"/>
    </row>
    <row r="91" spans="1:35" s="2271"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2"/>
      <c r="AB91" s="2272"/>
      <c r="AC91" s="2272"/>
      <c r="AD91" s="2272"/>
      <c r="AE91" s="2272"/>
      <c r="AF91" s="2272"/>
      <c r="AG91" s="2272"/>
      <c r="AH91" s="2272"/>
      <c r="AI91" s="2272"/>
    </row>
    <row r="92" spans="1:35" s="2271" customFormat="1" ht="30.75" customHeight="1">
      <c r="A92" s="136" t="s">
        <v>78</v>
      </c>
      <c r="B92" s="115" t="s">
        <v>1925</v>
      </c>
      <c r="C92" s="144">
        <f>IF(H92="——",成本法!C33,I92)</f>
        <v>0</v>
      </c>
      <c r="D92" s="145"/>
      <c r="E92" s="2888" t="s">
        <v>1926</v>
      </c>
      <c r="F92" s="2889"/>
      <c r="G92" s="2889"/>
      <c r="H92" s="2278" t="s">
        <v>1927</v>
      </c>
      <c r="I92" s="2279"/>
      <c r="J92" s="1283"/>
      <c r="K92" s="1283"/>
      <c r="L92" s="1283"/>
      <c r="M92" s="1283"/>
      <c r="N92" s="1283"/>
      <c r="O92" s="1283"/>
      <c r="P92" s="1283"/>
      <c r="Q92" s="1283"/>
      <c r="R92" s="1283"/>
      <c r="S92" s="1283"/>
      <c r="T92" s="1283"/>
      <c r="U92" s="1283"/>
      <c r="V92" s="1283"/>
      <c r="W92" s="1283"/>
      <c r="X92" s="1283"/>
      <c r="Y92" s="1283"/>
      <c r="Z92" s="1283"/>
      <c r="AA92" s="2272"/>
      <c r="AB92" s="2272"/>
      <c r="AC92" s="2272"/>
      <c r="AD92" s="2272"/>
      <c r="AE92" s="2272"/>
      <c r="AF92" s="2272"/>
      <c r="AG92" s="2272"/>
      <c r="AH92" s="2272"/>
      <c r="AI92" s="2272"/>
    </row>
    <row r="93" spans="1:35" s="2271" customFormat="1" ht="25.5" customHeight="1">
      <c r="A93" s="136" t="s">
        <v>79</v>
      </c>
      <c r="B93" s="115" t="s">
        <v>1928</v>
      </c>
      <c r="C93" s="144">
        <f>ROUND((C88+C91+C92)*D93,0)</f>
        <v>0</v>
      </c>
      <c r="D93" s="145">
        <v>0.1</v>
      </c>
      <c r="E93" s="2888" t="s">
        <v>1929</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72"/>
      <c r="AB93" s="2272"/>
      <c r="AC93" s="2272"/>
      <c r="AD93" s="2272"/>
      <c r="AE93" s="2272"/>
      <c r="AF93" s="2272"/>
      <c r="AG93" s="2272"/>
      <c r="AH93" s="2272"/>
      <c r="AI93" s="2272"/>
    </row>
    <row r="94" spans="1:35" s="2271" customFormat="1" ht="25.5" customHeight="1">
      <c r="A94" s="136" t="s">
        <v>80</v>
      </c>
      <c r="B94" s="115" t="s">
        <v>1913</v>
      </c>
      <c r="C94" s="144">
        <f>ROUND(D46*D94/(1+'数据-取费表'!F30),0)</f>
        <v>0</v>
      </c>
      <c r="D94" s="145">
        <f>'数据-取费表'!E31</f>
        <v>6.000000000000001E-3</v>
      </c>
      <c r="E94" s="2888" t="s">
        <v>1914</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72"/>
      <c r="AB94" s="2272"/>
      <c r="AC94" s="2272"/>
      <c r="AD94" s="2272"/>
      <c r="AE94" s="2272"/>
      <c r="AF94" s="2272"/>
      <c r="AG94" s="2272"/>
      <c r="AH94" s="2272"/>
      <c r="AI94" s="2272"/>
    </row>
    <row r="95" spans="1:35" s="2271" customFormat="1" ht="25.5" customHeight="1">
      <c r="A95" s="136" t="s">
        <v>81</v>
      </c>
      <c r="B95" s="115" t="s">
        <v>1930</v>
      </c>
      <c r="C95" s="144">
        <f>ROUND((C88+C91+C92)*D95,0)</f>
        <v>0</v>
      </c>
      <c r="D95" s="145">
        <v>0.2</v>
      </c>
      <c r="E95" s="2888" t="s">
        <v>1931</v>
      </c>
      <c r="F95" s="2889"/>
      <c r="G95" s="2889"/>
      <c r="H95" s="2890"/>
      <c r="I95" s="9"/>
      <c r="J95" s="1283"/>
      <c r="K95" s="1283"/>
      <c r="L95" s="1283"/>
      <c r="M95" s="1283"/>
      <c r="N95" s="1283"/>
      <c r="O95" s="1283"/>
      <c r="P95" s="1283"/>
      <c r="Q95" s="1283"/>
      <c r="R95" s="1283"/>
      <c r="S95" s="1283"/>
      <c r="T95" s="1283"/>
      <c r="U95" s="1283"/>
      <c r="V95" s="1283"/>
      <c r="W95" s="1283"/>
      <c r="X95" s="1283"/>
      <c r="Y95" s="1283"/>
      <c r="Z95" s="1283"/>
      <c r="AA95" s="2272"/>
      <c r="AB95" s="2272"/>
      <c r="AC95" s="2272"/>
      <c r="AD95" s="2272"/>
      <c r="AE95" s="2272"/>
      <c r="AF95" s="2272"/>
      <c r="AG95" s="2272"/>
      <c r="AH95" s="2272"/>
      <c r="AI95" s="2272"/>
    </row>
    <row r="96" spans="1:35" s="2271"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2"/>
      <c r="AB96" s="2272"/>
      <c r="AC96" s="2272"/>
      <c r="AD96" s="2272"/>
      <c r="AE96" s="2272"/>
      <c r="AF96" s="2272"/>
      <c r="AG96" s="2272"/>
      <c r="AH96" s="2272"/>
      <c r="AI96" s="2272"/>
    </row>
    <row r="97" spans="1:35" s="227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2"/>
      <c r="AB97" s="2272"/>
      <c r="AC97" s="2272"/>
      <c r="AD97" s="2272"/>
      <c r="AE97" s="2272"/>
      <c r="AF97" s="2272"/>
      <c r="AG97" s="2272"/>
      <c r="AH97" s="2272"/>
      <c r="AI97" s="2272"/>
    </row>
    <row r="98" spans="1:35" s="227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2"/>
      <c r="AB98" s="2272"/>
      <c r="AC98" s="2272"/>
      <c r="AD98" s="2272"/>
      <c r="AE98" s="2272"/>
      <c r="AF98" s="2272"/>
      <c r="AG98" s="2272"/>
      <c r="AH98" s="2272"/>
      <c r="AI98" s="2272"/>
    </row>
    <row r="99" spans="1:35" ht="21.75" customHeight="1" thickBot="1">
      <c r="A99" s="2241" t="s">
        <v>1932</v>
      </c>
      <c r="B99" s="2185"/>
      <c r="C99" s="2185"/>
      <c r="D99" s="2185"/>
      <c r="E99" s="1019"/>
      <c r="F99" s="1019"/>
      <c r="G99" s="1019"/>
      <c r="H99" s="2238"/>
      <c r="I99" s="2185"/>
    </row>
    <row r="100" spans="1:35" ht="15.75">
      <c r="A100" s="2943" t="s">
        <v>1933</v>
      </c>
      <c r="B100" s="2944"/>
      <c r="C100" s="2944"/>
      <c r="D100" s="2945"/>
      <c r="E100" s="2185"/>
      <c r="F100" s="2954" t="s">
        <v>1934</v>
      </c>
      <c r="G100" s="2955"/>
      <c r="H100" s="2955"/>
      <c r="I100" s="2956"/>
    </row>
    <row r="101" spans="1:35" ht="15.75">
      <c r="A101" s="2957" t="s">
        <v>1935</v>
      </c>
      <c r="B101" s="2958"/>
      <c r="C101" s="718">
        <f>C4</f>
        <v>0</v>
      </c>
      <c r="D101" s="719">
        <f>D4</f>
        <v>0</v>
      </c>
      <c r="E101" s="2185"/>
      <c r="F101" s="2853" t="s">
        <v>1936</v>
      </c>
      <c r="G101" s="2854"/>
      <c r="H101" s="2979" t="s">
        <v>1937</v>
      </c>
      <c r="I101" s="2852"/>
    </row>
    <row r="102" spans="1:35" ht="15.75">
      <c r="A102" s="2980" t="s">
        <v>1997</v>
      </c>
      <c r="B102" s="2280" t="str">
        <f>IF(H19="元","总价（元）","总价（万元）")</f>
        <v>总价（元）</v>
      </c>
      <c r="C102" s="718" t="e">
        <f ca="1">C19</f>
        <v>#REF!</v>
      </c>
      <c r="D102" s="719" t="e">
        <f ca="1">D19</f>
        <v>#REF!</v>
      </c>
      <c r="E102" s="2185"/>
      <c r="F102" s="2981"/>
      <c r="G102" s="2982"/>
      <c r="H102" s="2851">
        <f>典型户型修正!B25</f>
        <v>0</v>
      </c>
      <c r="I102" s="2852"/>
    </row>
    <row r="103" spans="1:35" ht="15.75">
      <c r="A103" s="2980"/>
      <c r="B103" s="2280" t="s">
        <v>1939</v>
      </c>
      <c r="C103" s="720" t="e">
        <f ca="1">C20</f>
        <v>#REF!</v>
      </c>
      <c r="D103" s="721" t="e">
        <f ca="1">D20</f>
        <v>#REF!</v>
      </c>
      <c r="E103" s="2185"/>
      <c r="F103" s="2880" t="s">
        <v>1940</v>
      </c>
      <c r="G103" s="2881"/>
      <c r="H103" s="2281" t="str">
        <f>C109</f>
        <v>总价（元）</v>
      </c>
      <c r="I103" s="1852">
        <f>H124</f>
        <v>0</v>
      </c>
    </row>
    <row r="104" spans="1:35" ht="15">
      <c r="A104" s="2980" t="s">
        <v>1998</v>
      </c>
      <c r="B104" s="2282" t="str">
        <f>B102</f>
        <v>总价（元）</v>
      </c>
      <c r="C104" s="1187" t="e">
        <f ca="1">ROUND(IF('数据-取费表'!B4="总价",G19,IF(H19="元",G20*'数据-取费表'!E5,G20*'数据-取费表'!E5/10000)),0)</f>
        <v>#REF!</v>
      </c>
      <c r="D104" s="723"/>
      <c r="E104" s="2185"/>
      <c r="F104" s="2880"/>
      <c r="G104" s="2881"/>
      <c r="H104" s="2281" t="s">
        <v>1939</v>
      </c>
      <c r="I104" s="1047" t="e">
        <f>I124</f>
        <v>#DIV/0!</v>
      </c>
    </row>
    <row r="105" spans="1:35" ht="15.75">
      <c r="A105" s="2980"/>
      <c r="B105" s="2280" t="s">
        <v>1939</v>
      </c>
      <c r="C105" s="1188" t="e">
        <f ca="1">ROUND(IF('数据-取费表'!B4="楼面单价",G20,IF(H19="元",G19/'数据-取费表'!E5,G19*10000/'数据-取费表'!E5)),0)</f>
        <v>#REF!</v>
      </c>
      <c r="D105" s="723"/>
      <c r="E105" s="2185"/>
      <c r="F105" s="2952"/>
      <c r="G105" s="2953"/>
      <c r="H105" s="2937"/>
      <c r="I105" s="2938"/>
    </row>
    <row r="106" spans="1:35" ht="15.75">
      <c r="A106" s="2973" t="s">
        <v>1999</v>
      </c>
      <c r="B106" s="2320" t="str">
        <f>B102</f>
        <v>总价（元）</v>
      </c>
      <c r="C106" s="722">
        <f>H124</f>
        <v>0</v>
      </c>
      <c r="D106" s="1186"/>
      <c r="E106" s="2185"/>
      <c r="F106" s="2941" t="s">
        <v>1943</v>
      </c>
      <c r="G106" s="2942"/>
      <c r="H106" s="2284" t="str">
        <f>C111</f>
        <v>总额（元）</v>
      </c>
      <c r="I106" s="1852">
        <f>SUMIF(I107:I109,"&lt;9E307")</f>
        <v>0</v>
      </c>
    </row>
    <row r="107" spans="1:35" ht="15.75" thickBot="1">
      <c r="A107" s="2936"/>
      <c r="B107" s="2283" t="s">
        <v>1939</v>
      </c>
      <c r="C107" s="724" t="e">
        <f>I124</f>
        <v>#DIV/0!</v>
      </c>
      <c r="D107" s="725"/>
      <c r="E107" s="2185"/>
      <c r="F107" s="2869" t="s">
        <v>1945</v>
      </c>
      <c r="G107" s="2870"/>
      <c r="H107" s="2284" t="str">
        <f>C112</f>
        <v>总额（元）</v>
      </c>
      <c r="I107" s="1047">
        <f>IF(D37="同一抵押权人同一抵押物续贷",C37&amp;"（未扣减，详见特别提示）",C37)</f>
        <v>0</v>
      </c>
      <c r="K107" s="2195" t="str">
        <f>IF(D126=0,"本次评估不存在"&amp;A126,"本次评估"&amp;A126&amp;"为"&amp;D126&amp;"元人民币。")</f>
        <v>本次评估不存在——</v>
      </c>
    </row>
    <row r="108" spans="1:35" ht="15">
      <c r="A108" s="2976" t="s">
        <v>1942</v>
      </c>
      <c r="B108" s="2977"/>
      <c r="C108" s="2977"/>
      <c r="D108" s="2978"/>
      <c r="E108" s="2185"/>
      <c r="F108" s="2869" t="s">
        <v>1946</v>
      </c>
      <c r="G108" s="2870"/>
      <c r="H108" s="2284" t="str">
        <f>C113</f>
        <v>总额（元）</v>
      </c>
      <c r="I108" s="1047">
        <f>C38</f>
        <v>0</v>
      </c>
      <c r="K108" s="2285"/>
    </row>
    <row r="109" spans="1:35" ht="15">
      <c r="A109" s="2867" t="s">
        <v>2000</v>
      </c>
      <c r="B109" s="2868"/>
      <c r="C109" s="2281" t="str">
        <f>B102</f>
        <v>总价（元）</v>
      </c>
      <c r="D109" s="1048">
        <f>H124</f>
        <v>0</v>
      </c>
      <c r="E109" s="2185"/>
      <c r="F109" s="2869" t="s">
        <v>1948</v>
      </c>
      <c r="G109" s="2870"/>
      <c r="H109" s="2284" t="str">
        <f>C114</f>
        <v>总额（元）</v>
      </c>
      <c r="I109" s="1047">
        <f>C39</f>
        <v>0</v>
      </c>
    </row>
    <row r="110" spans="1:35" ht="15.75">
      <c r="A110" s="2867"/>
      <c r="B110" s="2868"/>
      <c r="C110" s="2281" t="s">
        <v>1939</v>
      </c>
      <c r="D110" s="1049" t="e">
        <f>I124</f>
        <v>#DIV/0!</v>
      </c>
      <c r="E110" s="2185"/>
      <c r="F110" s="2952"/>
      <c r="G110" s="2953"/>
      <c r="H110" s="2939"/>
      <c r="I110" s="2940"/>
    </row>
    <row r="111" spans="1:35" ht="28.5" customHeight="1">
      <c r="A111" s="2874" t="s">
        <v>1947</v>
      </c>
      <c r="B111" s="2875"/>
      <c r="C111" s="2284" t="str">
        <f>IF(H19="元","总额（元）","总额（万元）")</f>
        <v>总额（元）</v>
      </c>
      <c r="D111" s="1048">
        <f>IF(D37="正常操作",I107+I108+I109,I108+I109)</f>
        <v>0</v>
      </c>
      <c r="E111" s="2185"/>
      <c r="F111" s="2855" t="str">
        <f>IF(项目基本情况!F5="已注销","——","3.房地产抵押价值")</f>
        <v>3.房地产抵押价值</v>
      </c>
      <c r="G111" s="2856"/>
      <c r="H111" s="2321" t="str">
        <f>C115</f>
        <v>总价（元）</v>
      </c>
      <c r="I111" s="1852">
        <f>IF(F111="——","——",I103-I106)</f>
        <v>0</v>
      </c>
    </row>
    <row r="112" spans="1:35" ht="15">
      <c r="A112" s="2869" t="s">
        <v>1945</v>
      </c>
      <c r="B112" s="2870"/>
      <c r="C112" s="2284" t="str">
        <f>C111</f>
        <v>总额（元）</v>
      </c>
      <c r="D112" s="635">
        <f>IF(D37="同一抵押权人同一抵押物续贷",C37&amp;"（未扣减，详见特别提示）",C37)</f>
        <v>0</v>
      </c>
      <c r="E112" s="2185"/>
      <c r="F112" s="2971"/>
      <c r="G112" s="2972"/>
      <c r="H112" s="2281" t="s">
        <v>1939</v>
      </c>
      <c r="I112" s="2287" t="e">
        <f>D116</f>
        <v>#DIV/0!</v>
      </c>
    </row>
    <row r="113" spans="1:26" ht="15.75">
      <c r="A113" s="2869" t="s">
        <v>1946</v>
      </c>
      <c r="B113" s="2870"/>
      <c r="C113" s="2284" t="str">
        <f>C111</f>
        <v>总额（元）</v>
      </c>
      <c r="D113" s="635">
        <f>C38</f>
        <v>0</v>
      </c>
      <c r="E113" s="2185"/>
      <c r="F113" s="2855" t="str">
        <f>IF(项目基本情况!F5="已注销及未注销","4.抵押担保权已注销时的房地产抵押价值",IF(项目基本情况!F5="已注销","3.抵押担保权已注销时的房地产抵押价值","——"))</f>
        <v>——</v>
      </c>
      <c r="G113" s="2856"/>
      <c r="H113" s="2321" t="str">
        <f>C117</f>
        <v>总价（元）</v>
      </c>
      <c r="I113" s="1852" t="str">
        <f>IF(F113="——","——",I103-I108-I109)</f>
        <v>——</v>
      </c>
    </row>
    <row r="114" spans="1:26" ht="15">
      <c r="A114" s="2869" t="s">
        <v>1948</v>
      </c>
      <c r="B114" s="2870"/>
      <c r="C114" s="2284" t="str">
        <f>C111</f>
        <v>总额（元）</v>
      </c>
      <c r="D114" s="635">
        <f>C39</f>
        <v>0</v>
      </c>
      <c r="E114" s="2185"/>
      <c r="F114" s="2971"/>
      <c r="G114" s="2972"/>
      <c r="H114" s="2281" t="s">
        <v>1939</v>
      </c>
      <c r="I114" s="1047" t="str">
        <f>D118</f>
        <v>——</v>
      </c>
    </row>
    <row r="115" spans="1:26" ht="15.75">
      <c r="A115" s="2867" t="str">
        <f>IF(项目基本情况!F5="已注销","——","3.房地产抵押价值")</f>
        <v>3.房地产抵押价值</v>
      </c>
      <c r="B115" s="2868"/>
      <c r="C115" s="2281" t="str">
        <f>B102</f>
        <v>总价（元）</v>
      </c>
      <c r="D115" s="1048">
        <f>IF(A115="——","——",D109-D111)</f>
        <v>0</v>
      </c>
      <c r="E115" s="2185"/>
      <c r="F115" s="2855" t="str">
        <f>IF(项目基本情况!G5="抵押净值",IF(OR(项目基本情况!F5="已注销",项目基本情况!F5="房地产抵押价值"),"4.抵押净值","5.抵押净值"),"——")</f>
        <v>——</v>
      </c>
      <c r="G115" s="2856"/>
      <c r="H115" s="2281" t="str">
        <f>C119</f>
        <v>总价（元）</v>
      </c>
      <c r="I115" s="1852" t="str">
        <f>IF(F115="——","——",N60)</f>
        <v>——</v>
      </c>
    </row>
    <row r="116" spans="1:26" ht="15.75" thickBot="1">
      <c r="A116" s="2867"/>
      <c r="B116" s="2868"/>
      <c r="C116" s="2281" t="s">
        <v>2001</v>
      </c>
      <c r="D116" s="1049" t="e">
        <f>ROUND(IF(D115=D109,D110,IF(H19="元",D115/B124,D115*10000/B124)),0)</f>
        <v>#DIV/0!</v>
      </c>
      <c r="E116" s="2185"/>
      <c r="F116" s="2857"/>
      <c r="G116" s="2858"/>
      <c r="H116" s="2289" t="s">
        <v>2001</v>
      </c>
      <c r="I116" s="1854" t="str">
        <f>D120</f>
        <v>——</v>
      </c>
    </row>
    <row r="117" spans="1:26" ht="15.75">
      <c r="A117" s="2867" t="str">
        <f>IF(项目基本情况!F5="已注销及未注销","4.抵押担保权已注销时的房地产抵押价值",IF(项目基本情况!F5="已注销","3.抵押担保权已注销时的房地产抵押价值","——"))</f>
        <v>——</v>
      </c>
      <c r="B117" s="2868"/>
      <c r="C117" s="2281" t="str">
        <f>B102</f>
        <v>总价（元）</v>
      </c>
      <c r="D117" s="1048" t="str">
        <f>IF(A117="——","——",D109-D113-D114)</f>
        <v>——</v>
      </c>
      <c r="E117" s="2185"/>
      <c r="F117" s="2967"/>
      <c r="G117" s="2967"/>
      <c r="H117" s="2923"/>
      <c r="I117" s="2923"/>
      <c r="N117" s="55"/>
      <c r="O117" s="55"/>
    </row>
    <row r="118" spans="1:26" s="1835" customFormat="1" ht="15">
      <c r="A118" s="2867"/>
      <c r="B118" s="2868"/>
      <c r="C118" s="2281" t="s">
        <v>2001</v>
      </c>
      <c r="D118" s="1049" t="str">
        <f>IF(A117="——","——",IF(H19="元",ROUND(D117/B124,0),ROUND(D117*10000/B124,0)))</f>
        <v>——</v>
      </c>
      <c r="E118" s="218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6"/>
      <c r="K118" s="796"/>
      <c r="L118" s="796"/>
      <c r="M118" s="796"/>
      <c r="N118" s="55"/>
      <c r="O118" s="55"/>
      <c r="P118" s="796"/>
      <c r="Q118" s="796"/>
      <c r="R118" s="796"/>
      <c r="S118" s="796"/>
      <c r="T118" s="796"/>
      <c r="U118" s="796"/>
      <c r="V118" s="796"/>
      <c r="W118" s="796"/>
      <c r="X118" s="796"/>
      <c r="Y118" s="796"/>
      <c r="Z118" s="796"/>
    </row>
    <row r="119" spans="1:26" s="1835" customFormat="1" ht="15">
      <c r="A119" s="2867" t="str">
        <f>IF(项目基本情况!G5="抵押净值",IF(OR(项目基本情况!F5="已注销",项目基本情况!F5="房地产抵押价值"),"4.抵押净值","5.抵押净值"),"——")</f>
        <v>——</v>
      </c>
      <c r="B119" s="2868"/>
      <c r="C119" s="2281" t="str">
        <f>B102</f>
        <v>总价（元）</v>
      </c>
      <c r="D119" s="1048" t="str">
        <f>IF(A119="——","——",N60)</f>
        <v>——</v>
      </c>
      <c r="E119" s="2185"/>
      <c r="F119" s="2322"/>
      <c r="G119" s="2322"/>
      <c r="H119" s="2322"/>
      <c r="I119" s="2322"/>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872"/>
      <c r="B120" s="2873"/>
      <c r="C120" s="2289" t="s">
        <v>2001</v>
      </c>
      <c r="D120" s="1050" t="str">
        <f>IF(D119=D109,D110,IF(A119="——","——",N62))</f>
        <v>——</v>
      </c>
      <c r="E120" s="2185"/>
      <c r="F120" s="2322"/>
      <c r="G120" s="2322"/>
      <c r="H120" s="2322"/>
      <c r="I120" s="2322"/>
      <c r="J120" s="796"/>
      <c r="K120" s="796"/>
      <c r="L120" s="796"/>
      <c r="M120" s="796"/>
      <c r="N120" s="55"/>
      <c r="O120" s="55"/>
      <c r="P120" s="796"/>
      <c r="Q120" s="796"/>
      <c r="R120" s="796"/>
      <c r="S120" s="796"/>
      <c r="T120" s="796"/>
      <c r="U120" s="796"/>
      <c r="V120" s="796"/>
      <c r="W120" s="796"/>
      <c r="X120" s="796"/>
      <c r="Y120" s="796"/>
      <c r="Z120" s="796"/>
    </row>
    <row r="121" spans="1:26" s="1835" customFormat="1" ht="15">
      <c r="A121" s="2924" t="s">
        <v>2002</v>
      </c>
      <c r="B121" s="2925"/>
      <c r="C121" s="2925"/>
      <c r="D121" s="2925"/>
      <c r="E121" s="2925"/>
      <c r="F121" s="2925"/>
      <c r="G121" s="2925"/>
      <c r="H121" s="2925"/>
      <c r="I121" s="2925"/>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848" t="s">
        <v>1950</v>
      </c>
      <c r="B122" s="2878" t="s">
        <v>2003</v>
      </c>
      <c r="C122" s="2878" t="s">
        <v>2004</v>
      </c>
      <c r="D122" s="2950" t="s">
        <v>1953</v>
      </c>
      <c r="E122" s="2951"/>
      <c r="F122" s="2849" t="s">
        <v>2005</v>
      </c>
      <c r="G122" s="2849"/>
      <c r="H122" s="2849" t="s">
        <v>1954</v>
      </c>
      <c r="I122" s="2949"/>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848"/>
      <c r="B123" s="2879"/>
      <c r="C123" s="2879"/>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1"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30" t="str">
        <f>IF(项目基本情况!D5="房地产市场价值","——",MID(A111,3,LEN(A111)-2))</f>
        <v>——</v>
      </c>
      <c r="B126" s="2860"/>
      <c r="C126" s="2931"/>
      <c r="D126" s="2859">
        <f>I106</f>
        <v>0</v>
      </c>
      <c r="E126" s="2860"/>
      <c r="F126" s="2860"/>
      <c r="G126" s="2860"/>
      <c r="H126" s="2860"/>
      <c r="I126" s="2861"/>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2932" t="s">
        <v>1958</v>
      </c>
      <c r="B127" s="2933"/>
      <c r="C127" s="2934"/>
      <c r="D127" s="2862">
        <f>H110</f>
        <v>0</v>
      </c>
      <c r="E127" s="2863"/>
      <c r="F127" s="2863"/>
      <c r="G127" s="2863"/>
      <c r="H127" s="2863"/>
      <c r="I127" s="2864"/>
      <c r="J127" s="796"/>
      <c r="K127" s="796"/>
      <c r="L127" s="796"/>
      <c r="M127" s="796"/>
      <c r="N127" s="796"/>
      <c r="O127" s="796"/>
      <c r="P127" s="796"/>
      <c r="Q127" s="796"/>
      <c r="R127" s="796"/>
      <c r="S127" s="796"/>
      <c r="T127" s="796"/>
      <c r="U127" s="796"/>
      <c r="V127" s="796"/>
      <c r="W127" s="796"/>
      <c r="X127" s="796"/>
      <c r="Y127" s="796"/>
      <c r="Z127" s="796"/>
    </row>
    <row r="128" spans="1:26" s="1835" customFormat="1" ht="15">
      <c r="A128" s="2865" t="str">
        <f>IF(项目基本情况!D5="房地产市场价值","——",MID(A115,3,LEN(A115)-2))</f>
        <v>——</v>
      </c>
      <c r="B128" s="2866"/>
      <c r="C128" s="2866"/>
      <c r="D128" s="2859">
        <f>I111</f>
        <v>0</v>
      </c>
      <c r="E128" s="2860"/>
      <c r="F128" s="2860"/>
      <c r="G128" s="2860"/>
      <c r="H128" s="2860"/>
      <c r="I128" s="2861"/>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848" t="s">
        <v>1958</v>
      </c>
      <c r="B129" s="2849"/>
      <c r="C129" s="2849"/>
      <c r="D129" s="2862" t="e">
        <f>I112</f>
        <v>#DIV/0!</v>
      </c>
      <c r="E129" s="2863"/>
      <c r="F129" s="2863"/>
      <c r="G129" s="2863"/>
      <c r="H129" s="2863"/>
      <c r="I129" s="2864"/>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865" t="str">
        <f>IF(项目基本情况!D5="房地产市场价值","——",MID(A117,3,LEN(A117)-2))</f>
        <v>——</v>
      </c>
      <c r="B130" s="2866"/>
      <c r="C130" s="2866"/>
      <c r="D130" s="2964" t="str">
        <f>I113</f>
        <v>——</v>
      </c>
      <c r="E130" s="2965"/>
      <c r="F130" s="2965"/>
      <c r="G130" s="2965"/>
      <c r="H130" s="2965"/>
      <c r="I130" s="2966"/>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848" t="s">
        <v>1958</v>
      </c>
      <c r="B131" s="2849"/>
      <c r="C131" s="2850"/>
      <c r="D131" s="2922" t="str">
        <f>I114</f>
        <v>——</v>
      </c>
      <c r="E131" s="2922"/>
      <c r="F131" s="2922"/>
      <c r="G131" s="2922"/>
      <c r="H131" s="2922"/>
      <c r="I131" s="2922"/>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865" t="str">
        <f>IF(项目基本情况!D5="房地产市场价值","——",MID(F115,3,LEN(F115)-2))</f>
        <v>——</v>
      </c>
      <c r="B132" s="2866"/>
      <c r="C132" s="2859"/>
      <c r="D132" s="2871" t="str">
        <f>I115</f>
        <v>——</v>
      </c>
      <c r="E132" s="2871"/>
      <c r="F132" s="2871"/>
      <c r="G132" s="2871"/>
      <c r="H132" s="2871"/>
      <c r="I132" s="2871"/>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876" t="s">
        <v>1958</v>
      </c>
      <c r="B133" s="2877"/>
      <c r="C133" s="2877"/>
      <c r="D133" s="2884">
        <f>H117</f>
        <v>0</v>
      </c>
      <c r="E133" s="2885"/>
      <c r="F133" s="2885"/>
      <c r="G133" s="2885"/>
      <c r="H133" s="2885"/>
      <c r="I133" s="2886"/>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0" t="s">
        <v>1959</v>
      </c>
      <c r="B136" s="2291"/>
      <c r="C136" s="2292" t="s">
        <v>1960</v>
      </c>
      <c r="D136" s="2293"/>
      <c r="E136" s="2293"/>
      <c r="F136" s="2293"/>
      <c r="G136" s="2293"/>
      <c r="H136" s="2294"/>
      <c r="I136" s="2295"/>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6">
        <v>1</v>
      </c>
      <c r="B137" s="2297"/>
      <c r="C137" s="2297"/>
      <c r="D137" s="2293"/>
      <c r="E137" s="2293"/>
      <c r="F137" s="2293"/>
      <c r="G137" s="2293"/>
      <c r="H137" s="2294"/>
      <c r="I137" s="2295"/>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6">
        <v>2</v>
      </c>
      <c r="B138" s="2297"/>
      <c r="C138" s="2297"/>
      <c r="D138" s="2293"/>
      <c r="E138" s="2293"/>
      <c r="F138" s="2293"/>
      <c r="G138" s="2293"/>
      <c r="H138" s="2294"/>
      <c r="I138" s="2295"/>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6">
        <v>3</v>
      </c>
      <c r="B139" s="2297"/>
      <c r="C139" s="2297"/>
      <c r="D139" s="2293"/>
      <c r="E139" s="2293"/>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8"/>
      <c r="B140" s="2299"/>
      <c r="C140" s="2299"/>
      <c r="D140" s="2300"/>
      <c r="E140" s="2300"/>
      <c r="F140" s="2300"/>
      <c r="G140" s="2300"/>
      <c r="H140" s="2301"/>
      <c r="I140" s="2302"/>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7"/>
      <c r="B141" s="2297"/>
      <c r="C141" s="2297"/>
      <c r="D141" s="2293"/>
      <c r="E141" s="2293"/>
      <c r="F141" s="2293"/>
      <c r="G141" s="2293"/>
      <c r="H141" s="2294"/>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3" t="s">
        <v>1961</v>
      </c>
      <c r="G142" s="2304"/>
      <c r="H142" s="2304"/>
      <c r="I142" s="2305"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6"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4"/>
      <c r="C145" s="2304"/>
      <c r="D145" s="2304"/>
      <c r="E145" s="2304"/>
      <c r="F145" s="2304"/>
      <c r="G145" s="2304"/>
      <c r="H145" s="2304"/>
      <c r="I145" s="2305"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6"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6"/>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4"/>
      <c r="C148" s="2304"/>
      <c r="D148" s="2304"/>
      <c r="E148" s="2304"/>
      <c r="F148" s="2304"/>
      <c r="G148" s="2304"/>
      <c r="H148" s="2304"/>
      <c r="I148" s="2305"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6"/>
      <c r="C149" s="2307"/>
      <c r="D149" s="2308"/>
      <c r="E149" s="2308"/>
      <c r="F149" s="2309"/>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6"/>
      <c r="C150" s="2307"/>
      <c r="D150" s="2308"/>
      <c r="E150" s="2308"/>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6"/>
      <c r="G519" s="2186"/>
      <c r="H519" s="2186"/>
      <c r="I519" s="2186"/>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c r="C1" s="162"/>
      <c r="D1" s="162"/>
      <c r="E1" s="162"/>
      <c r="F1" s="162"/>
      <c r="G1" s="163"/>
    </row>
    <row r="2" spans="1:7" s="164" customFormat="1" ht="18" customHeight="1">
      <c r="A2" s="165" t="s">
        <v>2007</v>
      </c>
      <c r="B2" s="166">
        <f ca="1">IF(D2="——",IF(C2="元",C52,ROUND(C52/10000,0)),IF(C2="元",C52,ROUND(C52/10000,0))-E2)</f>
        <v>1819210</v>
      </c>
      <c r="C2" s="163" t="str">
        <f>'数据-取费表'!B3</f>
        <v>元</v>
      </c>
      <c r="D2" s="2323" t="s">
        <v>1253</v>
      </c>
      <c r="E2" s="1537" t="e">
        <f ca="1">SUMIF(INDIRECT("'"&amp;G2&amp;"'"&amp;"!A:A"),"承租人权益价值",INDIRECT("'"&amp;G2&amp;"'"&amp;"!c:c"))</f>
        <v>#REF!</v>
      </c>
      <c r="F2" s="2324" t="str">
        <f>C2</f>
        <v>元</v>
      </c>
      <c r="G2" s="1896"/>
    </row>
    <row r="3" spans="1:7" s="164" customFormat="1" ht="18" customHeight="1" thickBot="1">
      <c r="A3" s="167" t="s">
        <v>2008</v>
      </c>
      <c r="B3" s="168">
        <f ca="1">ROUND(C52/IF(B1="仅计算典型户型",'数据-取费表'!E5,'数据-取费表'!B5),0)</f>
        <v>20860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23" t="s">
        <v>2014</v>
      </c>
      <c r="F5" s="1523" t="s">
        <v>2015</v>
      </c>
      <c r="G5" s="174"/>
    </row>
    <row r="6" spans="1:7" s="175" customFormat="1" ht="13.5" customHeight="1">
      <c r="A6" s="176" t="s">
        <v>2016</v>
      </c>
      <c r="B6" s="177" t="s">
        <v>2017</v>
      </c>
      <c r="C6" s="1522">
        <v>1000000</v>
      </c>
      <c r="D6" s="1524"/>
      <c r="E6" s="1525"/>
      <c r="F6" s="1525"/>
      <c r="G6" s="179"/>
    </row>
    <row r="7" spans="1:7" s="175" customFormat="1" ht="13.5" customHeight="1">
      <c r="A7" s="176" t="s">
        <v>2018</v>
      </c>
      <c r="B7" s="177" t="s">
        <v>2019</v>
      </c>
      <c r="C7" s="199">
        <f>ROUND(C6*F7,0)</f>
        <v>30500</v>
      </c>
      <c r="D7" s="199"/>
      <c r="E7" s="1525"/>
      <c r="F7" s="1526">
        <f>'数据-取费表'!E36+'数据-取费表'!E37</f>
        <v>3.0499999999999999E-2</v>
      </c>
      <c r="G7" s="179"/>
    </row>
    <row r="8" spans="1:7" s="180" customFormat="1">
      <c r="A8" s="176" t="s">
        <v>2020</v>
      </c>
      <c r="B8" s="177" t="s">
        <v>2021</v>
      </c>
      <c r="C8" s="199">
        <f>IF(G8="已包含在土地购买价格中","0",'数据-取费表'!E13)</f>
        <v>0</v>
      </c>
      <c r="D8" s="1527"/>
      <c r="E8" s="199"/>
      <c r="F8" s="1526"/>
      <c r="G8" s="2325"/>
    </row>
    <row r="9" spans="1:7" s="175" customFormat="1" ht="13.5" customHeight="1">
      <c r="A9" s="1301" t="s">
        <v>953</v>
      </c>
      <c r="B9" s="181" t="s">
        <v>2022</v>
      </c>
      <c r="C9" s="1528">
        <f>ROUND(D9*E9,0)</f>
        <v>13954</v>
      </c>
      <c r="D9" s="1529">
        <f>IF('数据-取费表'!B10="住宅",IF(B1="仅计算典型户型",'数据-取费表'!E5,'数据-取费表'!B5),0)</f>
        <v>87.21</v>
      </c>
      <c r="E9" s="1528">
        <f>'数据-取费表'!E11</f>
        <v>160</v>
      </c>
      <c r="F9" s="1526"/>
      <c r="G9" s="182"/>
    </row>
    <row r="10" spans="1:7" s="175" customFormat="1" ht="13.5" customHeight="1">
      <c r="A10" s="1301" t="s">
        <v>954</v>
      </c>
      <c r="B10" s="181" t="s">
        <v>2023</v>
      </c>
      <c r="C10" s="1528">
        <f>ROUND(D10*E10,0)</f>
        <v>0</v>
      </c>
      <c r="D10" s="1529">
        <f>IF('数据-取费表'!B10&lt;&gt;"住宅",IF(B1="仅计算典型户型",'数据-取费表'!E5,'数据-取费表'!B5),0)</f>
        <v>0</v>
      </c>
      <c r="E10" s="1528">
        <f>'数据-取费表'!E12</f>
        <v>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f>IF(G19="已包含在土地取得成本中","0",ROUND(D19*E19,0))</f>
        <v>17442</v>
      </c>
      <c r="D19" s="1532">
        <f>IF(B1="仅计算典型户型",'数据-取费表'!E5,'数据-取费表'!B5)</f>
        <v>87.21</v>
      </c>
      <c r="E19" s="195">
        <f>'数据-取费表'!E15</f>
        <v>200</v>
      </c>
      <c r="F19" s="196"/>
      <c r="G19" s="2325"/>
    </row>
    <row r="20" spans="1:7" s="175" customFormat="1" ht="13.5" customHeight="1">
      <c r="A20" s="204" t="s">
        <v>2035</v>
      </c>
      <c r="B20" s="173" t="s">
        <v>2036</v>
      </c>
      <c r="C20" s="183">
        <f>ROUND((C5+C19)*F20,0)</f>
        <v>20959</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102915</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100223</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1696</v>
      </c>
      <c r="D24" s="188"/>
      <c r="E24" s="188"/>
      <c r="F24" s="189"/>
      <c r="G24" s="190" t="s">
        <v>2048</v>
      </c>
    </row>
    <row r="25" spans="1:7" s="175" customFormat="1" ht="24">
      <c r="A25" s="176" t="s">
        <v>2020</v>
      </c>
      <c r="B25" s="177" t="s">
        <v>2049</v>
      </c>
      <c r="C25" s="1446">
        <f ca="1">ROUND(IF('数据-取费表'!B23&lt;=1,C20*F22*'数据-取费表'!B24/2,C20*(POWER((1+F22),'数据-取费表'!B24/2)-1)),0)</f>
        <v>996</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2" t="s">
        <v>2053</v>
      </c>
      <c r="B27" s="194" t="s">
        <v>2054</v>
      </c>
      <c r="C27" s="195">
        <f>C28</f>
        <v>213780</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213780</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1483190</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277188</v>
      </c>
      <c r="D33" s="183"/>
      <c r="E33" s="1523"/>
      <c r="F33" s="191"/>
      <c r="G33" s="184"/>
    </row>
    <row r="34" spans="1:7" s="206" customFormat="1" ht="13.5" customHeight="1">
      <c r="A34" s="176" t="s">
        <v>2044</v>
      </c>
      <c r="B34" s="177" t="s">
        <v>2066</v>
      </c>
      <c r="C34" s="199">
        <f>IF(B1="仅计算典型户型",'数据-取费表'!F18,'数据-取费表'!E18)</f>
        <v>237211</v>
      </c>
      <c r="D34" s="1524"/>
      <c r="E34" s="199"/>
      <c r="F34" s="1535" t="str">
        <f>IF('数据-取费表'!B25=0,"",'数据-取费表'!E20)</f>
        <v/>
      </c>
      <c r="G34" s="179"/>
    </row>
    <row r="35" spans="1:7" ht="13.5" customHeight="1">
      <c r="A35" s="176" t="s">
        <v>2018</v>
      </c>
      <c r="B35" s="177" t="s">
        <v>2067</v>
      </c>
      <c r="C35" s="199">
        <f>ROUND(C34*F35,0)</f>
        <v>7116</v>
      </c>
      <c r="D35" s="199"/>
      <c r="E35" s="199"/>
      <c r="F35" s="1536">
        <f>'数据-取费表'!E21</f>
        <v>0.03</v>
      </c>
      <c r="G35" s="179" t="s">
        <v>2068</v>
      </c>
    </row>
    <row r="36" spans="1:7" ht="24">
      <c r="A36" s="176" t="s">
        <v>2020</v>
      </c>
      <c r="B36" s="177" t="s">
        <v>2069</v>
      </c>
      <c r="C36" s="199">
        <f>ROUND(IF('数据-取费表'!B10="住宅",C34*F36,0),0)</f>
        <v>11861</v>
      </c>
      <c r="D36" s="199"/>
      <c r="E36" s="199"/>
      <c r="F36" s="1536">
        <f>'数据-取费表'!E22</f>
        <v>0.05</v>
      </c>
      <c r="G36" s="207" t="s">
        <v>2070</v>
      </c>
    </row>
    <row r="37" spans="1:7" s="206" customFormat="1" ht="13.5" customHeight="1">
      <c r="A37" s="176" t="s">
        <v>2051</v>
      </c>
      <c r="B37" s="177" t="s">
        <v>2071</v>
      </c>
      <c r="C37" s="199">
        <f>ROUND(E37*D37,0)</f>
        <v>17442</v>
      </c>
      <c r="D37" s="1524">
        <f>IF(B1="仅计算典型户型",'数据-取费表'!E5,'数据-取费表'!B5)</f>
        <v>87.21</v>
      </c>
      <c r="E37" s="199">
        <f>'数据-取费表'!E23</f>
        <v>200</v>
      </c>
      <c r="F37" s="1536"/>
      <c r="G37" s="208" t="s">
        <v>2072</v>
      </c>
    </row>
    <row r="38" spans="1:7" ht="13.5" customHeight="1">
      <c r="A38" s="176" t="s">
        <v>2073</v>
      </c>
      <c r="B38" s="177" t="s">
        <v>2074</v>
      </c>
      <c r="C38" s="199">
        <f>ROUND(C34*F38,0)</f>
        <v>3558</v>
      </c>
      <c r="D38" s="199"/>
      <c r="E38" s="199"/>
      <c r="F38" s="1536">
        <f>'数据-取费表'!E24</f>
        <v>1.4999999999999999E-2</v>
      </c>
      <c r="G38" s="179" t="s">
        <v>2068</v>
      </c>
    </row>
    <row r="39" spans="1:7" s="175" customFormat="1" ht="13.5" customHeight="1">
      <c r="A39" s="204" t="s">
        <v>2033</v>
      </c>
      <c r="B39" s="173" t="s">
        <v>2036</v>
      </c>
      <c r="C39" s="183">
        <f>ROUND(C33*F20,0)</f>
        <v>5544</v>
      </c>
      <c r="D39" s="183"/>
      <c r="E39" s="183"/>
      <c r="F39" s="187"/>
      <c r="G39" s="184" t="s">
        <v>2075</v>
      </c>
    </row>
    <row r="40" spans="1:7" s="175" customFormat="1" ht="13.5" customHeight="1">
      <c r="A40" s="204" t="s">
        <v>2035</v>
      </c>
      <c r="B40" s="173" t="s">
        <v>2039</v>
      </c>
      <c r="C40" s="1810">
        <f>F21</f>
        <v>0.01</v>
      </c>
      <c r="D40" s="186" t="s">
        <v>2076</v>
      </c>
      <c r="E40" s="183"/>
      <c r="F40" s="187"/>
      <c r="G40" s="184" t="s">
        <v>2077</v>
      </c>
    </row>
    <row r="41" spans="1:7" s="175" customFormat="1" ht="13.5" customHeight="1">
      <c r="A41" s="204" t="s">
        <v>2038</v>
      </c>
      <c r="B41" s="173" t="s">
        <v>2043</v>
      </c>
      <c r="C41" s="183">
        <f ca="1">ROUND(SUM(C42:C43),0)</f>
        <v>13429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13166</v>
      </c>
      <c r="D42" s="188"/>
      <c r="E42" s="188"/>
      <c r="F42" s="189"/>
      <c r="G42" s="2985" t="s">
        <v>2078</v>
      </c>
    </row>
    <row r="43" spans="1:7" ht="13.5" customHeight="1">
      <c r="A43" s="176" t="s">
        <v>2018</v>
      </c>
      <c r="B43" s="177" t="s">
        <v>2047</v>
      </c>
      <c r="C43" s="188">
        <f ca="1">ROUND(IF('数据-取费表'!B23&lt;=1,C39*F22*'数据-取费表'!B22/2,C39*(POWER((1+F22),'数据-取费表'!B22/2)-1)),0)</f>
        <v>263</v>
      </c>
      <c r="D43" s="188"/>
      <c r="E43" s="188"/>
      <c r="F43" s="189"/>
      <c r="G43" s="2986"/>
    </row>
    <row r="44" spans="1:7" ht="13.5" customHeight="1">
      <c r="A44" s="176" t="s">
        <v>2020</v>
      </c>
      <c r="B44" s="177" t="s">
        <v>2049</v>
      </c>
      <c r="C44" s="188">
        <f ca="1">ROUND(IF('数据-取费表'!B23&lt;=1,C40*F22*'数据-取费表'!B22/2,C40*(POWER((1+F22),'数据-取费表'!B22/2)-1)),4)</f>
        <v>5.0000000000000001E-4</v>
      </c>
      <c r="D44" s="188"/>
      <c r="E44" s="188"/>
      <c r="F44" s="189"/>
      <c r="G44" s="2987"/>
    </row>
    <row r="45" spans="1:7" s="175" customFormat="1" ht="13.5" customHeight="1">
      <c r="A45" s="204" t="s">
        <v>2042</v>
      </c>
      <c r="B45" s="194" t="s">
        <v>2054</v>
      </c>
      <c r="C45" s="195">
        <f>C46</f>
        <v>56546</v>
      </c>
      <c r="D45" s="185">
        <f>C47</f>
        <v>2E-3</v>
      </c>
      <c r="E45" s="186" t="s">
        <v>2076</v>
      </c>
      <c r="F45" s="196"/>
      <c r="G45" s="197" t="s">
        <v>2079</v>
      </c>
    </row>
    <row r="46" spans="1:7" s="175" customFormat="1" ht="13.5" customHeight="1">
      <c r="A46" s="176" t="s">
        <v>2044</v>
      </c>
      <c r="B46" s="198" t="s">
        <v>2080</v>
      </c>
      <c r="C46" s="199">
        <f>ROUND((C33+C39)*F27,0)</f>
        <v>56546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377550</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336020</v>
      </c>
      <c r="D51" s="183"/>
      <c r="E51" s="183"/>
      <c r="F51" s="210"/>
      <c r="G51" s="184" t="s">
        <v>2092</v>
      </c>
    </row>
    <row r="52" spans="1:7" s="172" customFormat="1" ht="16.5" thickBot="1">
      <c r="A52" s="211" t="s">
        <v>2093</v>
      </c>
      <c r="B52" s="212"/>
      <c r="C52" s="213">
        <f ca="1">C31+C51</f>
        <v>1819210</v>
      </c>
      <c r="D52" s="212"/>
      <c r="E52" s="212"/>
      <c r="F52" s="212"/>
      <c r="G52" s="214"/>
    </row>
    <row r="55" spans="1:7" ht="15">
      <c r="B55" s="216" t="s">
        <v>2094</v>
      </c>
      <c r="C55" s="217"/>
    </row>
    <row r="56" spans="1:7">
      <c r="B56" s="219" t="s">
        <v>2095</v>
      </c>
      <c r="C56" s="220">
        <f ca="1">ROUND(C51/C52,3)</f>
        <v>0.185</v>
      </c>
    </row>
    <row r="57" spans="1:7">
      <c r="B57" s="219" t="s">
        <v>2096</v>
      </c>
      <c r="C57" s="221">
        <f ca="1">1-C56</f>
        <v>0.81499999999999995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5" t="s">
        <v>2847</v>
      </c>
      <c r="E1" s="2696"/>
      <c r="F1" s="2697"/>
      <c r="G1" s="2698"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2424774</v>
      </c>
      <c r="C2" s="2326"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27804</v>
      </c>
      <c r="C3" s="2326" t="s">
        <v>2098</v>
      </c>
      <c r="D3" s="1211"/>
      <c r="E3" s="1212"/>
      <c r="F3" s="1212"/>
      <c r="G3" s="1237"/>
      <c r="H3" s="311" t="s">
        <v>2099</v>
      </c>
      <c r="I3" s="1213"/>
      <c r="J3" s="1213"/>
      <c r="K3" s="1214"/>
      <c r="L3" s="1213"/>
      <c r="M3" s="1213"/>
    </row>
    <row r="4" spans="1:37" ht="18" customHeight="1">
      <c r="A4" s="3114" t="s">
        <v>2100</v>
      </c>
      <c r="B4" s="3115" t="s">
        <v>2101</v>
      </c>
      <c r="C4" s="3115" t="s">
        <v>2102</v>
      </c>
      <c r="D4" s="3115" t="s">
        <v>2103</v>
      </c>
      <c r="E4" s="3116" t="s">
        <v>2104</v>
      </c>
      <c r="F4" s="3117"/>
      <c r="G4" s="1235"/>
      <c r="H4" s="312" t="s">
        <v>2100</v>
      </c>
      <c r="I4" s="313" t="s">
        <v>2101</v>
      </c>
      <c r="J4" s="313" t="s">
        <v>2102</v>
      </c>
      <c r="K4" s="313" t="s">
        <v>2103</v>
      </c>
      <c r="L4" s="314" t="s">
        <v>2104</v>
      </c>
      <c r="M4" s="315"/>
    </row>
    <row r="5" spans="1:37" ht="18" customHeight="1">
      <c r="A5" s="3118">
        <v>1</v>
      </c>
      <c r="B5" s="3119" t="s">
        <v>2105</v>
      </c>
      <c r="C5" s="3120">
        <f ca="1">C6+C10+C12</f>
        <v>57071</v>
      </c>
      <c r="D5" s="3121" t="s">
        <v>2106</v>
      </c>
      <c r="E5" s="792"/>
      <c r="F5" s="3122"/>
      <c r="G5" s="1235"/>
      <c r="H5" s="316">
        <v>1</v>
      </c>
      <c r="I5" s="317" t="s">
        <v>2105</v>
      </c>
      <c r="J5" s="318">
        <f ca="1">J6+J10+J12</f>
        <v>0</v>
      </c>
      <c r="K5" s="2327" t="s">
        <v>2106</v>
      </c>
      <c r="L5" s="1211"/>
      <c r="M5" s="1380"/>
    </row>
    <row r="6" spans="1:37" ht="18" customHeight="1">
      <c r="A6" s="3123" t="s">
        <v>2107</v>
      </c>
      <c r="B6" s="3124" t="s">
        <v>2108</v>
      </c>
      <c r="C6" s="3120">
        <f>ROUND(F6*F8*F7*(1-F9),0)</f>
        <v>57000</v>
      </c>
      <c r="D6" s="3125" t="s">
        <v>2803</v>
      </c>
      <c r="E6" s="3126" t="s">
        <v>2109</v>
      </c>
      <c r="F6" s="3127">
        <f>'数据-取费表'!B29</f>
        <v>5000</v>
      </c>
      <c r="G6" s="1235"/>
      <c r="H6" s="1381" t="s">
        <v>2107</v>
      </c>
      <c r="I6" s="2015" t="s">
        <v>2108</v>
      </c>
      <c r="J6" s="318">
        <f>ROUND(M6*M8*M7*(1-M9),0)</f>
        <v>0</v>
      </c>
      <c r="K6" s="80" t="s">
        <v>2803</v>
      </c>
      <c r="L6" s="319" t="s">
        <v>2109</v>
      </c>
      <c r="M6" s="320">
        <f>'数据-取费表'!B36</f>
        <v>0</v>
      </c>
    </row>
    <row r="7" spans="1:37" ht="18" customHeight="1">
      <c r="A7" s="3128"/>
      <c r="B7" s="3129"/>
      <c r="C7" s="3130"/>
      <c r="D7" s="3131"/>
      <c r="E7" s="3126" t="s">
        <v>2110</v>
      </c>
      <c r="F7" s="3127">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3128"/>
      <c r="B8" s="3129"/>
      <c r="C8" s="3130"/>
      <c r="D8" s="3131"/>
      <c r="E8" s="3126" t="s">
        <v>2111</v>
      </c>
      <c r="F8" s="3127">
        <f>'数据-取费表'!B42</f>
        <v>12</v>
      </c>
      <c r="G8" s="1235"/>
      <c r="H8" s="321"/>
      <c r="I8" s="322"/>
      <c r="J8" s="323"/>
      <c r="K8" s="324"/>
      <c r="L8" s="319" t="s">
        <v>2112</v>
      </c>
      <c r="M8" s="320">
        <f>'数据-取费表'!B42</f>
        <v>12</v>
      </c>
    </row>
    <row r="9" spans="1:37" ht="18" customHeight="1">
      <c r="A9" s="3128"/>
      <c r="B9" s="3129"/>
      <c r="C9" s="3130"/>
      <c r="D9" s="3132"/>
      <c r="E9" s="3126" t="s">
        <v>2113</v>
      </c>
      <c r="F9" s="3133">
        <f>'数据-取费表'!B32</f>
        <v>0.05</v>
      </c>
      <c r="G9" s="1235"/>
      <c r="H9" s="321"/>
      <c r="I9" s="322"/>
      <c r="J9" s="1383"/>
      <c r="K9" s="95"/>
      <c r="L9" s="330" t="s">
        <v>2113</v>
      </c>
      <c r="M9" s="329">
        <f>'数据-取费表'!B38</f>
        <v>0</v>
      </c>
    </row>
    <row r="10" spans="1:37" ht="18" customHeight="1">
      <c r="A10" s="3123" t="s">
        <v>2114</v>
      </c>
      <c r="B10" s="3134" t="s">
        <v>2115</v>
      </c>
      <c r="C10" s="3135">
        <f ca="1">ROUND(IF(F10="押一",C6/12*F11,IF(F10="押二",C6/12*2*F11,IF(F10="押三",C6/12*3*F11,C11*F11))),0)</f>
        <v>71</v>
      </c>
      <c r="D10" s="3136" t="s">
        <v>2811</v>
      </c>
      <c r="E10" s="3137" t="s">
        <v>2116</v>
      </c>
      <c r="F10" s="3138" t="s">
        <v>2117</v>
      </c>
      <c r="G10" s="1235"/>
      <c r="H10" s="1381" t="s">
        <v>2114</v>
      </c>
      <c r="I10" s="2328" t="s">
        <v>2115</v>
      </c>
      <c r="J10" s="1382">
        <f ca="1">ROUND(IF(M10="押一",J6/12*M11,IF(M10="押二",J6/12*2*M11,IF(M10="押三",J6/12*3*M11,J11*M11))),0)</f>
        <v>0</v>
      </c>
      <c r="K10" s="80" t="s">
        <v>2811</v>
      </c>
      <c r="L10" s="330" t="s">
        <v>2116</v>
      </c>
      <c r="M10" s="2330"/>
    </row>
    <row r="11" spans="1:37" s="339" customFormat="1" ht="18" customHeight="1">
      <c r="A11" s="3139"/>
      <c r="B11" s="3140" t="s">
        <v>2118</v>
      </c>
      <c r="C11" s="3141"/>
      <c r="D11" s="3131"/>
      <c r="E11" s="3137" t="s">
        <v>2119</v>
      </c>
      <c r="F11" s="3142">
        <f ca="1">'数据-取费表'!B30</f>
        <v>1.4999999999999999E-2</v>
      </c>
      <c r="G11" s="1236"/>
      <c r="H11" s="325"/>
      <c r="I11" s="2331"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3143" t="s">
        <v>2121</v>
      </c>
      <c r="B12" s="3144" t="s">
        <v>2122</v>
      </c>
      <c r="C12" s="3145"/>
      <c r="D12" s="3146"/>
      <c r="E12" s="3147"/>
      <c r="F12" s="3148"/>
      <c r="G12" s="1235"/>
      <c r="H12" s="1417" t="s">
        <v>2121</v>
      </c>
      <c r="I12" s="2332" t="s">
        <v>2122</v>
      </c>
      <c r="J12" s="1418"/>
      <c r="K12" s="1433"/>
      <c r="L12" s="1424"/>
      <c r="M12" s="1434"/>
    </row>
    <row r="13" spans="1:37" s="339" customFormat="1" ht="18" customHeight="1" thickTop="1">
      <c r="A13" s="3149">
        <v>2</v>
      </c>
      <c r="B13" s="3150" t="s">
        <v>2123</v>
      </c>
      <c r="C13" s="3151">
        <f ca="1">ROUND(C29*F13,0)</f>
        <v>336020</v>
      </c>
      <c r="D13" s="3152" t="s">
        <v>2124</v>
      </c>
      <c r="E13" s="3152" t="s">
        <v>2125</v>
      </c>
      <c r="F13" s="3153">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154" t="s">
        <v>2126</v>
      </c>
      <c r="B14" s="3126" t="s">
        <v>2127</v>
      </c>
      <c r="C14" s="2364">
        <f>IF(D1="仅计算典型户型",'数据-取费表'!F18,'数据-取费表'!E18)</f>
        <v>237211</v>
      </c>
      <c r="D14" s="3155" t="s">
        <v>2128</v>
      </c>
      <c r="E14" s="3156"/>
      <c r="F14" s="3157"/>
      <c r="G14" s="1236"/>
      <c r="H14" s="337" t="s">
        <v>2107</v>
      </c>
      <c r="I14" s="319" t="s">
        <v>2129</v>
      </c>
      <c r="J14" s="14">
        <f ca="1">C29</f>
        <v>377550</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154" t="s">
        <v>2130</v>
      </c>
      <c r="B15" s="3126" t="s">
        <v>2131</v>
      </c>
      <c r="C15" s="3158">
        <f>ROUND(C14*F15,0)</f>
        <v>7116</v>
      </c>
      <c r="D15" s="3159" t="s">
        <v>2132</v>
      </c>
      <c r="E15" s="3159" t="s">
        <v>2133</v>
      </c>
      <c r="F15" s="3160">
        <f>'数据-取费表'!E21</f>
        <v>0.03</v>
      </c>
      <c r="G15" s="1235"/>
      <c r="H15" s="1423" t="s">
        <v>2134</v>
      </c>
      <c r="I15" s="1424" t="s">
        <v>2135</v>
      </c>
      <c r="J15" s="1435">
        <f>'数据-取费表'!B39</f>
        <v>0</v>
      </c>
      <c r="K15" s="1436"/>
      <c r="L15" s="1437"/>
      <c r="M15" s="1438"/>
    </row>
    <row r="16" spans="1:37" s="339" customFormat="1" ht="18" customHeight="1" thickTop="1">
      <c r="A16" s="3154" t="s">
        <v>2136</v>
      </c>
      <c r="B16" s="3126" t="s">
        <v>2137</v>
      </c>
      <c r="C16" s="3158">
        <f>ROUND(C14*F16,0)</f>
        <v>11861</v>
      </c>
      <c r="D16" s="3126" t="s">
        <v>2132</v>
      </c>
      <c r="E16" s="3126" t="s">
        <v>2133</v>
      </c>
      <c r="F16" s="3161">
        <f>IF('数据-取费表'!B10="住宅",'数据-取费表'!E22,0)</f>
        <v>0.05</v>
      </c>
      <c r="G16" s="1236"/>
      <c r="H16" s="1415" t="s">
        <v>14</v>
      </c>
      <c r="I16" s="1416" t="s">
        <v>2138</v>
      </c>
      <c r="J16" s="327">
        <f ca="1">ROUND(J17+J22+J23+J24,0)</f>
        <v>5663</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154" t="s">
        <v>2140</v>
      </c>
      <c r="B17" s="3126" t="s">
        <v>2141</v>
      </c>
      <c r="C17" s="3158">
        <f>ROUND(F17*IF(D1="仅计算典型户型",'数据-取费表'!E5,'数据-取费表'!B5),0)</f>
        <v>17442</v>
      </c>
      <c r="D17" s="3126" t="s">
        <v>2142</v>
      </c>
      <c r="E17" s="3126" t="s">
        <v>2143</v>
      </c>
      <c r="F17" s="3162">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154" t="s">
        <v>2148</v>
      </c>
      <c r="B18" s="3126" t="s">
        <v>2149</v>
      </c>
      <c r="C18" s="3158">
        <f>ROUND(C14*F18,0)</f>
        <v>3558</v>
      </c>
      <c r="D18" s="3126" t="s">
        <v>2132</v>
      </c>
      <c r="E18" s="3126" t="s">
        <v>2133</v>
      </c>
      <c r="F18" s="3161">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3154" t="s">
        <v>2144</v>
      </c>
      <c r="B19" s="3126" t="s">
        <v>2153</v>
      </c>
      <c r="C19" s="3158">
        <f>SUM(C14:C18)</f>
        <v>277188</v>
      </c>
      <c r="D19" s="3163" t="s">
        <v>2154</v>
      </c>
      <c r="E19" s="2752"/>
      <c r="F19" s="3162"/>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154" t="s">
        <v>2114</v>
      </c>
      <c r="B20" s="3126" t="s">
        <v>2157</v>
      </c>
      <c r="C20" s="3158">
        <f>ROUND(C19*F20,0)</f>
        <v>5544</v>
      </c>
      <c r="D20" s="3164" t="s">
        <v>2158</v>
      </c>
      <c r="E20" s="3126" t="s">
        <v>2159</v>
      </c>
      <c r="F20" s="3161">
        <f>'数据-取费表'!E25</f>
        <v>0.02</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154" t="s">
        <v>2163</v>
      </c>
      <c r="B21" s="3126" t="s">
        <v>2164</v>
      </c>
      <c r="C21" s="3165">
        <f>F21</f>
        <v>0.01</v>
      </c>
      <c r="D21" s="3164" t="s">
        <v>2165</v>
      </c>
      <c r="E21" s="3126" t="s">
        <v>2166</v>
      </c>
      <c r="F21" s="3161">
        <f>'数据-取费表'!E26</f>
        <v>0.01</v>
      </c>
      <c r="G21" s="1235"/>
      <c r="H21" s="346"/>
      <c r="I21" s="328"/>
      <c r="J21" s="19"/>
      <c r="K21" s="347"/>
      <c r="L21" s="319" t="s">
        <v>2167</v>
      </c>
      <c r="M21" s="320">
        <f>IF(D1="仅计算典型户型",'数据-取费表'!E6,'数据-取费表'!B6)</f>
        <v>0</v>
      </c>
    </row>
    <row r="22" spans="1:37" ht="18" customHeight="1">
      <c r="A22" s="3154" t="s">
        <v>2168</v>
      </c>
      <c r="B22" s="3126" t="s">
        <v>2169</v>
      </c>
      <c r="C22" s="3158"/>
      <c r="D22" s="3163" t="str">
        <f>IF(F23&lt;=1,"单利计息。","复利计息。")&amp;"建造成本、管理费用、销售费用产生的利息。"</f>
        <v>复利计息。建造成本、管理费用、销售费用产生的利息。</v>
      </c>
      <c r="E22" s="2752"/>
      <c r="F22" s="3162"/>
      <c r="G22" s="1235"/>
      <c r="H22" s="337" t="s">
        <v>2134</v>
      </c>
      <c r="I22" s="319" t="s">
        <v>2170</v>
      </c>
      <c r="J22" s="14">
        <f ca="1">ROUND(J14*M22,0)</f>
        <v>5663</v>
      </c>
      <c r="K22" s="1883" t="s">
        <v>2171</v>
      </c>
      <c r="L22" s="319" t="s">
        <v>2133</v>
      </c>
      <c r="M22" s="348">
        <f>'数据-取费表'!B44</f>
        <v>1.4999999999999999E-2</v>
      </c>
    </row>
    <row r="23" spans="1:37" ht="18" customHeight="1">
      <c r="A23" s="3154" t="s">
        <v>2150</v>
      </c>
      <c r="B23" s="3126" t="s">
        <v>2172</v>
      </c>
      <c r="C23" s="3158">
        <f ca="1">IF('数据-取费表'!B23&lt;=1,ROUND(C19*F24*F23/2,0)+ROUND(C20*F24*F23/2,0),ROUND(C19*(POWER((1+F24),F23/2)-1),0)+ROUND(C20*(POWER((1+F24),F23/2)-1),0))</f>
        <v>13429</v>
      </c>
      <c r="D23" s="3166" t="str">
        <f>IF(F23&lt;=1,"(建造成本+管理费用)×利率×(建设周期÷2)","(建造成本+管理费用)×((1+利率)^(建设周期÷2)-1)")</f>
        <v>(建造成本+管理费用)×((1+利率)^(建设周期÷2)-1)</v>
      </c>
      <c r="E23" s="3126" t="s">
        <v>2173</v>
      </c>
      <c r="F23" s="3167">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3154" t="s">
        <v>2177</v>
      </c>
      <c r="B24" s="3126" t="s">
        <v>2178</v>
      </c>
      <c r="C24" s="3158">
        <f ca="1">ROUND(IF('数据-取费表'!B23&lt;=1,F21*F24*F23/2,F21*(POWER((1+F24),F23/2)-1)),4)</f>
        <v>5.0000000000000001E-4</v>
      </c>
      <c r="D24" s="3166" t="str">
        <f>IF(F23&lt;=1,"销售费用×利率×(建设周期÷2)","销售费用×((1+利率)^(建设周期÷2)-1)")</f>
        <v>销售费用×((1+利率)^(建设周期÷2)-1)</v>
      </c>
      <c r="E24" s="3126" t="s">
        <v>2179</v>
      </c>
      <c r="F24" s="3168">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154" t="s">
        <v>2181</v>
      </c>
      <c r="B25" s="3126" t="s">
        <v>2182</v>
      </c>
      <c r="C25" s="3158"/>
      <c r="D25" s="3163" t="s">
        <v>2183</v>
      </c>
      <c r="E25" s="2752"/>
      <c r="F25" s="3162"/>
      <c r="G25" s="1236"/>
      <c r="H25" s="1415" t="s">
        <v>22</v>
      </c>
      <c r="I25" s="1427" t="s">
        <v>2184</v>
      </c>
      <c r="J25" s="327">
        <f ca="1">J5-J16</f>
        <v>-5663</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154" t="s">
        <v>2126</v>
      </c>
      <c r="B26" s="3126" t="s">
        <v>2186</v>
      </c>
      <c r="C26" s="3158">
        <f>ROUND((C19+C20)*F26,0)</f>
        <v>56546</v>
      </c>
      <c r="D26" s="3164" t="s">
        <v>2187</v>
      </c>
      <c r="E26" s="3137" t="s">
        <v>2188</v>
      </c>
      <c r="F26" s="3133">
        <f>'数据-取费表'!E28</f>
        <v>0.2</v>
      </c>
      <c r="G26" s="789"/>
      <c r="H26" s="316" t="s">
        <v>23</v>
      </c>
      <c r="I26" s="317" t="s">
        <v>2189</v>
      </c>
      <c r="J26" s="318">
        <f ca="1">IF(J5&lt;&gt;0,ROUND(J25*(1-((1+M28)/(1+M26))^M27)/(M26-M28),0),0)</f>
        <v>0</v>
      </c>
      <c r="K26" s="344" t="s">
        <v>2190</v>
      </c>
      <c r="L26" s="319" t="s">
        <v>2191</v>
      </c>
      <c r="M26" s="329">
        <f>'数据-取费表'!B16</f>
        <v>0.04</v>
      </c>
    </row>
    <row r="27" spans="1:37" ht="18" customHeight="1">
      <c r="A27" s="3154" t="s">
        <v>2192</v>
      </c>
      <c r="B27" s="3126" t="s">
        <v>2193</v>
      </c>
      <c r="C27" s="3158">
        <f>ROUND(F21*F26,4)</f>
        <v>2E-3</v>
      </c>
      <c r="D27" s="3164" t="s">
        <v>2194</v>
      </c>
      <c r="E27" s="3159"/>
      <c r="F27" s="3160"/>
      <c r="G27" s="789"/>
      <c r="H27" s="321"/>
      <c r="I27" s="322"/>
      <c r="J27" s="323"/>
      <c r="K27" s="352" t="s">
        <v>2195</v>
      </c>
      <c r="L27" s="319" t="s">
        <v>2196</v>
      </c>
      <c r="M27" s="353" t="str">
        <f>'数据-取费表'!B40</f>
        <v>——</v>
      </c>
    </row>
    <row r="28" spans="1:37" ht="18" customHeight="1">
      <c r="A28" s="3154" t="s">
        <v>2197</v>
      </c>
      <c r="B28" s="3126" t="s">
        <v>2198</v>
      </c>
      <c r="C28" s="3158">
        <f>ROUND(F28/(1+'数据-取费表'!F30),4)</f>
        <v>5.33E-2</v>
      </c>
      <c r="D28" s="3164" t="s">
        <v>2199</v>
      </c>
      <c r="E28" s="3126" t="s">
        <v>2159</v>
      </c>
      <c r="F28" s="3161">
        <f>'数据-取费表'!E29</f>
        <v>5.6000000000000001E-2</v>
      </c>
      <c r="G28" s="789"/>
      <c r="H28" s="325"/>
      <c r="I28" s="326"/>
      <c r="J28" s="327"/>
      <c r="K28" s="347"/>
      <c r="L28" s="319" t="s">
        <v>2200</v>
      </c>
      <c r="M28" s="329">
        <f>'数据-取费表'!B37</f>
        <v>0</v>
      </c>
    </row>
    <row r="29" spans="1:37" ht="18" customHeight="1" thickBot="1">
      <c r="A29" s="3169" t="s">
        <v>2201</v>
      </c>
      <c r="B29" s="3147" t="s">
        <v>2202</v>
      </c>
      <c r="C29" s="3170">
        <f ca="1">ROUND((C19+C20+C23+C26)/(1-F21-C24-C27-C28),0)</f>
        <v>377550</v>
      </c>
      <c r="D29" s="3171"/>
      <c r="E29" s="3147"/>
      <c r="F29" s="3172"/>
      <c r="G29" s="789"/>
      <c r="H29" s="354" t="s">
        <v>24</v>
      </c>
      <c r="I29" s="355" t="s">
        <v>2203</v>
      </c>
      <c r="J29" s="356">
        <f ca="1">ROUND(J26/(1+F40)^F41,0)</f>
        <v>0</v>
      </c>
      <c r="K29" s="357" t="s">
        <v>2204</v>
      </c>
      <c r="L29" s="358"/>
      <c r="M29" s="359">
        <f>IF(D1="仅计算典型户型",'数据-取费表'!E5,'数据-取费表'!B5)</f>
        <v>87.21</v>
      </c>
    </row>
    <row r="30" spans="1:37" ht="18" customHeight="1" thickTop="1">
      <c r="A30" s="3149" t="s">
        <v>14</v>
      </c>
      <c r="B30" s="3150" t="s">
        <v>2205</v>
      </c>
      <c r="C30" s="3151">
        <f ca="1">ROUND(C31+C36+C37+C38,0)</f>
        <v>9592</v>
      </c>
      <c r="D30" s="3173" t="s">
        <v>2206</v>
      </c>
      <c r="E30" s="3174"/>
      <c r="F30" s="3175"/>
      <c r="G30" s="789"/>
      <c r="H30" s="1215"/>
      <c r="I30" s="1216"/>
      <c r="J30" s="1217"/>
      <c r="K30" s="1218"/>
      <c r="L30" s="1219"/>
      <c r="M30" s="1220"/>
    </row>
    <row r="31" spans="1:37" ht="18" customHeight="1">
      <c r="A31" s="3154" t="s">
        <v>2107</v>
      </c>
      <c r="B31" s="3126" t="s">
        <v>2145</v>
      </c>
      <c r="C31" s="3158">
        <f ca="1">ROUND(IF(项目基本情况!B7="自然人",C5*F31,C32+C33+C34),1)</f>
        <v>2853.6</v>
      </c>
      <c r="D31" s="3155" t="s">
        <v>2207</v>
      </c>
      <c r="E31" s="3176" t="s">
        <v>2208</v>
      </c>
      <c r="F31" s="3177">
        <f>IF(项目基本情况!B7="企业","",IF('数据-取费表'!B10="住宅",5%,IF(F6*F7*F8/12/(1+'数据-取费表'!F30)&gt;20000,12%,7%)))</f>
        <v>0.05</v>
      </c>
      <c r="G31" s="789"/>
      <c r="H31" s="1215"/>
      <c r="I31" s="1216"/>
      <c r="J31" s="1217"/>
      <c r="K31" s="1218"/>
      <c r="L31" s="1219"/>
      <c r="M31" s="1220"/>
    </row>
    <row r="32" spans="1:37" ht="18" customHeight="1">
      <c r="A32" s="3154" t="s">
        <v>2126</v>
      </c>
      <c r="B32" s="3126" t="s">
        <v>2209</v>
      </c>
      <c r="C32" s="3158" t="str">
        <f>IF(项目基本情况!B7="自然人","——",ROUND(C5*F32/(1+'数据-取费表'!F30),0))</f>
        <v>——</v>
      </c>
      <c r="D32" s="3176" t="s">
        <v>2210</v>
      </c>
      <c r="E32" s="3126" t="s">
        <v>2159</v>
      </c>
      <c r="F32" s="3168">
        <f>'数据-取费表'!E29</f>
        <v>5.6000000000000001E-2</v>
      </c>
      <c r="G32" s="789"/>
      <c r="H32" s="1221"/>
      <c r="I32" s="1222"/>
      <c r="J32" s="1223"/>
      <c r="K32" s="1224"/>
      <c r="L32" s="1225"/>
      <c r="M32" s="1226"/>
    </row>
    <row r="33" spans="1:18" ht="18" customHeight="1">
      <c r="A33" s="3154" t="s">
        <v>2130</v>
      </c>
      <c r="B33" s="3126" t="s">
        <v>2155</v>
      </c>
      <c r="C33" s="3158" t="str">
        <f>IF(项目基本情况!B7="自然人","——",IF(D33="按租金收入计税",ROUND(C5*F33,1),IF(D33="按房产原值计税",ROUND(C29*F33*0.7,1),'数据-取费表'!B43)))</f>
        <v>——</v>
      </c>
      <c r="D33" s="3178" t="s">
        <v>2156</v>
      </c>
      <c r="E33" s="3126" t="s">
        <v>2133</v>
      </c>
      <c r="F33" s="3161">
        <f>IF(D33="按票据","——",IF(D33="按租金收入计税",'数据-取费表'!E39,'数据-取费表'!E38))</f>
        <v>1.2E-2</v>
      </c>
      <c r="G33" s="789"/>
      <c r="H33" s="1227"/>
      <c r="I33" s="361" t="s">
        <v>2211</v>
      </c>
      <c r="J33" s="362"/>
      <c r="K33" s="1228"/>
      <c r="L33" s="1227"/>
      <c r="M33" s="1227"/>
    </row>
    <row r="34" spans="1:18" ht="18" customHeight="1">
      <c r="A34" s="3123" t="s">
        <v>2136</v>
      </c>
      <c r="B34" s="3125" t="s">
        <v>2160</v>
      </c>
      <c r="C34" s="3179" t="str">
        <f>IF(项目基本情况!B7="自然人","——",ROUND(F34*F35,0))</f>
        <v>——</v>
      </c>
      <c r="D34" s="3180" t="s">
        <v>2161</v>
      </c>
      <c r="E34" s="3126" t="s">
        <v>2162</v>
      </c>
      <c r="F34" s="3167">
        <f>'数据-取费表'!E40</f>
        <v>0</v>
      </c>
      <c r="G34" s="789"/>
      <c r="H34" s="1215"/>
      <c r="I34" s="363" t="s">
        <v>2212</v>
      </c>
      <c r="J34" s="364">
        <f ca="1">ROUND(C13*J35,0)</f>
        <v>20161</v>
      </c>
      <c r="K34" s="1229"/>
      <c r="L34" s="1230"/>
      <c r="M34" s="1230"/>
    </row>
    <row r="35" spans="1:18" ht="24.6" customHeight="1">
      <c r="A35" s="3181"/>
      <c r="B35" s="3132"/>
      <c r="C35" s="3182"/>
      <c r="D35" s="3183"/>
      <c r="E35" s="3126" t="s">
        <v>2167</v>
      </c>
      <c r="F35" s="3127">
        <f>IF(D1="仅计算典型户型",'数据-取费表'!E6,'数据-取费表'!B6)</f>
        <v>0</v>
      </c>
      <c r="G35" s="789"/>
      <c r="H35" s="1215"/>
      <c r="I35" s="365" t="s">
        <v>2213</v>
      </c>
      <c r="J35" s="366">
        <f>'数据-取费表'!B17</f>
        <v>0.06</v>
      </c>
      <c r="K35" s="1228"/>
      <c r="L35" s="1227"/>
      <c r="M35" s="1227"/>
    </row>
    <row r="36" spans="1:18" ht="18" customHeight="1">
      <c r="A36" s="3184" t="s">
        <v>2114</v>
      </c>
      <c r="B36" s="3126" t="s">
        <v>2214</v>
      </c>
      <c r="C36" s="3158">
        <f ca="1">ROUND(C29*F36,0)</f>
        <v>5663</v>
      </c>
      <c r="D36" s="3176" t="s">
        <v>2215</v>
      </c>
      <c r="E36" s="3126" t="s">
        <v>2159</v>
      </c>
      <c r="F36" s="3185">
        <f>'数据-取费表'!B44</f>
        <v>1.4999999999999999E-2</v>
      </c>
      <c r="G36" s="789"/>
      <c r="H36" s="1227"/>
      <c r="I36" s="367" t="s">
        <v>2216</v>
      </c>
      <c r="J36" s="368"/>
      <c r="K36" s="1231"/>
      <c r="L36" s="1227"/>
      <c r="M36" s="1227"/>
    </row>
    <row r="37" spans="1:18" ht="18" customHeight="1">
      <c r="A37" s="3154" t="s">
        <v>2163</v>
      </c>
      <c r="B37" s="3126" t="s">
        <v>2174</v>
      </c>
      <c r="C37" s="3158">
        <f ca="1">ROUND(C13*F37,0)</f>
        <v>504</v>
      </c>
      <c r="D37" s="3176" t="s">
        <v>2175</v>
      </c>
      <c r="E37" s="3126" t="s">
        <v>2176</v>
      </c>
      <c r="F37" s="3186">
        <f>'数据-取费表'!B45</f>
        <v>1.5E-3</v>
      </c>
      <c r="G37" s="789"/>
      <c r="H37" s="1227"/>
      <c r="I37" s="216" t="s">
        <v>2217</v>
      </c>
      <c r="J37" s="369"/>
      <c r="K37" s="1231"/>
      <c r="L37" s="1227"/>
      <c r="M37" s="1227"/>
    </row>
    <row r="38" spans="1:18" ht="18" customHeight="1" thickBot="1">
      <c r="A38" s="3169" t="s">
        <v>2168</v>
      </c>
      <c r="B38" s="3147" t="s">
        <v>2157</v>
      </c>
      <c r="C38" s="3170">
        <f ca="1">ROUND(C5*F38,0)</f>
        <v>571</v>
      </c>
      <c r="D38" s="3171" t="s">
        <v>2180</v>
      </c>
      <c r="E38" s="3147" t="s">
        <v>2176</v>
      </c>
      <c r="F38" s="3148">
        <f>'数据-取费表'!B46</f>
        <v>0.01</v>
      </c>
      <c r="G38" s="789"/>
      <c r="H38" s="1227"/>
      <c r="I38" s="363" t="s">
        <v>2218</v>
      </c>
      <c r="J38" s="220">
        <f ca="1">ROUND(J34/C39,3)</f>
        <v>0.42499999999999999</v>
      </c>
      <c r="K38" s="1232"/>
      <c r="L38" s="1227"/>
      <c r="M38" s="1227"/>
    </row>
    <row r="39" spans="1:18" ht="18" customHeight="1" thickTop="1">
      <c r="A39" s="3149" t="s">
        <v>22</v>
      </c>
      <c r="B39" s="3187" t="s">
        <v>2219</v>
      </c>
      <c r="C39" s="3151">
        <f ca="1">C5-C30</f>
        <v>47479</v>
      </c>
      <c r="D39" s="3188" t="s">
        <v>2220</v>
      </c>
      <c r="E39" s="3189"/>
      <c r="F39" s="3190"/>
      <c r="G39" s="789"/>
      <c r="H39" s="1227"/>
      <c r="I39" s="363" t="s">
        <v>2221</v>
      </c>
      <c r="J39" s="220">
        <f ca="1">1-J38</f>
        <v>0.57499999999999996</v>
      </c>
      <c r="K39" s="1232"/>
      <c r="L39" s="1227"/>
      <c r="M39" s="1227"/>
    </row>
    <row r="40" spans="1:18" s="789" customFormat="1" ht="18" customHeight="1">
      <c r="A40" s="3118" t="s">
        <v>23</v>
      </c>
      <c r="B40" s="3119" t="s">
        <v>2222</v>
      </c>
      <c r="C40" s="3120">
        <f ca="1">ROUND(C39*(1-((1+F42)/(1+F40))^F41)/(F40-F42),0)</f>
        <v>2424774</v>
      </c>
      <c r="D40" s="3180" t="s">
        <v>2190</v>
      </c>
      <c r="E40" s="3126" t="s">
        <v>2191</v>
      </c>
      <c r="F40" s="3133">
        <f>'数据-取费表'!B16</f>
        <v>0.04</v>
      </c>
      <c r="H40" s="1233"/>
      <c r="I40" s="216" t="s">
        <v>2223</v>
      </c>
      <c r="J40" s="217"/>
      <c r="K40" s="1232"/>
      <c r="L40" s="1233"/>
      <c r="M40" s="1233"/>
      <c r="Q40" s="793"/>
    </row>
    <row r="41" spans="1:18" s="789" customFormat="1" ht="18" customHeight="1">
      <c r="A41" s="3191"/>
      <c r="B41" s="3129"/>
      <c r="C41" s="3130"/>
      <c r="D41" s="3192" t="s">
        <v>2224</v>
      </c>
      <c r="E41" s="3193" t="s">
        <v>2848</v>
      </c>
      <c r="F41" s="3194">
        <f>IF('数据-取费表'!B28="租赁期内按合同租金",'数据-取费表'!B34,IF(E41="收益年期(n)",'数据-取费表'!B33,'数据-取费表'!B13))</f>
        <v>61.18</v>
      </c>
      <c r="H41" s="1234"/>
      <c r="I41" s="219" t="s">
        <v>2095</v>
      </c>
      <c r="J41" s="220">
        <f ca="1">ROUND(C13/C40,3)</f>
        <v>0.13900000000000001</v>
      </c>
      <c r="K41" s="1231"/>
      <c r="L41" s="1234"/>
      <c r="M41" s="1234"/>
      <c r="Q41" s="793"/>
    </row>
    <row r="42" spans="1:18" s="789" customFormat="1" ht="18" customHeight="1">
      <c r="A42" s="3195"/>
      <c r="B42" s="3196"/>
      <c r="C42" s="3151"/>
      <c r="D42" s="3183"/>
      <c r="E42" s="3126" t="s">
        <v>2200</v>
      </c>
      <c r="F42" s="3133">
        <f>'数据-取费表'!B31</f>
        <v>3.5000000000000003E-2</v>
      </c>
      <c r="H42" s="1234"/>
      <c r="I42" s="219" t="s">
        <v>2096</v>
      </c>
      <c r="J42" s="221">
        <f ca="1">1-J41</f>
        <v>0.86099999999999999</v>
      </c>
      <c r="K42" s="1231"/>
      <c r="L42" s="1234"/>
      <c r="M42" s="1234"/>
      <c r="Q42" s="793"/>
    </row>
    <row r="43" spans="1:18" s="789" customFormat="1" ht="18" customHeight="1" thickBot="1">
      <c r="A43" s="3197" t="s">
        <v>24</v>
      </c>
      <c r="B43" s="3198" t="s">
        <v>2225</v>
      </c>
      <c r="C43" s="3199">
        <f ca="1">ROUND(C40/F43,0)</f>
        <v>27804</v>
      </c>
      <c r="D43" s="3200" t="s">
        <v>2226</v>
      </c>
      <c r="E43" s="3201" t="s">
        <v>2227</v>
      </c>
      <c r="F43" s="3202">
        <f>IF(D1="仅计算典型户型",'数据-取费表'!E5,'数据-取费表'!B5)</f>
        <v>87.21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2424774</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3" t="s">
        <v>2237</v>
      </c>
      <c r="C47" s="1300">
        <f ca="1">IF(C2="元",C69-C40,ROUND((C69-C40)/10000,0))</f>
        <v>-2564956</v>
      </c>
      <c r="D47" s="2334" t="str">
        <f>C2</f>
        <v>元</v>
      </c>
      <c r="E47" s="774"/>
      <c r="F47" s="774"/>
      <c r="I47" s="2335" t="s">
        <v>2238</v>
      </c>
      <c r="J47" s="1340"/>
      <c r="K47" s="1341"/>
      <c r="L47" s="1354">
        <f>IF(M48="住宅",0,IF(L49&gt;J52,L61,J61))</f>
        <v>0</v>
      </c>
      <c r="O47" s="1368" t="s">
        <v>959</v>
      </c>
      <c r="P47" s="1365" t="s">
        <v>2239</v>
      </c>
      <c r="Q47" s="1366">
        <f ca="1">C29</f>
        <v>377550</v>
      </c>
      <c r="R47" s="1367" t="s">
        <v>2234</v>
      </c>
    </row>
    <row r="48" spans="1:18" s="789" customFormat="1" ht="15.75" thickBot="1">
      <c r="A48" s="312" t="s">
        <v>2240</v>
      </c>
      <c r="B48" s="313" t="s">
        <v>2241</v>
      </c>
      <c r="C48" s="313" t="s">
        <v>2242</v>
      </c>
      <c r="D48" s="313" t="s">
        <v>2243</v>
      </c>
      <c r="E48" s="1294" t="s">
        <v>2244</v>
      </c>
      <c r="F48" s="1295"/>
      <c r="I48" s="2336" t="s">
        <v>2245</v>
      </c>
      <c r="J48" s="2337"/>
      <c r="K48" s="2338" t="s">
        <v>2246</v>
      </c>
      <c r="L48" s="1342">
        <f>'数据-取费表'!B11</f>
        <v>70</v>
      </c>
      <c r="M48" s="1355" t="str">
        <f>IF('数据-取费表'!B10="住宅","住宅","非住宅")</f>
        <v>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39" t="s">
        <v>2249</v>
      </c>
      <c r="J49" s="2340"/>
      <c r="K49" s="2341" t="s">
        <v>2250</v>
      </c>
      <c r="L49" s="1125">
        <f>'数据-取费表'!B13</f>
        <v>61.18</v>
      </c>
      <c r="O49" s="1368" t="s">
        <v>961</v>
      </c>
      <c r="P49" s="1365" t="s">
        <v>2251</v>
      </c>
      <c r="Q49" s="1369">
        <f>J53</f>
        <v>0</v>
      </c>
      <c r="R49" s="1367"/>
    </row>
    <row r="50" spans="1:18" s="789" customFormat="1" ht="15.75" thickBot="1">
      <c r="A50" s="343" t="s">
        <v>2107</v>
      </c>
      <c r="B50" s="2015" t="s">
        <v>2252</v>
      </c>
      <c r="C50" s="318">
        <f>ROUND(F50*F52*F51*(1-F53),0)</f>
        <v>0</v>
      </c>
      <c r="D50" s="93" t="s">
        <v>2804</v>
      </c>
      <c r="E50" s="2342" t="s">
        <v>2253</v>
      </c>
      <c r="F50" s="1296"/>
      <c r="I50" s="2339" t="s">
        <v>2254</v>
      </c>
      <c r="J50" s="1125">
        <f>'数据-取费表'!B26</f>
        <v>2011</v>
      </c>
      <c r="K50" s="2343" t="s">
        <v>2255</v>
      </c>
      <c r="L50" s="1343"/>
      <c r="O50" s="1368" t="s">
        <v>962</v>
      </c>
      <c r="P50" s="1365" t="s">
        <v>2256</v>
      </c>
      <c r="Q50" s="1366">
        <f>J54</f>
        <v>59.18</v>
      </c>
      <c r="R50" s="1367" t="s">
        <v>2257</v>
      </c>
    </row>
    <row r="51" spans="1:18" s="789" customFormat="1" ht="15.75" thickBot="1">
      <c r="A51" s="321"/>
      <c r="B51" s="322"/>
      <c r="C51" s="323"/>
      <c r="D51" s="324"/>
      <c r="E51" s="338" t="s">
        <v>2110</v>
      </c>
      <c r="F51" s="1293">
        <f>F7</f>
        <v>1</v>
      </c>
      <c r="I51" s="2339" t="s">
        <v>2258</v>
      </c>
      <c r="J51" s="1344">
        <f>SUMPRODUCT((I64:I66=J48)*(J63:L63=J49)*(J64:L66))</f>
        <v>0</v>
      </c>
      <c r="K51" s="2343" t="s">
        <v>2259</v>
      </c>
      <c r="L51" s="1343"/>
      <c r="O51" s="1364" t="s">
        <v>963</v>
      </c>
      <c r="P51" s="1365" t="str">
        <f>IF(C2="元","收益价值(元)","收益价值(万元)")</f>
        <v>收益价值(元)</v>
      </c>
      <c r="Q51" s="1366">
        <f ca="1">ROUND(IF(C2="元",Q45+Q46,(Q45+Q46)/10000),0)</f>
        <v>2424774</v>
      </c>
      <c r="R51" s="1367" t="s">
        <v>964</v>
      </c>
    </row>
    <row r="52" spans="1:18" s="789" customFormat="1" ht="16.5" thickBot="1">
      <c r="A52" s="321"/>
      <c r="B52" s="322"/>
      <c r="C52" s="323"/>
      <c r="D52" s="324"/>
      <c r="E52" s="319" t="s">
        <v>2112</v>
      </c>
      <c r="F52" s="320">
        <f>F8</f>
        <v>12</v>
      </c>
      <c r="I52" s="2344" t="s">
        <v>2260</v>
      </c>
      <c r="J52" s="1345">
        <f>IF(J50="",J51,J50+J51-YEAR('数据-取费表'!B2))</f>
        <v>-7</v>
      </c>
      <c r="K52" s="2345" t="s">
        <v>2261</v>
      </c>
      <c r="L52" s="1346">
        <f ca="1">ROUND(-PV('数据-取费表'!B15,L49,(C40-C13*J35)),0)</f>
        <v>67015360</v>
      </c>
      <c r="O52" s="1358" t="s">
        <v>2262</v>
      </c>
      <c r="P52" s="1359"/>
      <c r="Q52" s="1355"/>
      <c r="R52" s="1359"/>
    </row>
    <row r="53" spans="1:18" s="789" customFormat="1" ht="15.75" thickBot="1">
      <c r="A53" s="325"/>
      <c r="B53" s="326"/>
      <c r="C53" s="327"/>
      <c r="D53" s="328"/>
      <c r="E53" s="319" t="s">
        <v>2113</v>
      </c>
      <c r="F53" s="1353"/>
      <c r="I53" s="2346" t="s">
        <v>2263</v>
      </c>
      <c r="J53" s="1347"/>
      <c r="K53" s="2346" t="s">
        <v>2264</v>
      </c>
      <c r="L53" s="1347"/>
      <c r="O53" s="1360" t="s">
        <v>2229</v>
      </c>
      <c r="P53" s="1361" t="s">
        <v>2230</v>
      </c>
      <c r="Q53" s="1362" t="s">
        <v>2231</v>
      </c>
      <c r="R53" s="1363" t="s">
        <v>2232</v>
      </c>
    </row>
    <row r="54" spans="1:18" s="789" customFormat="1" ht="29.25" customHeight="1" thickBot="1">
      <c r="A54" s="1381" t="s">
        <v>2114</v>
      </c>
      <c r="B54" s="2328" t="s">
        <v>2115</v>
      </c>
      <c r="C54" s="1382">
        <f ca="1">ROUND(IF(F54="押一",C50/12*F11,IF(F54="押二",C50/12*2*F11,IF(F54="押三",C50/12*3*F11,C55*F11))),0)</f>
        <v>0</v>
      </c>
      <c r="D54" s="2329" t="s">
        <v>2812</v>
      </c>
      <c r="E54" s="330" t="s">
        <v>2116</v>
      </c>
      <c r="F54" s="2330"/>
      <c r="I54" s="2721" t="s">
        <v>2815</v>
      </c>
      <c r="J54" s="1348">
        <f>IF(M48="住宅",IF(E1="——",MAX(J52,L49),IF(E1="在建（套用方法）",MAX(J52,L49-'数据-取费表'!B25),MAX(J52,L49-'数据-取费表'!B21))),IF(E1="——",MIN(J52,L49),IF(E1="在建（套用方法）",MIN(J52,L49-'数据-取费表'!B25),IF(E1="土地（套用方法）",MIN(J52,L49-'数据-取费表'!B21)))))</f>
        <v>59.18</v>
      </c>
      <c r="K54" s="2988" t="s">
        <v>2802</v>
      </c>
      <c r="L54" s="2989"/>
      <c r="O54" s="1364" t="s">
        <v>957</v>
      </c>
      <c r="P54" s="1365" t="s">
        <v>2233</v>
      </c>
      <c r="Q54" s="1366">
        <f ca="1">C40+J29</f>
        <v>2424774</v>
      </c>
      <c r="R54" s="1367" t="s">
        <v>2234</v>
      </c>
    </row>
    <row r="55" spans="1:18" s="789" customFormat="1" ht="20.25" thickBot="1">
      <c r="A55" s="1381"/>
      <c r="B55" s="2347" t="s">
        <v>2120</v>
      </c>
      <c r="C55" s="1413"/>
      <c r="D55" s="93"/>
      <c r="E55" s="2348"/>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9"/>
      <c r="K55" s="2349"/>
      <c r="L55" s="2349"/>
      <c r="O55" s="1364" t="s">
        <v>958</v>
      </c>
      <c r="P55" s="1365" t="s">
        <v>2265</v>
      </c>
      <c r="Q55" s="1366">
        <f>L61</f>
        <v>0</v>
      </c>
      <c r="R55" s="1367" t="s">
        <v>2266</v>
      </c>
    </row>
    <row r="56" spans="1:18" s="789" customFormat="1" ht="20.25" thickBot="1">
      <c r="A56" s="1417" t="s">
        <v>2121</v>
      </c>
      <c r="B56" s="2332" t="s">
        <v>2122</v>
      </c>
      <c r="C56" s="1418"/>
      <c r="D56" s="1433"/>
      <c r="E56" s="2350"/>
      <c r="F56" s="1492"/>
      <c r="I56" s="2351" t="s">
        <v>2267</v>
      </c>
      <c r="J56" s="1861" t="e">
        <f>ROUND(IF(J48="钢混",J58/J51,1-(1-2%)*(J51-J58)/J51),3)</f>
        <v>#VALUE!</v>
      </c>
      <c r="K56" s="2352"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336020</v>
      </c>
      <c r="D57" s="1291"/>
      <c r="E57" s="1292"/>
      <c r="F57" s="1299"/>
      <c r="I57" s="2353" t="s">
        <v>2270</v>
      </c>
      <c r="J57" s="1352"/>
      <c r="K57" s="2339" t="s">
        <v>2271</v>
      </c>
      <c r="L57" s="1125">
        <f>IF(L49&lt;J52,"——",L49-J52)</f>
        <v>68.180000000000007</v>
      </c>
      <c r="O57" s="1368" t="s">
        <v>960</v>
      </c>
      <c r="P57" s="1365" t="s">
        <v>2272</v>
      </c>
      <c r="Q57" s="1369">
        <f>L53</f>
        <v>0</v>
      </c>
      <c r="R57" s="1367"/>
    </row>
    <row r="58" spans="1:18" s="789" customFormat="1" ht="29.25" thickBot="1">
      <c r="A58" s="1298"/>
      <c r="B58" s="319" t="s">
        <v>2202</v>
      </c>
      <c r="C58" s="188">
        <f ca="1">C29</f>
        <v>377550</v>
      </c>
      <c r="D58" s="1291"/>
      <c r="E58" s="1292"/>
      <c r="F58" s="1299"/>
      <c r="I58" s="2354" t="s">
        <v>2273</v>
      </c>
      <c r="J58" s="1351" t="str">
        <f>IF(OR(M48="住宅",J52&lt;L49,J57="是"),"——",J52-L49)</f>
        <v>——</v>
      </c>
      <c r="K58" s="2339" t="s">
        <v>2274</v>
      </c>
      <c r="L58" s="1125">
        <f ca="1">IF(L49&lt;J52,"——",IF(L56="比较法",L50,IF(L56="基准地价",L51,L52)))</f>
        <v>67015360</v>
      </c>
      <c r="O58" s="1368" t="s">
        <v>961</v>
      </c>
      <c r="P58" s="1365" t="s">
        <v>2275</v>
      </c>
      <c r="Q58" s="1366" t="e">
        <f>L59</f>
        <v>#DIV/0!</v>
      </c>
      <c r="R58" s="1367" t="s">
        <v>2276</v>
      </c>
    </row>
    <row r="59" spans="1:18" s="789" customFormat="1" ht="29.25" thickBot="1">
      <c r="A59" s="332" t="s">
        <v>14</v>
      </c>
      <c r="B59" s="333" t="s">
        <v>2205</v>
      </c>
      <c r="C59" s="334">
        <f ca="1">ROUND(C60+C65+C66+C67,0)</f>
        <v>6167</v>
      </c>
      <c r="D59" s="12" t="s">
        <v>2206</v>
      </c>
      <c r="E59" s="1888"/>
      <c r="F59" s="16"/>
      <c r="I59" s="2354" t="s">
        <v>2277</v>
      </c>
      <c r="J59" s="1860" t="e">
        <f>IF(J56&lt;0.4,0.4,J56)</f>
        <v>#VALUE!</v>
      </c>
      <c r="K59" s="2345" t="s">
        <v>2278</v>
      </c>
      <c r="L59" s="1125" t="e">
        <f>ROUND(POWER(1+L53,L48-L49)*(POWER(1+L53,L49)-1)/(POWER(1+L53,L48)-1),4)</f>
        <v>#DIV/0!</v>
      </c>
      <c r="O59" s="1368" t="s">
        <v>962</v>
      </c>
      <c r="P59" s="1365" t="str">
        <f>K60</f>
        <v>建设期及建筑物耐用年限下的土地年期修正系数Kn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0.05</v>
      </c>
      <c r="I60" s="2354" t="s">
        <v>2280</v>
      </c>
      <c r="J60" s="1351"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2424774</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5" t="s">
        <v>2281</v>
      </c>
      <c r="J61" s="1350" t="str">
        <f>IF(OR(M48="住宅",J52&lt;L49,J57="是"),"0",ROUND(J60/(1+J53)^J54,0))</f>
        <v>0</v>
      </c>
      <c r="K61" s="2356"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7" t="s">
        <v>2288</v>
      </c>
      <c r="J63" s="1864" t="s">
        <v>2289</v>
      </c>
      <c r="K63" s="1864" t="s">
        <v>2290</v>
      </c>
      <c r="L63" s="1864" t="s">
        <v>2291</v>
      </c>
      <c r="M63" s="1863" t="s">
        <v>2292</v>
      </c>
      <c r="O63" s="1364" t="s">
        <v>957</v>
      </c>
      <c r="P63" s="1365" t="s">
        <v>2233</v>
      </c>
      <c r="Q63" s="1366">
        <f ca="1">C40+J29</f>
        <v>2424774</v>
      </c>
      <c r="R63" s="1367" t="s">
        <v>2234</v>
      </c>
    </row>
    <row r="64" spans="1:18" s="789" customFormat="1" ht="20.25" thickBot="1">
      <c r="A64" s="346"/>
      <c r="B64" s="328"/>
      <c r="C64" s="19"/>
      <c r="D64" s="347"/>
      <c r="E64" s="319" t="s">
        <v>2293</v>
      </c>
      <c r="F64" s="320">
        <f t="shared" si="0"/>
        <v>0</v>
      </c>
      <c r="I64" s="2357"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5663</v>
      </c>
      <c r="D65" s="1883" t="s">
        <v>2215</v>
      </c>
      <c r="E65" s="319" t="s">
        <v>2159</v>
      </c>
      <c r="F65" s="348">
        <f t="shared" si="0"/>
        <v>1.4999999999999999E-2</v>
      </c>
      <c r="I65" s="2357" t="s">
        <v>2295</v>
      </c>
      <c r="J65" s="1864">
        <v>50</v>
      </c>
      <c r="K65" s="1864">
        <v>35</v>
      </c>
      <c r="L65" s="1864">
        <v>60</v>
      </c>
      <c r="M65" s="1863">
        <v>0</v>
      </c>
      <c r="O65" s="1368" t="s">
        <v>959</v>
      </c>
      <c r="P65" s="1365" t="s">
        <v>2269</v>
      </c>
      <c r="Q65" s="1370">
        <f ca="1">L52</f>
        <v>67015360</v>
      </c>
      <c r="R65" s="1371" t="s">
        <v>2296</v>
      </c>
    </row>
    <row r="66" spans="1:18" s="789" customFormat="1" ht="20.25" thickBot="1">
      <c r="A66" s="337" t="s">
        <v>20</v>
      </c>
      <c r="B66" s="319" t="s">
        <v>2174</v>
      </c>
      <c r="C66" s="14">
        <f ca="1">ROUND(C57*F66,0)</f>
        <v>504</v>
      </c>
      <c r="D66" s="1883" t="s">
        <v>2175</v>
      </c>
      <c r="E66" s="319" t="s">
        <v>2176</v>
      </c>
      <c r="F66" s="349">
        <f t="shared" si="0"/>
        <v>1.5E-3</v>
      </c>
      <c r="I66" s="2357" t="s">
        <v>2297</v>
      </c>
      <c r="J66" s="1864">
        <v>40</v>
      </c>
      <c r="K66" s="1864">
        <v>30</v>
      </c>
      <c r="L66" s="1864">
        <v>50</v>
      </c>
      <c r="M66" s="1862">
        <v>0.02</v>
      </c>
      <c r="O66" s="1368" t="s">
        <v>960</v>
      </c>
      <c r="P66" s="1372" t="s">
        <v>2298</v>
      </c>
      <c r="Q66" s="1366">
        <f ca="1">ROUND(Q67-Q68*Q69,0)</f>
        <v>27318</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47479</v>
      </c>
      <c r="R67" s="1367" t="s">
        <v>2234</v>
      </c>
    </row>
    <row r="68" spans="1:18" ht="15.75" thickBot="1">
      <c r="A68" s="332" t="s">
        <v>22</v>
      </c>
      <c r="B68" s="89" t="s">
        <v>2184</v>
      </c>
      <c r="C68" s="334">
        <f ca="1">C49-C59</f>
        <v>-6167</v>
      </c>
      <c r="D68" s="1878" t="s">
        <v>2185</v>
      </c>
      <c r="E68" s="1882"/>
      <c r="F68" s="351"/>
      <c r="H68" s="789"/>
      <c r="I68" s="789"/>
      <c r="J68" s="789"/>
      <c r="K68" s="789"/>
      <c r="L68" s="789"/>
      <c r="M68" s="789"/>
      <c r="O68" s="1368" t="s">
        <v>966</v>
      </c>
      <c r="P68" s="1372" t="s">
        <v>2300</v>
      </c>
      <c r="Q68" s="1366">
        <f ca="1">C13</f>
        <v>336020</v>
      </c>
      <c r="R68" s="1367" t="s">
        <v>2234</v>
      </c>
    </row>
    <row r="69" spans="1:18" ht="15.75" thickBot="1">
      <c r="A69" s="316" t="s">
        <v>23</v>
      </c>
      <c r="B69" s="317" t="s">
        <v>2222</v>
      </c>
      <c r="C69" s="318">
        <f ca="1">ROUND(C68*(1-((1+F71)/(1+F69))^F70)/(F69-F71),0)</f>
        <v>-140182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61.18</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-1607</v>
      </c>
      <c r="D72" s="357" t="s">
        <v>2226</v>
      </c>
      <c r="E72" s="358" t="s">
        <v>2227</v>
      </c>
      <c r="F72" s="359">
        <f>F43</f>
        <v>87.21</v>
      </c>
      <c r="O72" s="1368" t="s">
        <v>968</v>
      </c>
      <c r="P72" s="1365" t="str">
        <f>K60</f>
        <v>建设期及建筑物耐用年限下的土地年期修正系数Kn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2424774</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陈颖（注册号:1120060040）、叶凌（注册号:1119970111)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4" t="s">
        <v>975</v>
      </c>
      <c r="E2" s="1384" t="s">
        <v>976</v>
      </c>
      <c r="F2" s="1384" t="s">
        <v>977</v>
      </c>
      <c r="G2" s="1384" t="s">
        <v>978</v>
      </c>
      <c r="H2" s="1384" t="s">
        <v>979</v>
      </c>
      <c r="I2" s="1385" t="s">
        <v>980</v>
      </c>
    </row>
    <row r="3" spans="1:9">
      <c r="A3" s="2996"/>
      <c r="B3" s="2997" t="s">
        <v>981</v>
      </c>
      <c r="C3" s="2997"/>
      <c r="D3" s="1386"/>
      <c r="E3" s="1384"/>
      <c r="F3" s="1387"/>
      <c r="G3" s="1387"/>
      <c r="H3" s="1388"/>
      <c r="I3" s="1389">
        <f>ROUND(D3*E3*F3*G3*H3/10000,0)</f>
        <v>0</v>
      </c>
    </row>
    <row r="4" spans="1:9">
      <c r="A4" s="2996"/>
      <c r="B4" s="2997" t="s">
        <v>982</v>
      </c>
      <c r="C4" s="2997"/>
      <c r="D4" s="1386"/>
      <c r="E4" s="1384"/>
      <c r="F4" s="1387"/>
      <c r="G4" s="1387"/>
      <c r="H4" s="1388"/>
      <c r="I4" s="1389">
        <f t="shared" ref="I4:I9" si="0">ROUND(D4*E4*F4*G4*H4/10000,0)</f>
        <v>0</v>
      </c>
    </row>
    <row r="5" spans="1:9">
      <c r="A5" s="2996"/>
      <c r="B5" s="2997" t="s">
        <v>983</v>
      </c>
      <c r="C5" s="2997"/>
      <c r="D5" s="1386"/>
      <c r="E5" s="1384"/>
      <c r="F5" s="1387"/>
      <c r="G5" s="1387"/>
      <c r="H5" s="1388"/>
      <c r="I5" s="1389">
        <f t="shared" si="0"/>
        <v>0</v>
      </c>
    </row>
    <row r="6" spans="1:9">
      <c r="A6" s="2996"/>
      <c r="B6" s="2997" t="s">
        <v>984</v>
      </c>
      <c r="C6" s="2997"/>
      <c r="D6" s="1386"/>
      <c r="E6" s="1384"/>
      <c r="F6" s="1387"/>
      <c r="G6" s="1387"/>
      <c r="H6" s="1388"/>
      <c r="I6" s="1389">
        <f t="shared" si="0"/>
        <v>0</v>
      </c>
    </row>
    <row r="7" spans="1:9">
      <c r="A7" s="2996"/>
      <c r="B7" s="2997" t="s">
        <v>985</v>
      </c>
      <c r="C7" s="2997"/>
      <c r="D7" s="1386"/>
      <c r="E7" s="1384"/>
      <c r="F7" s="1387"/>
      <c r="G7" s="1387"/>
      <c r="H7" s="1388"/>
      <c r="I7" s="1389">
        <f t="shared" si="0"/>
        <v>0</v>
      </c>
    </row>
    <row r="8" spans="1:9">
      <c r="A8" s="2996"/>
      <c r="B8" s="2997" t="s">
        <v>986</v>
      </c>
      <c r="C8" s="2997"/>
      <c r="D8" s="1386"/>
      <c r="E8" s="1384"/>
      <c r="F8" s="1387"/>
      <c r="G8" s="1387"/>
      <c r="H8" s="1388"/>
      <c r="I8" s="1389">
        <f t="shared" si="0"/>
        <v>0</v>
      </c>
    </row>
    <row r="9" spans="1:9">
      <c r="A9" s="2996"/>
      <c r="B9" s="2997" t="s">
        <v>987</v>
      </c>
      <c r="C9" s="2997"/>
      <c r="D9" s="1386"/>
      <c r="E9" s="1384"/>
      <c r="F9" s="1387"/>
      <c r="G9" s="1387"/>
      <c r="H9" s="1388"/>
      <c r="I9" s="1389">
        <f t="shared" si="0"/>
        <v>0</v>
      </c>
    </row>
    <row r="10" spans="1:9">
      <c r="A10" s="2996"/>
      <c r="B10" s="2998" t="s">
        <v>988</v>
      </c>
      <c r="C10" s="2998"/>
      <c r="D10" s="1390">
        <v>527</v>
      </c>
      <c r="E10" s="1390" t="e">
        <f>ROUND(D1*10000/D10/H9,0)</f>
        <v>#DIV/0!</v>
      </c>
      <c r="F10" s="1391"/>
      <c r="G10" s="1391"/>
      <c r="H10" s="1392"/>
      <c r="I10" s="1393">
        <f>SUM(I3:I9)</f>
        <v>0</v>
      </c>
    </row>
    <row r="11" spans="1:9" ht="14.25">
      <c r="A11" s="2996" t="s">
        <v>1026</v>
      </c>
      <c r="B11" s="2997" t="s">
        <v>989</v>
      </c>
      <c r="C11" s="2997"/>
      <c r="D11" s="1386" t="s">
        <v>990</v>
      </c>
      <c r="E11" s="1386" t="s">
        <v>991</v>
      </c>
      <c r="F11" s="1387" t="s">
        <v>992</v>
      </c>
      <c r="G11" s="1387" t="s">
        <v>979</v>
      </c>
      <c r="H11" s="1394" t="s">
        <v>993</v>
      </c>
      <c r="I11" s="1385" t="s">
        <v>980</v>
      </c>
    </row>
    <row r="12" spans="1:9">
      <c r="A12" s="2996"/>
      <c r="B12" s="2997" t="s">
        <v>994</v>
      </c>
      <c r="C12" s="2997"/>
      <c r="D12" s="1386"/>
      <c r="E12" s="1386"/>
      <c r="F12" s="1387"/>
      <c r="G12" s="1388"/>
      <c r="H12" s="1395"/>
      <c r="I12" s="1385">
        <f>ROUND(D12*E12*F12*G12/10000,0)</f>
        <v>0</v>
      </c>
    </row>
    <row r="13" spans="1:9">
      <c r="A13" s="2996"/>
      <c r="B13" s="2997" t="s">
        <v>995</v>
      </c>
      <c r="C13" s="2997"/>
      <c r="D13" s="1386"/>
      <c r="E13" s="1386"/>
      <c r="F13" s="1387"/>
      <c r="G13" s="1388"/>
      <c r="H13" s="1395"/>
      <c r="I13" s="1385">
        <f>ROUND(D13*E13*F13*G13/10000,0)</f>
        <v>0</v>
      </c>
    </row>
    <row r="14" spans="1:9">
      <c r="A14" s="2996"/>
      <c r="B14" s="2997" t="s">
        <v>996</v>
      </c>
      <c r="C14" s="2997"/>
      <c r="D14" s="1386"/>
      <c r="E14" s="1386"/>
      <c r="F14" s="1387"/>
      <c r="G14" s="1388"/>
      <c r="H14" s="1395"/>
      <c r="I14" s="1385">
        <f>ROUND(D14*E14*F14*G14/10000,0)</f>
        <v>0</v>
      </c>
    </row>
    <row r="15" spans="1:9">
      <c r="A15" s="2996"/>
      <c r="B15" s="2998" t="s">
        <v>988</v>
      </c>
      <c r="C15" s="2998"/>
      <c r="D15" s="1390"/>
      <c r="E15" s="1390">
        <f>SUM(E12:E14)</f>
        <v>0</v>
      </c>
      <c r="F15" s="1391"/>
      <c r="G15" s="1388"/>
      <c r="H15" s="1395"/>
      <c r="I15" s="1396">
        <f>SUM(I12:I14)</f>
        <v>0</v>
      </c>
    </row>
    <row r="16" spans="1:9" ht="24">
      <c r="A16" s="2996" t="s">
        <v>1027</v>
      </c>
      <c r="B16" s="2997" t="s">
        <v>997</v>
      </c>
      <c r="C16" s="2997"/>
      <c r="D16" s="1386" t="s">
        <v>975</v>
      </c>
      <c r="E16" s="1397" t="s">
        <v>998</v>
      </c>
      <c r="F16" s="1387" t="s">
        <v>999</v>
      </c>
      <c r="G16" s="1388" t="s">
        <v>979</v>
      </c>
      <c r="H16" s="1394" t="s">
        <v>993</v>
      </c>
      <c r="I16" s="1385" t="s">
        <v>980</v>
      </c>
    </row>
    <row r="17" spans="1:9" ht="14.25">
      <c r="A17" s="2996"/>
      <c r="B17" s="2997" t="s">
        <v>1000</v>
      </c>
      <c r="C17" s="2997"/>
      <c r="D17" s="1386"/>
      <c r="E17" s="1386"/>
      <c r="F17" s="1387"/>
      <c r="G17" s="1388"/>
      <c r="H17" s="1398"/>
      <c r="I17" s="1399">
        <f>ROUND(D17*E17*F17*G17/10000,0)</f>
        <v>0</v>
      </c>
    </row>
    <row r="18" spans="1:9" ht="14.25">
      <c r="A18" s="2996"/>
      <c r="B18" s="2997" t="s">
        <v>1001</v>
      </c>
      <c r="C18" s="2997"/>
      <c r="D18" s="1386"/>
      <c r="E18" s="1386"/>
      <c r="F18" s="1387"/>
      <c r="G18" s="1388"/>
      <c r="H18" s="1398"/>
      <c r="I18" s="1399">
        <f>ROUND(D18*E18*F18*G18/10000,0)</f>
        <v>0</v>
      </c>
    </row>
    <row r="19" spans="1:9" ht="14.25">
      <c r="A19" s="2996"/>
      <c r="B19" s="2997" t="s">
        <v>1002</v>
      </c>
      <c r="C19" s="2997"/>
      <c r="D19" s="1386"/>
      <c r="E19" s="1386"/>
      <c r="F19" s="1387"/>
      <c r="G19" s="1388"/>
      <c r="H19" s="1398"/>
      <c r="I19" s="1399">
        <f>ROUND(D19*E19*F19*G19/10000,0)</f>
        <v>0</v>
      </c>
    </row>
    <row r="20" spans="1:9">
      <c r="A20" s="2996"/>
      <c r="B20" s="2998" t="s">
        <v>988</v>
      </c>
      <c r="C20" s="2998"/>
      <c r="D20" s="1390">
        <f>SUM(D17:D19)</f>
        <v>0</v>
      </c>
      <c r="E20" s="1390"/>
      <c r="F20" s="1391"/>
      <c r="G20" s="1388"/>
      <c r="H20" s="1395"/>
      <c r="I20" s="1396">
        <f>SUM(I17:I19)</f>
        <v>0</v>
      </c>
    </row>
    <row r="21" spans="1:9">
      <c r="A21" s="2996" t="s">
        <v>1028</v>
      </c>
      <c r="B21" s="2999"/>
      <c r="C21" s="2999"/>
      <c r="D21" s="2999"/>
      <c r="E21" s="2999"/>
      <c r="F21" s="2999"/>
      <c r="G21" s="2999"/>
      <c r="H21" s="1400">
        <v>0.1</v>
      </c>
      <c r="I21" s="1393">
        <f>ROUND(I10*H21,0)</f>
        <v>0</v>
      </c>
    </row>
    <row r="22" spans="1:9" ht="14.25">
      <c r="A22" s="3000" t="s">
        <v>1029</v>
      </c>
      <c r="B22" s="3001"/>
      <c r="C22" s="3002"/>
      <c r="D22" s="1401" t="s">
        <v>1003</v>
      </c>
      <c r="E22" s="1401" t="s">
        <v>1004</v>
      </c>
      <c r="F22" s="1402" t="s">
        <v>979</v>
      </c>
      <c r="G22" s="1402" t="s">
        <v>1005</v>
      </c>
      <c r="H22" s="1394" t="s">
        <v>993</v>
      </c>
      <c r="I22" s="1385" t="s">
        <v>980</v>
      </c>
    </row>
    <row r="23" spans="1:9" ht="14.25" thickBot="1">
      <c r="A23" s="3003"/>
      <c r="B23" s="3004"/>
      <c r="C23" s="3005"/>
      <c r="D23" s="1403"/>
      <c r="E23" s="1403"/>
      <c r="F23" s="1403"/>
      <c r="G23" s="1404"/>
      <c r="H23" s="1405"/>
      <c r="I23" s="1406">
        <f>ROUND(E23*D23*F23*(1-G23)/10000,0)</f>
        <v>0</v>
      </c>
    </row>
    <row r="26" spans="1:9">
      <c r="A26" s="1407" t="s">
        <v>1006</v>
      </c>
      <c r="B26" s="1407"/>
      <c r="C26" s="1407"/>
      <c r="D26" s="1407"/>
      <c r="E26" s="2993">
        <f>C27-C30-C31-C32</f>
        <v>0</v>
      </c>
      <c r="F26" s="2993"/>
      <c r="G26" s="2993"/>
      <c r="H26" s="1819" t="s">
        <v>1219</v>
      </c>
    </row>
    <row r="27" spans="1:9">
      <c r="A27" s="1408">
        <v>1</v>
      </c>
      <c r="B27" s="1409" t="s">
        <v>1007</v>
      </c>
      <c r="C27" s="1409">
        <f>C28+C29</f>
        <v>0</v>
      </c>
      <c r="D27" s="1409"/>
      <c r="E27" s="2994"/>
      <c r="F27" s="2994"/>
      <c r="G27" s="2994"/>
    </row>
    <row r="28" spans="1:9">
      <c r="A28" s="1410" t="s">
        <v>1008</v>
      </c>
      <c r="B28" s="1409" t="s">
        <v>1009</v>
      </c>
      <c r="C28" s="1409"/>
      <c r="D28" s="1409"/>
      <c r="E28" s="2994"/>
      <c r="F28" s="2994"/>
      <c r="G28" s="2994"/>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2995"/>
      <c r="F32" s="2995"/>
      <c r="G32" s="2995"/>
    </row>
    <row r="33" spans="1:7" hidden="1">
      <c r="A33" s="2990" t="s">
        <v>1018</v>
      </c>
      <c r="B33" s="2991"/>
      <c r="C33" s="2991"/>
      <c r="D33" s="2992"/>
      <c r="E33" s="2993"/>
      <c r="F33" s="2993"/>
      <c r="G33" s="2993"/>
    </row>
    <row r="34" spans="1:7" hidden="1">
      <c r="A34" s="1412">
        <v>1</v>
      </c>
      <c r="B34" s="1409" t="s">
        <v>1019</v>
      </c>
      <c r="C34" s="1409"/>
      <c r="D34" s="1409"/>
      <c r="E34" s="2994"/>
      <c r="F34" s="2994"/>
      <c r="G34" s="2994"/>
    </row>
    <row r="35" spans="1:7" hidden="1">
      <c r="A35" s="1412">
        <v>2</v>
      </c>
      <c r="B35" s="1409" t="s">
        <v>1020</v>
      </c>
      <c r="C35" s="1409"/>
      <c r="D35" s="1409"/>
      <c r="E35" s="2994"/>
      <c r="F35" s="2994"/>
      <c r="G35" s="2994"/>
    </row>
    <row r="36" spans="1:7" hidden="1">
      <c r="A36" s="1412">
        <v>3</v>
      </c>
      <c r="B36" s="1409" t="s">
        <v>1021</v>
      </c>
      <c r="C36" s="1409"/>
      <c r="D36" s="1409"/>
      <c r="E36" s="2994"/>
      <c r="F36" s="2994"/>
      <c r="G36" s="2994"/>
    </row>
    <row r="37" spans="1:7" hidden="1">
      <c r="A37" s="1412">
        <v>4</v>
      </c>
      <c r="B37" s="1409" t="s">
        <v>1022</v>
      </c>
      <c r="C37" s="1409"/>
      <c r="D37" s="1409"/>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014" t="s">
        <v>2307</v>
      </c>
      <c r="D4" s="3015"/>
      <c r="E4" s="3015"/>
      <c r="F4" s="3015"/>
      <c r="G4" s="3015"/>
      <c r="H4" s="3015"/>
      <c r="I4" s="3015"/>
      <c r="J4" s="3015"/>
      <c r="K4" s="3015"/>
      <c r="L4" s="3015"/>
      <c r="M4" s="3015"/>
      <c r="N4" s="3015"/>
      <c r="O4" s="3015"/>
      <c r="P4" s="3015"/>
      <c r="Q4" s="3015"/>
      <c r="R4" s="3015"/>
      <c r="S4" s="3016"/>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8" t="s">
        <v>2316</v>
      </c>
      <c r="B20" s="2359"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0"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1" t="str">
        <f>'数据-取费表'!B3</f>
        <v>元</v>
      </c>
      <c r="D23" s="84"/>
      <c r="E23" s="84"/>
      <c r="F23" s="2362" t="s">
        <v>1253</v>
      </c>
      <c r="G23" s="1870"/>
      <c r="H23" s="676" t="e">
        <f ca="1">SUMIF(INDIRECT("'"&amp;J23&amp;"'"&amp;"!A:A"),"承租人权益价值",INDIRECT("'"&amp;J23&amp;"'"&amp;"!c:c"))</f>
        <v>#REF!</v>
      </c>
      <c r="I23" s="676" t="str">
        <f>C2</f>
        <v>元</v>
      </c>
      <c r="J23" s="2363"/>
      <c r="K23" s="84"/>
      <c r="L23" s="84"/>
      <c r="M23" s="84"/>
      <c r="N23" s="84"/>
      <c r="O23" s="84"/>
      <c r="P23" s="84"/>
      <c r="Q23" s="84"/>
      <c r="R23" s="767"/>
      <c r="S23" s="54"/>
      <c r="T23" s="54"/>
      <c r="V23" s="1310"/>
      <c r="W23" s="799"/>
      <c r="X23" s="36"/>
      <c r="Y23" s="36"/>
      <c r="Z23" s="799"/>
    </row>
    <row r="24" spans="1:45" ht="15.75">
      <c r="A24" s="2361"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4" t="s">
        <v>2323</v>
      </c>
      <c r="V24" s="1339"/>
      <c r="W24" s="2365" t="s">
        <v>2324</v>
      </c>
      <c r="X24" s="2364" t="s">
        <v>2325</v>
      </c>
      <c r="Y24" s="1339"/>
      <c r="Z24" s="2366"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8" t="s">
        <v>2333</v>
      </c>
      <c r="W26" s="2369" t="s">
        <v>2334</v>
      </c>
      <c r="X26" s="1873" t="s">
        <v>2332</v>
      </c>
      <c r="Y26" s="2368" t="s">
        <v>2333</v>
      </c>
      <c r="Z26" s="2369"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A28" sqref="A28:XFD28"/>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9"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t="s">
        <v>2847</v>
      </c>
      <c r="D1" s="2370"/>
      <c r="E1" s="2371" t="s">
        <v>2852</v>
      </c>
      <c r="F1" s="1731" t="s">
        <v>2338</v>
      </c>
      <c r="G1" s="1730"/>
      <c r="H1" s="1730"/>
      <c r="I1" s="1730"/>
      <c r="J1" s="1730"/>
      <c r="K1" s="1732"/>
      <c r="L1" s="1724"/>
      <c r="M1" s="1725"/>
      <c r="N1" s="1725"/>
      <c r="O1" s="1725"/>
      <c r="P1" s="2372"/>
      <c r="Q1" s="1726"/>
      <c r="R1" s="1726"/>
      <c r="S1" s="1726"/>
      <c r="T1" s="1726"/>
      <c r="U1" s="1726"/>
      <c r="V1" s="1726"/>
      <c r="W1" s="1726"/>
      <c r="X1" s="1726"/>
      <c r="Y1" s="1726"/>
      <c r="Z1" s="1726"/>
      <c r="AA1" s="1726"/>
      <c r="AB1" s="1726"/>
      <c r="AC1" s="1727"/>
    </row>
    <row r="2" spans="1:29" s="370" customFormat="1" ht="28.5" customHeight="1" thickTop="1">
      <c r="A2" s="1718" t="s">
        <v>2007</v>
      </c>
      <c r="B2" s="1716">
        <f>IF(D2="——",IF(C2="元",ROUND(C49*D3,0),ROUND(C49*D3/10000,0)),IF(C2="元",ROUND(C49*D3,0),ROUND(C49*D3/10000,0))-E2)</f>
        <v>4209191</v>
      </c>
      <c r="C2" s="163" t="str">
        <f>'数据-取费表'!B3</f>
        <v>元</v>
      </c>
      <c r="D2" s="2373" t="s">
        <v>1253</v>
      </c>
      <c r="E2" s="1833" t="e">
        <f ca="1">SUMIF(INDIRECT("'"&amp;G2&amp;"'"&amp;"!A:A"),"承租人权益价值",INDIRECT("'"&amp;G2&amp;"'"&amp;"!c:c"))</f>
        <v>#REF!</v>
      </c>
      <c r="F2" s="2374" t="str">
        <f>C2</f>
        <v>元</v>
      </c>
      <c r="G2" s="2375"/>
      <c r="H2" s="977"/>
      <c r="I2" s="977"/>
      <c r="J2" s="977"/>
      <c r="K2" s="2376"/>
      <c r="L2" s="2377"/>
      <c r="M2" s="2378"/>
      <c r="N2" s="2378"/>
      <c r="O2" s="2378"/>
      <c r="P2" s="2379"/>
      <c r="Q2" s="2380"/>
      <c r="R2" s="2380"/>
      <c r="S2" s="2380"/>
      <c r="T2" s="2380"/>
      <c r="U2" s="2380"/>
      <c r="V2" s="2380"/>
      <c r="W2" s="2380"/>
      <c r="X2" s="2380"/>
      <c r="Y2" s="2380"/>
      <c r="Z2" s="2380"/>
      <c r="AA2" s="2380"/>
      <c r="AB2" s="2380"/>
      <c r="AC2" s="2381"/>
    </row>
    <row r="3" spans="1:29" s="370" customFormat="1" ht="28.5" customHeight="1" thickBot="1">
      <c r="A3" s="167" t="s">
        <v>2008</v>
      </c>
      <c r="B3" s="376">
        <f>ROUND(IF(D2="——",C49,IF(C2="万元",B2*10000/D3,B2/D3)),0)</f>
        <v>48265</v>
      </c>
      <c r="C3" s="377" t="s">
        <v>2339</v>
      </c>
      <c r="D3" s="376">
        <f>IF(C1="仅计算典型户型",'数据-取费表'!E5,'数据-取费表'!B5)</f>
        <v>87.21</v>
      </c>
      <c r="E3" s="977"/>
      <c r="F3" s="2382"/>
      <c r="G3" s="977"/>
      <c r="H3" s="977"/>
      <c r="I3" s="977"/>
      <c r="J3" s="977"/>
      <c r="K3" s="2376"/>
      <c r="L3" s="2377"/>
      <c r="M3" s="2378"/>
      <c r="N3" s="2378"/>
      <c r="O3" s="2378"/>
      <c r="P3" s="2383"/>
      <c r="Q3" s="2380"/>
      <c r="R3" s="2380"/>
      <c r="S3" s="2380"/>
      <c r="T3" s="2380"/>
      <c r="U3" s="2380"/>
      <c r="V3" s="2380"/>
      <c r="W3" s="2380"/>
      <c r="X3" s="2380"/>
      <c r="Y3" s="2380"/>
      <c r="Z3" s="2380"/>
      <c r="AA3" s="2380"/>
      <c r="AB3" s="2380"/>
      <c r="AC3" s="1355"/>
    </row>
    <row r="4" spans="1:29" ht="15">
      <c r="A4" s="378" t="s">
        <v>2340</v>
      </c>
      <c r="B4" s="379"/>
      <c r="C4" s="3050" t="s">
        <v>2341</v>
      </c>
      <c r="D4" s="3051"/>
      <c r="E4" s="3052" t="s">
        <v>2342</v>
      </c>
      <c r="F4" s="3053"/>
      <c r="G4" s="3050" t="s">
        <v>2343</v>
      </c>
      <c r="H4" s="3051"/>
      <c r="I4" s="3050" t="s">
        <v>2344</v>
      </c>
      <c r="J4" s="3051"/>
      <c r="K4" s="2384"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7" t="s">
        <v>2343</v>
      </c>
      <c r="AC4" s="3047" t="s">
        <v>2344</v>
      </c>
    </row>
    <row r="5" spans="1:29" ht="15">
      <c r="A5" s="381"/>
      <c r="B5" s="382"/>
      <c r="C5" s="3063" t="s">
        <v>2851</v>
      </c>
      <c r="D5" s="3036"/>
      <c r="E5" s="3061" t="str">
        <f>C5</f>
        <v>金隅景和园</v>
      </c>
      <c r="F5" s="3062"/>
      <c r="G5" s="3035" t="str">
        <f>C5</f>
        <v>金隅景和园</v>
      </c>
      <c r="H5" s="3036"/>
      <c r="I5" s="3035" t="str">
        <f>C5</f>
        <v>金隅景和园</v>
      </c>
      <c r="J5" s="3036"/>
      <c r="K5" s="2385"/>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64" t="s">
        <v>2850</v>
      </c>
      <c r="D6" s="3034"/>
      <c r="E6" s="3065" t="s">
        <v>2351</v>
      </c>
      <c r="F6" s="3066"/>
      <c r="G6" s="3033" t="s">
        <v>2351</v>
      </c>
      <c r="H6" s="3034"/>
      <c r="I6" s="3033" t="s">
        <v>2351</v>
      </c>
      <c r="J6" s="3034"/>
      <c r="K6" s="2385"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389">
        <v>43217</v>
      </c>
      <c r="F7" s="390">
        <f>SUMIF(58:58,YEAR(E7)&amp;"-"&amp;MONTH(E7),59:59)</f>
        <v>99</v>
      </c>
      <c r="G7" s="389">
        <v>43212</v>
      </c>
      <c r="H7" s="388">
        <f>SUMIF(58:58,YEAR(G7)&amp;"-"&amp;MONTH(G7),59:59)</f>
        <v>99</v>
      </c>
      <c r="I7" s="389">
        <v>43197</v>
      </c>
      <c r="J7" s="388">
        <f>SUMIF(58:58,YEAR(I7)&amp;"-"&amp;MONTH(I7),59:59)</f>
        <v>99</v>
      </c>
      <c r="K7" s="2386"/>
      <c r="L7" s="1242"/>
      <c r="M7" s="1243"/>
      <c r="N7" s="1243"/>
      <c r="O7" s="1243"/>
      <c r="P7" s="3037" t="s">
        <v>2354</v>
      </c>
      <c r="Q7" s="3045"/>
      <c r="R7" s="747" t="s">
        <v>34</v>
      </c>
      <c r="S7" s="748">
        <f t="shared" ref="S7:S15" si="0">F7</f>
        <v>99</v>
      </c>
      <c r="T7" s="747" t="s">
        <v>34</v>
      </c>
      <c r="U7" s="748">
        <f t="shared" ref="U7:U15" si="1">H7</f>
        <v>99</v>
      </c>
      <c r="V7" s="747" t="s">
        <v>34</v>
      </c>
      <c r="W7" s="748">
        <f t="shared" ref="W7:W15" si="2">J7</f>
        <v>99</v>
      </c>
      <c r="X7" s="749"/>
      <c r="Y7" s="3037" t="s">
        <v>2354</v>
      </c>
      <c r="Z7" s="3038"/>
      <c r="AA7" s="750">
        <f>D7/F7</f>
        <v>1.0101010101010102</v>
      </c>
      <c r="AB7" s="750">
        <f>D7/H7</f>
        <v>1.0101010101010102</v>
      </c>
      <c r="AC7" s="750">
        <f>D7/J7</f>
        <v>1.0101010101010102</v>
      </c>
    </row>
    <row r="8" spans="1:29" s="35" customFormat="1" ht="15.75" thickBot="1">
      <c r="A8" s="385" t="s">
        <v>2355</v>
      </c>
      <c r="B8" s="386"/>
      <c r="C8" s="392" t="s">
        <v>2356</v>
      </c>
      <c r="D8" s="388">
        <v>100</v>
      </c>
      <c r="E8" s="2387" t="s">
        <v>2862</v>
      </c>
      <c r="F8" s="390">
        <f>SUMIF(61:61,E8,62:62)-SUMIF(61:61,C8,62:62)+100</f>
        <v>100</v>
      </c>
      <c r="G8" s="392" t="s">
        <v>2862</v>
      </c>
      <c r="H8" s="388">
        <f>SUMIF(61:61,G8,62:62)-SUMIF(61:61,C8,62:62)+100</f>
        <v>100</v>
      </c>
      <c r="I8" s="2387" t="s">
        <v>2862</v>
      </c>
      <c r="J8" s="388">
        <f>SUMIF(61:61,I8,62:62)-SUMIF(61:61,C8,62:62)+100</f>
        <v>100</v>
      </c>
      <c r="K8" s="2386"/>
      <c r="L8" s="1242"/>
      <c r="M8" s="1243"/>
      <c r="N8" s="1243"/>
      <c r="O8" s="1243"/>
      <c r="P8" s="3037" t="s">
        <v>2357</v>
      </c>
      <c r="Q8" s="3038"/>
      <c r="R8" s="747" t="s">
        <v>34</v>
      </c>
      <c r="S8" s="748">
        <f t="shared" si="0"/>
        <v>100</v>
      </c>
      <c r="T8" s="747" t="s">
        <v>34</v>
      </c>
      <c r="U8" s="748">
        <f t="shared" si="1"/>
        <v>100</v>
      </c>
      <c r="V8" s="747" t="s">
        <v>34</v>
      </c>
      <c r="W8" s="748">
        <f t="shared" si="2"/>
        <v>100</v>
      </c>
      <c r="X8" s="749"/>
      <c r="Y8" s="3037" t="s">
        <v>2357</v>
      </c>
      <c r="Z8" s="3038"/>
      <c r="AA8" s="750">
        <f t="shared" ref="AA8:AA46" si="3">D8/F8</f>
        <v>1</v>
      </c>
      <c r="AB8" s="750">
        <f t="shared" ref="AB8:AB46" si="4">D8/H8</f>
        <v>1</v>
      </c>
      <c r="AC8" s="750">
        <f t="shared" ref="AC8:AC46" si="5">D8/J8</f>
        <v>1</v>
      </c>
    </row>
    <row r="9" spans="1:29" s="35" customFormat="1">
      <c r="A9" s="393" t="s">
        <v>2358</v>
      </c>
      <c r="B9" s="28" t="s">
        <v>2359</v>
      </c>
      <c r="C9" s="2741" t="s">
        <v>2853</v>
      </c>
      <c r="D9" s="51">
        <v>100</v>
      </c>
      <c r="E9" s="395" t="s">
        <v>2826</v>
      </c>
      <c r="F9" s="396">
        <f>SUMIF(63:63,E9,64:64)-SUMIF(63:63,C9,64:64)+100</f>
        <v>100</v>
      </c>
      <c r="G9" s="397" t="s">
        <v>2826</v>
      </c>
      <c r="H9" s="51">
        <f>SUMIF(63:63,G9,64:64)-SUMIF(63:63,C9,64:64)+100</f>
        <v>100</v>
      </c>
      <c r="I9" s="397" t="s">
        <v>2826</v>
      </c>
      <c r="J9" s="51">
        <f>SUMIF(63:63,I9,64:64)-SUMIF(63:63,C9,64:64)+100</f>
        <v>100</v>
      </c>
      <c r="K9" s="2386"/>
      <c r="L9" s="1242"/>
      <c r="M9" s="1243"/>
      <c r="N9" s="1243"/>
      <c r="O9" s="1243"/>
      <c r="P9" s="3046"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t="s">
        <v>2861</v>
      </c>
      <c r="D10" s="52">
        <v>100</v>
      </c>
      <c r="E10" s="402" t="s">
        <v>2861</v>
      </c>
      <c r="F10" s="403">
        <f>SUMIF(65:65,E10,66:66)-SUMIF(65:65,C10,66:66)+100</f>
        <v>100</v>
      </c>
      <c r="G10" s="401" t="s">
        <v>2861</v>
      </c>
      <c r="H10" s="52">
        <f>SUMIF(65:65,G10,66:66)-SUMIF(65:65,C10,66:66)+100</f>
        <v>100</v>
      </c>
      <c r="I10" s="401" t="s">
        <v>2861</v>
      </c>
      <c r="J10" s="52">
        <f>SUMIF(65:65,I10,66:66)-SUMIF(65:65,C10,66:66)+100</f>
        <v>100</v>
      </c>
      <c r="K10" s="404"/>
      <c r="L10" s="1245"/>
      <c r="M10" s="1246"/>
      <c r="N10" s="1246"/>
      <c r="O10" s="1246"/>
      <c r="P10" s="3046"/>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75" thickBot="1">
      <c r="A11" s="406"/>
      <c r="B11" s="400" t="s">
        <v>2363</v>
      </c>
      <c r="C11" s="407">
        <v>2.5</v>
      </c>
      <c r="D11" s="52">
        <v>100</v>
      </c>
      <c r="E11" s="408">
        <f>C11</f>
        <v>2.5</v>
      </c>
      <c r="F11" s="403">
        <f>LOOKUP(E11,68:68,69:69)-LOOKUP(C11,68:68,69:69)+100</f>
        <v>100</v>
      </c>
      <c r="G11" s="407">
        <f>C11</f>
        <v>2.5</v>
      </c>
      <c r="H11" s="52">
        <f>LOOKUP(G11,68:68,69:69)-LOOKUP(C11,68:68,69:69)+100</f>
        <v>100</v>
      </c>
      <c r="I11" s="407">
        <f>C11</f>
        <v>2.5</v>
      </c>
      <c r="J11" s="52">
        <f>LOOKUP(I11,68:68,69:69)-LOOKUP(C11,68:68,69:69)+100</f>
        <v>100</v>
      </c>
      <c r="K11" s="404"/>
      <c r="L11" s="1248"/>
      <c r="M11" s="1241"/>
      <c r="N11" s="1241"/>
      <c r="O11" s="1241"/>
      <c r="P11" s="3046"/>
      <c r="Q11" s="1877" t="str">
        <f t="shared" si="6"/>
        <v>容积率</v>
      </c>
      <c r="R11" s="747" t="s">
        <v>28</v>
      </c>
      <c r="S11" s="748">
        <f t="shared" si="0"/>
        <v>100</v>
      </c>
      <c r="T11" s="747" t="s">
        <v>28</v>
      </c>
      <c r="U11" s="748">
        <f t="shared" si="1"/>
        <v>100</v>
      </c>
      <c r="V11" s="747" t="s">
        <v>28</v>
      </c>
      <c r="W11" s="748">
        <f t="shared" si="2"/>
        <v>100</v>
      </c>
      <c r="X11" s="749"/>
      <c r="Y11" s="2849"/>
      <c r="Z11" s="23" t="str">
        <f t="shared" si="7"/>
        <v>容积率</v>
      </c>
      <c r="AA11" s="750">
        <f t="shared" si="3"/>
        <v>1</v>
      </c>
      <c r="AB11" s="750">
        <f t="shared" si="4"/>
        <v>1</v>
      </c>
      <c r="AC11" s="750">
        <f t="shared" si="5"/>
        <v>1</v>
      </c>
    </row>
    <row r="12" spans="1:29" s="35" customFormat="1" ht="15" hidden="1">
      <c r="A12" s="409"/>
      <c r="B12" s="2388">
        <v>111</v>
      </c>
      <c r="C12" s="410"/>
      <c r="D12" s="411">
        <v>100</v>
      </c>
      <c r="E12" s="410"/>
      <c r="F12" s="403">
        <f>SUMIF(70:70,E12,71:71)-SUMIF(70:70,C12,71:71)+100</f>
        <v>100</v>
      </c>
      <c r="G12" s="410"/>
      <c r="H12" s="52">
        <f>SUMIF(70:70,G12,71:71)-SUMIF(70:70,C12,71:71)+100</f>
        <v>100</v>
      </c>
      <c r="I12" s="410"/>
      <c r="J12" s="52">
        <f>SUMIF(70:70,I12,71:71)-SUMIF(70:70,C12,71:71)+100</f>
        <v>100</v>
      </c>
      <c r="K12" s="2389"/>
      <c r="L12" s="1242"/>
      <c r="M12" s="1243"/>
      <c r="N12" s="1243"/>
      <c r="O12" s="1243"/>
      <c r="P12" s="3046"/>
      <c r="Q12" s="1877">
        <f t="shared" si="6"/>
        <v>111</v>
      </c>
      <c r="R12" s="747" t="s">
        <v>28</v>
      </c>
      <c r="S12" s="748">
        <f t="shared" si="0"/>
        <v>100</v>
      </c>
      <c r="T12" s="747" t="s">
        <v>28</v>
      </c>
      <c r="U12" s="748">
        <f t="shared" si="1"/>
        <v>100</v>
      </c>
      <c r="V12" s="747" t="s">
        <v>28</v>
      </c>
      <c r="W12" s="748">
        <f t="shared" si="2"/>
        <v>100</v>
      </c>
      <c r="X12" s="749"/>
      <c r="Y12" s="2849"/>
      <c r="Z12" s="23">
        <f t="shared" si="7"/>
        <v>111</v>
      </c>
      <c r="AA12" s="750">
        <f>D12/F12</f>
        <v>1</v>
      </c>
      <c r="AB12" s="750">
        <f>D12/H12</f>
        <v>1</v>
      </c>
      <c r="AC12" s="750">
        <f>D12/J12</f>
        <v>1</v>
      </c>
    </row>
    <row r="13" spans="1:29" ht="15" hidden="1">
      <c r="A13" s="406"/>
      <c r="B13" s="2388">
        <v>111</v>
      </c>
      <c r="C13" s="412"/>
      <c r="D13" s="413">
        <v>100</v>
      </c>
      <c r="E13" s="412"/>
      <c r="F13" s="403">
        <f>SUMIF(72:72,E13,73:73)-SUMIF(72:72,C13,73:73)+100</f>
        <v>100</v>
      </c>
      <c r="G13" s="412"/>
      <c r="H13" s="413">
        <f>SUMIF(72:72,G13,73:73)-SUMIF(72:72,C13,73:73)+100</f>
        <v>100</v>
      </c>
      <c r="I13" s="412"/>
      <c r="J13" s="413">
        <f>SUMIF(72:72,I13,73:73)-SUMIF(72:72,C13,73:73)+100</f>
        <v>100</v>
      </c>
      <c r="K13" s="2389"/>
      <c r="L13" s="1250"/>
      <c r="M13" s="1241"/>
      <c r="N13" s="1241"/>
      <c r="O13" s="1241"/>
      <c r="P13" s="3046"/>
      <c r="Q13" s="1877">
        <f t="shared" si="6"/>
        <v>111</v>
      </c>
      <c r="R13" s="747" t="s">
        <v>28</v>
      </c>
      <c r="S13" s="748">
        <f t="shared" si="0"/>
        <v>100</v>
      </c>
      <c r="T13" s="747" t="s">
        <v>28</v>
      </c>
      <c r="U13" s="748">
        <f t="shared" si="1"/>
        <v>100</v>
      </c>
      <c r="V13" s="747" t="s">
        <v>28</v>
      </c>
      <c r="W13" s="748">
        <f t="shared" si="2"/>
        <v>100</v>
      </c>
      <c r="X13" s="749"/>
      <c r="Y13" s="2849"/>
      <c r="Z13" s="23">
        <f t="shared" si="7"/>
        <v>111</v>
      </c>
      <c r="AA13" s="750">
        <f t="shared" si="3"/>
        <v>1</v>
      </c>
      <c r="AB13" s="750">
        <f t="shared" si="4"/>
        <v>1</v>
      </c>
      <c r="AC13" s="750">
        <f t="shared" si="5"/>
        <v>1</v>
      </c>
    </row>
    <row r="14" spans="1:29" ht="15.75" hidden="1" thickBot="1">
      <c r="A14" s="414"/>
      <c r="B14" s="2390">
        <v>111</v>
      </c>
      <c r="C14" s="2391"/>
      <c r="D14" s="415">
        <v>100</v>
      </c>
      <c r="E14" s="2391"/>
      <c r="F14" s="416">
        <f>SUMIF(74:74,E14,75:75)-SUMIF(74:74,C14,75:75)+100</f>
        <v>100</v>
      </c>
      <c r="G14" s="2391"/>
      <c r="H14" s="415">
        <f>SUMIF(74:74,G14,75:75)-SUMIF(74:74,C14,75:75)+100</f>
        <v>100</v>
      </c>
      <c r="I14" s="2391"/>
      <c r="J14" s="415">
        <f>SUMIF(74:74,I14,75:75)-SUMIF(74:74,C14,75:75)+100</f>
        <v>100</v>
      </c>
      <c r="K14" s="2389"/>
      <c r="L14" s="1250"/>
      <c r="M14" s="1241"/>
      <c r="N14" s="1241"/>
      <c r="O14" s="1241"/>
      <c r="P14" s="3046"/>
      <c r="Q14" s="1877">
        <f t="shared" si="6"/>
        <v>111</v>
      </c>
      <c r="R14" s="747" t="s">
        <v>28</v>
      </c>
      <c r="S14" s="748">
        <f t="shared" si="0"/>
        <v>100</v>
      </c>
      <c r="T14" s="747" t="s">
        <v>28</v>
      </c>
      <c r="U14" s="748">
        <f t="shared" si="1"/>
        <v>100</v>
      </c>
      <c r="V14" s="747" t="s">
        <v>28</v>
      </c>
      <c r="W14" s="748">
        <f t="shared" si="2"/>
        <v>100</v>
      </c>
      <c r="X14" s="749"/>
      <c r="Y14" s="2849"/>
      <c r="Z14" s="23">
        <f t="shared" si="7"/>
        <v>111</v>
      </c>
      <c r="AA14" s="750">
        <f t="shared" si="3"/>
        <v>1</v>
      </c>
      <c r="AB14" s="750">
        <f t="shared" si="4"/>
        <v>1</v>
      </c>
      <c r="AC14" s="750">
        <f t="shared" si="5"/>
        <v>1</v>
      </c>
    </row>
    <row r="15" spans="1:29" ht="83.25" customHeight="1">
      <c r="A15" s="417" t="s">
        <v>2364</v>
      </c>
      <c r="B15" s="26" t="s">
        <v>1739</v>
      </c>
      <c r="C15" s="2392" t="str">
        <f>估价对象房地状况!C3</f>
        <v>估价对象周边有泓鑫家园、富北嘉园、金泽家园、金泰丽富嘉园等，综合评价居住社区成熟度较好</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024" t="s">
        <v>2365</v>
      </c>
      <c r="Q15" s="1889" t="str">
        <f t="shared" si="6"/>
        <v>居住社区成熟度</v>
      </c>
      <c r="R15" s="751" t="s">
        <v>28</v>
      </c>
      <c r="S15" s="752">
        <f t="shared" si="0"/>
        <v>100</v>
      </c>
      <c r="T15" s="751" t="s">
        <v>28</v>
      </c>
      <c r="U15" s="752">
        <f t="shared" si="1"/>
        <v>100</v>
      </c>
      <c r="V15" s="751" t="s">
        <v>28</v>
      </c>
      <c r="W15" s="752">
        <f t="shared" si="2"/>
        <v>100</v>
      </c>
      <c r="X15" s="1890"/>
      <c r="Y15" s="3026" t="s">
        <v>2365</v>
      </c>
      <c r="Z15" s="1892" t="str">
        <f t="shared" si="7"/>
        <v>居住社区成熟度</v>
      </c>
      <c r="AA15" s="1893">
        <f t="shared" si="3"/>
        <v>1</v>
      </c>
      <c r="AB15" s="1893">
        <f t="shared" si="4"/>
        <v>1</v>
      </c>
      <c r="AC15" s="1893">
        <f t="shared" si="5"/>
        <v>1</v>
      </c>
    </row>
    <row r="16" spans="1:29" ht="15">
      <c r="A16" s="406"/>
      <c r="B16" s="423"/>
      <c r="C16" s="424" t="s">
        <v>30</v>
      </c>
      <c r="D16" s="425"/>
      <c r="E16" s="426" t="s">
        <v>30</v>
      </c>
      <c r="F16" s="427"/>
      <c r="G16" s="2393" t="s">
        <v>30</v>
      </c>
      <c r="H16" s="428"/>
      <c r="I16" s="426" t="s">
        <v>30</v>
      </c>
      <c r="J16" s="425"/>
      <c r="K16" s="2394"/>
      <c r="L16" s="1250"/>
      <c r="M16" s="1241"/>
      <c r="N16" s="1241"/>
      <c r="O16" s="1241"/>
      <c r="P16" s="3025"/>
      <c r="Q16" s="1889"/>
      <c r="R16" s="751"/>
      <c r="S16" s="752"/>
      <c r="T16" s="751"/>
      <c r="U16" s="752"/>
      <c r="V16" s="751"/>
      <c r="W16" s="752"/>
      <c r="X16" s="1890"/>
      <c r="Y16" s="3027"/>
      <c r="Z16" s="1892"/>
      <c r="AA16" s="1893">
        <v>1</v>
      </c>
      <c r="AB16" s="1893">
        <v>1</v>
      </c>
      <c r="AC16" s="1893">
        <v>1</v>
      </c>
    </row>
    <row r="17" spans="1:29" ht="142.5">
      <c r="A17" s="406"/>
      <c r="B17" s="429" t="s">
        <v>1750</v>
      </c>
      <c r="C17" s="2395" t="str">
        <f>估价对象房地状况!C6</f>
        <v>估价对象周边有350路、553路、571路、619路、640路、650路等多条公交线路，距最近的地铁站6号线（褡裢站）约3500米，综合评价交通便捷度一般</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025"/>
      <c r="Q17" s="1889" t="str">
        <f>B17</f>
        <v>交通便捷度</v>
      </c>
      <c r="R17" s="751" t="s">
        <v>28</v>
      </c>
      <c r="S17" s="752">
        <f>F17</f>
        <v>100</v>
      </c>
      <c r="T17" s="751" t="s">
        <v>28</v>
      </c>
      <c r="U17" s="752">
        <f>H17</f>
        <v>100</v>
      </c>
      <c r="V17" s="751" t="s">
        <v>28</v>
      </c>
      <c r="W17" s="752">
        <f>J17</f>
        <v>100</v>
      </c>
      <c r="X17" s="1890"/>
      <c r="Y17" s="3027"/>
      <c r="Z17" s="1892" t="str">
        <f>Q17</f>
        <v>交通便捷度</v>
      </c>
      <c r="AA17" s="1893">
        <f t="shared" si="3"/>
        <v>1</v>
      </c>
      <c r="AB17" s="1893">
        <f t="shared" si="4"/>
        <v>1</v>
      </c>
      <c r="AC17" s="1893">
        <f t="shared" si="5"/>
        <v>1</v>
      </c>
    </row>
    <row r="18" spans="1:29" ht="15">
      <c r="A18" s="406"/>
      <c r="B18" s="434"/>
      <c r="C18" s="435" t="s">
        <v>31</v>
      </c>
      <c r="D18" s="428"/>
      <c r="E18" s="1459" t="s">
        <v>31</v>
      </c>
      <c r="F18" s="431"/>
      <c r="G18" s="2396" t="s">
        <v>31</v>
      </c>
      <c r="H18" s="425"/>
      <c r="I18" s="1459" t="s">
        <v>31</v>
      </c>
      <c r="J18" s="425"/>
      <c r="K18" s="2394"/>
      <c r="L18" s="1250"/>
      <c r="M18" s="1241"/>
      <c r="N18" s="1241"/>
      <c r="O18" s="1241"/>
      <c r="P18" s="3025"/>
      <c r="Q18" s="1889"/>
      <c r="R18" s="751"/>
      <c r="S18" s="752"/>
      <c r="T18" s="751"/>
      <c r="U18" s="752"/>
      <c r="V18" s="751"/>
      <c r="W18" s="752"/>
      <c r="X18" s="1890"/>
      <c r="Y18" s="3027"/>
      <c r="Z18" s="1892"/>
      <c r="AA18" s="1893">
        <v>1</v>
      </c>
      <c r="AB18" s="1893">
        <v>1</v>
      </c>
      <c r="AC18" s="1893">
        <v>1</v>
      </c>
    </row>
    <row r="19" spans="1:29" ht="42.75">
      <c r="A19" s="406"/>
      <c r="B19" s="429" t="s">
        <v>1748</v>
      </c>
      <c r="C19" s="2395"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025"/>
      <c r="Q19" s="1889" t="str">
        <f>B19</f>
        <v>公共配套设施</v>
      </c>
      <c r="R19" s="751" t="s">
        <v>28</v>
      </c>
      <c r="S19" s="752">
        <f>F19</f>
        <v>100</v>
      </c>
      <c r="T19" s="751" t="s">
        <v>28</v>
      </c>
      <c r="U19" s="752">
        <f>H19</f>
        <v>100</v>
      </c>
      <c r="V19" s="751" t="s">
        <v>28</v>
      </c>
      <c r="W19" s="752">
        <f>J19</f>
        <v>100</v>
      </c>
      <c r="X19" s="1890"/>
      <c r="Y19" s="3027"/>
      <c r="Z19" s="1892" t="str">
        <f>Q19</f>
        <v>公共配套设施</v>
      </c>
      <c r="AA19" s="1893">
        <f t="shared" si="3"/>
        <v>1</v>
      </c>
      <c r="AB19" s="1893">
        <f t="shared" si="4"/>
        <v>1</v>
      </c>
      <c r="AC19" s="1893">
        <f t="shared" si="5"/>
        <v>1</v>
      </c>
    </row>
    <row r="20" spans="1:29" ht="15">
      <c r="A20" s="406"/>
      <c r="B20" s="434"/>
      <c r="C20" s="424" t="s">
        <v>30</v>
      </c>
      <c r="D20" s="425"/>
      <c r="E20" s="426" t="s">
        <v>30</v>
      </c>
      <c r="F20" s="427"/>
      <c r="G20" s="2393" t="s">
        <v>30</v>
      </c>
      <c r="H20" s="425"/>
      <c r="I20" s="426" t="s">
        <v>30</v>
      </c>
      <c r="J20" s="425"/>
      <c r="K20" s="2394"/>
      <c r="L20" s="1250"/>
      <c r="M20" s="1241"/>
      <c r="N20" s="1241"/>
      <c r="O20" s="1241"/>
      <c r="P20" s="3025"/>
      <c r="Q20" s="1889"/>
      <c r="R20" s="751"/>
      <c r="S20" s="752"/>
      <c r="T20" s="751"/>
      <c r="U20" s="752"/>
      <c r="V20" s="751"/>
      <c r="W20" s="752"/>
      <c r="X20" s="1890"/>
      <c r="Y20" s="3027"/>
      <c r="Z20" s="1892"/>
      <c r="AA20" s="1893">
        <v>1</v>
      </c>
      <c r="AB20" s="1893">
        <v>1</v>
      </c>
      <c r="AC20" s="1893">
        <v>1</v>
      </c>
    </row>
    <row r="21" spans="1:29" ht="15">
      <c r="A21" s="406"/>
      <c r="B21" s="2397" t="s">
        <v>1751</v>
      </c>
      <c r="C21" s="2395"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025"/>
      <c r="Q21" s="1889" t="str">
        <f>B21</f>
        <v>基础设施水平</v>
      </c>
      <c r="R21" s="751" t="s">
        <v>28</v>
      </c>
      <c r="S21" s="752">
        <f>F21</f>
        <v>100</v>
      </c>
      <c r="T21" s="751" t="s">
        <v>28</v>
      </c>
      <c r="U21" s="752">
        <f>H21</f>
        <v>100</v>
      </c>
      <c r="V21" s="751" t="s">
        <v>28</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7"/>
      <c r="C22" s="435" t="s">
        <v>2857</v>
      </c>
      <c r="D22" s="425"/>
      <c r="E22" s="424" t="s">
        <v>2857</v>
      </c>
      <c r="F22" s="427"/>
      <c r="G22" s="424" t="s">
        <v>2857</v>
      </c>
      <c r="H22" s="425"/>
      <c r="I22" s="424" t="s">
        <v>2857</v>
      </c>
      <c r="J22" s="425"/>
      <c r="K22" s="2398"/>
      <c r="L22" s="1250"/>
      <c r="M22" s="1241"/>
      <c r="N22" s="1241"/>
      <c r="O22" s="1241"/>
      <c r="P22" s="3025"/>
      <c r="Q22" s="1889"/>
      <c r="R22" s="751"/>
      <c r="S22" s="752"/>
      <c r="T22" s="751"/>
      <c r="U22" s="752"/>
      <c r="V22" s="751"/>
      <c r="W22" s="752"/>
      <c r="X22" s="1890"/>
      <c r="Y22" s="3027"/>
      <c r="Z22" s="1892"/>
      <c r="AA22" s="1893">
        <v>1</v>
      </c>
      <c r="AB22" s="1893">
        <v>1</v>
      </c>
      <c r="AC22" s="1893">
        <v>1</v>
      </c>
    </row>
    <row r="23" spans="1:29" ht="99.75">
      <c r="A23" s="406"/>
      <c r="B23" s="429" t="s">
        <v>1755</v>
      </c>
      <c r="C23" s="2395" t="str">
        <f>估价对象房地状况!C9</f>
        <v>区域自然环境：东坝郊野公园；人文环境：京城体育休闲公园、北京市东郊殡仪馆；综合评价环境状况一般</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025"/>
      <c r="Q23" s="1889" t="str">
        <f>B23</f>
        <v>自然及人文环境</v>
      </c>
      <c r="R23" s="751" t="s">
        <v>28</v>
      </c>
      <c r="S23" s="752">
        <f>F23</f>
        <v>100</v>
      </c>
      <c r="T23" s="751" t="s">
        <v>28</v>
      </c>
      <c r="U23" s="752">
        <f>H23</f>
        <v>100</v>
      </c>
      <c r="V23" s="751" t="s">
        <v>28</v>
      </c>
      <c r="W23" s="752">
        <f>J23</f>
        <v>100</v>
      </c>
      <c r="X23" s="1890"/>
      <c r="Y23" s="3027"/>
      <c r="Z23" s="1892" t="str">
        <f>Q23</f>
        <v>自然及人文环境</v>
      </c>
      <c r="AA23" s="1893">
        <f t="shared" si="3"/>
        <v>1</v>
      </c>
      <c r="AB23" s="1893">
        <f t="shared" si="4"/>
        <v>1</v>
      </c>
      <c r="AC23" s="1893">
        <f t="shared" si="5"/>
        <v>1</v>
      </c>
    </row>
    <row r="24" spans="1:29" ht="15">
      <c r="A24" s="406"/>
      <c r="B24" s="434"/>
      <c r="C24" s="424" t="s">
        <v>31</v>
      </c>
      <c r="D24" s="425"/>
      <c r="E24" s="426" t="s">
        <v>31</v>
      </c>
      <c r="F24" s="427"/>
      <c r="G24" s="2393" t="s">
        <v>31</v>
      </c>
      <c r="H24" s="425"/>
      <c r="I24" s="426" t="s">
        <v>31</v>
      </c>
      <c r="J24" s="425"/>
      <c r="K24" s="2394"/>
      <c r="L24" s="1250"/>
      <c r="M24" s="1241"/>
      <c r="N24" s="1241"/>
      <c r="O24" s="1241"/>
      <c r="P24" s="3025"/>
      <c r="Q24" s="1889"/>
      <c r="R24" s="751"/>
      <c r="S24" s="752"/>
      <c r="T24" s="751"/>
      <c r="U24" s="752"/>
      <c r="V24" s="751"/>
      <c r="W24" s="752"/>
      <c r="X24" s="1890"/>
      <c r="Y24" s="3027"/>
      <c r="Z24" s="1892"/>
      <c r="AA24" s="1893">
        <v>1</v>
      </c>
      <c r="AB24" s="1893">
        <v>1</v>
      </c>
      <c r="AC24" s="1893">
        <v>1</v>
      </c>
    </row>
    <row r="25" spans="1:29" ht="15" hidden="1">
      <c r="A25" s="406"/>
      <c r="B25" s="400" t="s">
        <v>2366</v>
      </c>
      <c r="C25" s="439"/>
      <c r="D25" s="413">
        <v>100</v>
      </c>
      <c r="E25" s="2399"/>
      <c r="F25" s="440">
        <f>SUMIF(86:86,E25,87:87)-SUMIF(86:86,C25,87:87)+100</f>
        <v>100</v>
      </c>
      <c r="G25" s="2400"/>
      <c r="H25" s="413">
        <f>SUMIF(86:86,G25,87:87)-SUMIF(86:86,C25,87:87)+100</f>
        <v>100</v>
      </c>
      <c r="I25" s="2399"/>
      <c r="J25" s="413">
        <f>SUMIF(86:86,I25,87:87)-SUMIF(86:86,C25,87:87)+100</f>
        <v>100</v>
      </c>
      <c r="K25" s="404"/>
      <c r="L25" s="1250"/>
      <c r="M25" s="1241"/>
      <c r="N25" s="1241"/>
      <c r="O25" s="1241"/>
      <c r="P25" s="3025"/>
      <c r="Q25" s="1889" t="str">
        <f t="shared" ref="Q25:Q46" si="11">B25</f>
        <v>楼层-1</v>
      </c>
      <c r="R25" s="751" t="s">
        <v>28</v>
      </c>
      <c r="S25" s="752">
        <f>F25</f>
        <v>100</v>
      </c>
      <c r="T25" s="751" t="s">
        <v>28</v>
      </c>
      <c r="U25" s="752">
        <f>H25</f>
        <v>100</v>
      </c>
      <c r="V25" s="751" t="s">
        <v>28</v>
      </c>
      <c r="W25" s="752">
        <f>J25</f>
        <v>100</v>
      </c>
      <c r="X25" s="1890"/>
      <c r="Y25" s="3027"/>
      <c r="Z25" s="1892" t="str">
        <f>Q25</f>
        <v>楼层-1</v>
      </c>
      <c r="AA25" s="1893">
        <f t="shared" si="3"/>
        <v>1</v>
      </c>
      <c r="AB25" s="1893">
        <f t="shared" si="4"/>
        <v>1</v>
      </c>
      <c r="AC25" s="1893">
        <f t="shared" si="5"/>
        <v>1</v>
      </c>
    </row>
    <row r="26" spans="1:29" ht="15">
      <c r="A26" s="406"/>
      <c r="B26" s="400" t="s">
        <v>2367</v>
      </c>
      <c r="C26" s="439" t="s">
        <v>2866</v>
      </c>
      <c r="D26" s="413">
        <v>100</v>
      </c>
      <c r="E26" s="2399" t="s">
        <v>2864</v>
      </c>
      <c r="F26" s="440">
        <f>SUMIF(88:88,E26,89:89)-SUMIF(88:88,C26,89:89)+100</f>
        <v>100.5</v>
      </c>
      <c r="G26" s="2400" t="s">
        <v>2864</v>
      </c>
      <c r="H26" s="413">
        <f>SUMIF(88:88,G26,89:89)-SUMIF(88:88,C26,89:89)+100</f>
        <v>100.5</v>
      </c>
      <c r="I26" s="2399" t="s">
        <v>2868</v>
      </c>
      <c r="J26" s="413">
        <f>SUMIF(88:88,I26,89:89)-SUMIF(88:88,C26,89:89)+100</f>
        <v>99</v>
      </c>
      <c r="K26" s="404">
        <v>0.5</v>
      </c>
      <c r="L26" s="1250"/>
      <c r="M26" s="1241"/>
      <c r="N26" s="1241"/>
      <c r="O26" s="1241"/>
      <c r="P26" s="3025"/>
      <c r="Q26" s="1889" t="str">
        <f t="shared" si="11"/>
        <v>朝向</v>
      </c>
      <c r="R26" s="751" t="s">
        <v>28</v>
      </c>
      <c r="S26" s="752">
        <f>F26</f>
        <v>100.5</v>
      </c>
      <c r="T26" s="751" t="s">
        <v>28</v>
      </c>
      <c r="U26" s="752">
        <f>H26</f>
        <v>100.5</v>
      </c>
      <c r="V26" s="751" t="s">
        <v>28</v>
      </c>
      <c r="W26" s="752">
        <f>J26</f>
        <v>99</v>
      </c>
      <c r="X26" s="1890"/>
      <c r="Y26" s="3027"/>
      <c r="Z26" s="1892" t="str">
        <f>Q26</f>
        <v>朝向</v>
      </c>
      <c r="AA26" s="1893">
        <f t="shared" si="3"/>
        <v>0.99502487562189057</v>
      </c>
      <c r="AB26" s="1893">
        <f t="shared" si="4"/>
        <v>0.99502487562189057</v>
      </c>
      <c r="AC26" s="1893">
        <f t="shared" si="5"/>
        <v>1.0101010101010102</v>
      </c>
    </row>
    <row r="27" spans="1:29" s="35" customFormat="1" ht="28.5">
      <c r="A27" s="409"/>
      <c r="B27" s="2388" t="s">
        <v>2368</v>
      </c>
      <c r="C27" s="410" t="str">
        <f>估价对象房地状况!C10</f>
        <v>城市支路——市政道路</v>
      </c>
      <c r="D27" s="441">
        <v>100</v>
      </c>
      <c r="E27" s="1464" t="str">
        <f>C27</f>
        <v>城市支路——市政道路</v>
      </c>
      <c r="F27" s="443">
        <f>SUMIF(90:90,E27,91:91)-SUMIF(90:90,C27,91:91)+100</f>
        <v>100</v>
      </c>
      <c r="G27" s="410" t="str">
        <f>C27</f>
        <v>城市支路——市政道路</v>
      </c>
      <c r="H27" s="441">
        <f>SUMIF(90:90,G27,91:91)-SUMIF(90:90,C27,91:91)+100</f>
        <v>100</v>
      </c>
      <c r="I27" s="1464" t="str">
        <f>C27</f>
        <v>城市支路——市政道路</v>
      </c>
      <c r="J27" s="441">
        <f>SUMIF(90:90,I27,91:91)-SUMIF(90:90,C27,91:91)+100</f>
        <v>100</v>
      </c>
      <c r="K27" s="2389"/>
      <c r="L27" s="1242"/>
      <c r="M27" s="1243"/>
      <c r="N27" s="1243"/>
      <c r="O27" s="1243"/>
      <c r="P27" s="3025"/>
      <c r="Q27" s="1877" t="str">
        <f t="shared" si="11"/>
        <v>道路级别</v>
      </c>
      <c r="R27" s="747" t="s">
        <v>28</v>
      </c>
      <c r="S27" s="748">
        <f>F27</f>
        <v>100</v>
      </c>
      <c r="T27" s="747" t="s">
        <v>28</v>
      </c>
      <c r="U27" s="748">
        <f>H27</f>
        <v>100</v>
      </c>
      <c r="V27" s="747" t="s">
        <v>28</v>
      </c>
      <c r="W27" s="748">
        <f>J27</f>
        <v>100</v>
      </c>
      <c r="X27" s="749"/>
      <c r="Y27" s="3027"/>
      <c r="Z27" s="23" t="str">
        <f>Q27</f>
        <v>道路级别</v>
      </c>
      <c r="AA27" s="1893">
        <f>D27/F27</f>
        <v>1</v>
      </c>
      <c r="AB27" s="1893">
        <f>D27/H27</f>
        <v>1</v>
      </c>
      <c r="AC27" s="1893">
        <f>D27/J27</f>
        <v>1</v>
      </c>
    </row>
    <row r="28" spans="1:29" ht="15.75" thickBot="1">
      <c r="A28" s="406"/>
      <c r="B28" s="2746" t="s">
        <v>2863</v>
      </c>
      <c r="C28" s="412" t="s">
        <v>2870</v>
      </c>
      <c r="D28" s="413">
        <v>100</v>
      </c>
      <c r="E28" s="412" t="s">
        <v>2886</v>
      </c>
      <c r="F28" s="440">
        <f>SUMIF(92:92,E28,93:93)-SUMIF(92:92,C28,93:93)+100</f>
        <v>100</v>
      </c>
      <c r="G28" s="412" t="str">
        <f>E28</f>
        <v>4/21（低楼层）</v>
      </c>
      <c r="H28" s="413">
        <f>SUMIF(92:92,G28,93:93)-SUMIF(92:92,C28,93:93)+100</f>
        <v>100</v>
      </c>
      <c r="I28" s="412" t="str">
        <f>E28</f>
        <v>4/21（低楼层）</v>
      </c>
      <c r="J28" s="413">
        <f>SUMIF(92:92,I28,93:93)-SUMIF(92:92,C28,93:93)+100</f>
        <v>100</v>
      </c>
      <c r="K28" s="2389"/>
      <c r="L28" s="1250"/>
      <c r="M28" s="1241"/>
      <c r="N28" s="1241"/>
      <c r="O28" s="1241"/>
      <c r="P28" s="3025"/>
      <c r="Q28" s="1889" t="str">
        <f t="shared" si="11"/>
        <v>楼层</v>
      </c>
      <c r="R28" s="751" t="s">
        <v>28</v>
      </c>
      <c r="S28" s="752">
        <f t="shared" ref="S28:S46" si="12">F28</f>
        <v>100</v>
      </c>
      <c r="T28" s="751" t="s">
        <v>28</v>
      </c>
      <c r="U28" s="752">
        <f t="shared" ref="U28:U46" si="13">H28</f>
        <v>100</v>
      </c>
      <c r="V28" s="751" t="s">
        <v>28</v>
      </c>
      <c r="W28" s="752">
        <f t="shared" ref="W28:W46" si="14">J28</f>
        <v>100</v>
      </c>
      <c r="X28" s="1890"/>
      <c r="Y28" s="3027"/>
      <c r="Z28" s="1892" t="str">
        <f t="shared" ref="Z28:Z46" si="15">Q28</f>
        <v>楼层</v>
      </c>
      <c r="AA28" s="1893">
        <f t="shared" si="3"/>
        <v>1</v>
      </c>
      <c r="AB28" s="1893">
        <f t="shared" si="4"/>
        <v>1</v>
      </c>
      <c r="AC28" s="1893">
        <f t="shared" si="5"/>
        <v>1</v>
      </c>
    </row>
    <row r="29" spans="1:29" ht="15" hidden="1">
      <c r="A29" s="406"/>
      <c r="B29" s="2401">
        <v>111</v>
      </c>
      <c r="C29" s="412"/>
      <c r="D29" s="413">
        <v>100</v>
      </c>
      <c r="E29" s="412"/>
      <c r="F29" s="440">
        <f>SUMIF(94:94,E29,95:95)-SUMIF(94:94,C29,95:95)+100</f>
        <v>100</v>
      </c>
      <c r="G29" s="412"/>
      <c r="H29" s="413">
        <f>SUMIF(94:94,G29,95:95)-SUMIF(94:94,C29,95:95)+100</f>
        <v>100</v>
      </c>
      <c r="I29" s="412"/>
      <c r="J29" s="413">
        <f>SUMIF(94:94,I29,95:95)-SUMIF(94:94,C29,95:95)+100</f>
        <v>100</v>
      </c>
      <c r="K29" s="2389"/>
      <c r="L29" s="1250"/>
      <c r="M29" s="1241"/>
      <c r="N29" s="1241"/>
      <c r="O29" s="1241"/>
      <c r="P29" s="3025"/>
      <c r="Q29" s="1889">
        <f t="shared" si="11"/>
        <v>111</v>
      </c>
      <c r="R29" s="751" t="s">
        <v>28</v>
      </c>
      <c r="S29" s="752">
        <f t="shared" si="12"/>
        <v>100</v>
      </c>
      <c r="T29" s="751" t="s">
        <v>28</v>
      </c>
      <c r="U29" s="752">
        <f t="shared" si="13"/>
        <v>100</v>
      </c>
      <c r="V29" s="751" t="s">
        <v>28</v>
      </c>
      <c r="W29" s="752">
        <f t="shared" si="14"/>
        <v>100</v>
      </c>
      <c r="X29" s="1890"/>
      <c r="Y29" s="3027"/>
      <c r="Z29" s="1892">
        <f t="shared" si="15"/>
        <v>111</v>
      </c>
      <c r="AA29" s="1893">
        <f t="shared" si="3"/>
        <v>1</v>
      </c>
      <c r="AB29" s="1893">
        <f t="shared" si="4"/>
        <v>1</v>
      </c>
      <c r="AC29" s="1893">
        <f t="shared" si="5"/>
        <v>1</v>
      </c>
    </row>
    <row r="30" spans="1:29" ht="15" hidden="1">
      <c r="A30" s="406"/>
      <c r="B30" s="2401">
        <v>111</v>
      </c>
      <c r="C30" s="412"/>
      <c r="D30" s="413">
        <v>100</v>
      </c>
      <c r="E30" s="412"/>
      <c r="F30" s="440">
        <f>SUMIF(96:96,E30,97:97)-SUMIF(96:96,C30,97:97)+100</f>
        <v>100</v>
      </c>
      <c r="G30" s="412"/>
      <c r="H30" s="413">
        <f>SUMIF(96:96,G30,97:97)-SUMIF(96:96,C30,97:97)+100</f>
        <v>100</v>
      </c>
      <c r="I30" s="412"/>
      <c r="J30" s="413">
        <f>SUMIF(96:96,I30,97:97)-SUMIF(96:96,C30,97:97)+100</f>
        <v>100</v>
      </c>
      <c r="K30" s="2389"/>
      <c r="L30" s="1250"/>
      <c r="M30" s="1241"/>
      <c r="N30" s="1241"/>
      <c r="O30" s="1241"/>
      <c r="P30" s="3025"/>
      <c r="Q30" s="1889">
        <f t="shared" si="11"/>
        <v>111</v>
      </c>
      <c r="R30" s="751" t="s">
        <v>28</v>
      </c>
      <c r="S30" s="752">
        <f t="shared" si="12"/>
        <v>100</v>
      </c>
      <c r="T30" s="751" t="s">
        <v>28</v>
      </c>
      <c r="U30" s="752">
        <f t="shared" si="13"/>
        <v>100</v>
      </c>
      <c r="V30" s="751" t="s">
        <v>28</v>
      </c>
      <c r="W30" s="752">
        <f t="shared" si="14"/>
        <v>100</v>
      </c>
      <c r="X30" s="1890"/>
      <c r="Y30" s="3027"/>
      <c r="Z30" s="1892">
        <f t="shared" si="15"/>
        <v>111</v>
      </c>
      <c r="AA30" s="1893">
        <f t="shared" si="3"/>
        <v>1</v>
      </c>
      <c r="AB30" s="1893">
        <f t="shared" si="4"/>
        <v>1</v>
      </c>
      <c r="AC30" s="1893">
        <f t="shared" si="5"/>
        <v>1</v>
      </c>
    </row>
    <row r="31" spans="1:29" ht="15.75" hidden="1" thickBot="1">
      <c r="A31" s="414"/>
      <c r="B31" s="2401">
        <v>111</v>
      </c>
      <c r="C31" s="2391"/>
      <c r="D31" s="415">
        <v>100</v>
      </c>
      <c r="E31" s="2391"/>
      <c r="F31" s="416">
        <f>SUMIF(98:98,E31,99:99)-SUMIF(98:98,C31,99:99)+100</f>
        <v>100</v>
      </c>
      <c r="G31" s="2391"/>
      <c r="H31" s="415">
        <f>SUMIF(98:98,G31,99:99)-SUMIF(98:98,C31,99:99)+100</f>
        <v>100</v>
      </c>
      <c r="I31" s="2391"/>
      <c r="J31" s="415">
        <f>SUMIF(98:98,I31,99:99)-SUMIF(98:98,C31,99:99)+100</f>
        <v>100</v>
      </c>
      <c r="K31" s="2389"/>
      <c r="L31" s="1250"/>
      <c r="M31" s="1241"/>
      <c r="N31" s="1241"/>
      <c r="O31" s="1241"/>
      <c r="P31" s="3025"/>
      <c r="Q31" s="1889">
        <f t="shared" si="11"/>
        <v>111</v>
      </c>
      <c r="R31" s="751" t="s">
        <v>28</v>
      </c>
      <c r="S31" s="752">
        <f t="shared" si="12"/>
        <v>100</v>
      </c>
      <c r="T31" s="751" t="s">
        <v>28</v>
      </c>
      <c r="U31" s="752">
        <f t="shared" si="13"/>
        <v>100</v>
      </c>
      <c r="V31" s="751" t="s">
        <v>28</v>
      </c>
      <c r="W31" s="752">
        <f t="shared" si="14"/>
        <v>100</v>
      </c>
      <c r="X31" s="1890"/>
      <c r="Y31" s="3027"/>
      <c r="Z31" s="1892">
        <f t="shared" si="15"/>
        <v>111</v>
      </c>
      <c r="AA31" s="1893">
        <f t="shared" si="3"/>
        <v>1</v>
      </c>
      <c r="AB31" s="1893">
        <f t="shared" si="4"/>
        <v>1</v>
      </c>
      <c r="AC31" s="1893">
        <f t="shared" si="5"/>
        <v>1</v>
      </c>
    </row>
    <row r="32" spans="1:29" ht="15">
      <c r="A32" s="417" t="s">
        <v>2369</v>
      </c>
      <c r="B32" s="28" t="s">
        <v>2370</v>
      </c>
      <c r="C32" s="2402" t="s">
        <v>2871</v>
      </c>
      <c r="D32" s="446">
        <v>100</v>
      </c>
      <c r="E32" s="2403" t="s">
        <v>2871</v>
      </c>
      <c r="F32" s="440">
        <f>SUMIF(100:100,E32,101:101)-SUMIF(100:100,C32,101:101)+100</f>
        <v>100</v>
      </c>
      <c r="G32" s="2402" t="s">
        <v>2871</v>
      </c>
      <c r="H32" s="446">
        <f>SUMIF(100:100,G32,101:101)-SUMIF(100:100,C32,101:101)+100</f>
        <v>100</v>
      </c>
      <c r="I32" s="2403" t="s">
        <v>2871</v>
      </c>
      <c r="J32" s="413">
        <f>SUMIF(100:100,I32,101:101)-SUMIF(100:100,C32,101:101)+100</f>
        <v>100</v>
      </c>
      <c r="K32" s="404"/>
      <c r="L32" s="1250"/>
      <c r="M32" s="1241"/>
      <c r="N32" s="1241"/>
      <c r="O32" s="1241"/>
      <c r="P32" s="3028" t="s">
        <v>2371</v>
      </c>
      <c r="Q32" s="1889" t="str">
        <f t="shared" si="11"/>
        <v>建筑类型</v>
      </c>
      <c r="R32" s="751" t="s">
        <v>28</v>
      </c>
      <c r="S32" s="752">
        <f t="shared" si="12"/>
        <v>100</v>
      </c>
      <c r="T32" s="751" t="s">
        <v>28</v>
      </c>
      <c r="U32" s="752">
        <f t="shared" si="13"/>
        <v>100</v>
      </c>
      <c r="V32" s="751" t="s">
        <v>28</v>
      </c>
      <c r="W32" s="752">
        <f t="shared" si="14"/>
        <v>100</v>
      </c>
      <c r="X32" s="1890"/>
      <c r="Y32" s="3031" t="s">
        <v>2371</v>
      </c>
      <c r="Z32" s="1892" t="str">
        <f t="shared" si="15"/>
        <v>建筑类型</v>
      </c>
      <c r="AA32" s="1893">
        <f t="shared" si="3"/>
        <v>1</v>
      </c>
      <c r="AB32" s="1893">
        <f t="shared" si="4"/>
        <v>1</v>
      </c>
      <c r="AC32" s="1893">
        <f t="shared" si="5"/>
        <v>1</v>
      </c>
    </row>
    <row r="33" spans="1:29" s="450" customFormat="1" ht="15">
      <c r="A33" s="447"/>
      <c r="B33" s="400" t="s">
        <v>2372</v>
      </c>
      <c r="C33" s="448">
        <f>项目基本情况!C12</f>
        <v>87.21</v>
      </c>
      <c r="D33" s="52">
        <v>100</v>
      </c>
      <c r="E33" s="408">
        <v>77.14</v>
      </c>
      <c r="F33" s="403">
        <f>LOOKUP(E33,103:103,104:104)-LOOKUP(C33,103:103,104:104)+100</f>
        <v>100</v>
      </c>
      <c r="G33" s="407">
        <v>76.930000000000007</v>
      </c>
      <c r="H33" s="52">
        <f>LOOKUP(G33,103:103,104:104)-LOOKUP(C33,103:103,104:104)+100</f>
        <v>100</v>
      </c>
      <c r="I33" s="408">
        <v>87.24</v>
      </c>
      <c r="J33" s="52">
        <f>LOOKUP(I33,103:103,104:104)-LOOKUP(C33,103:103,104:104)+100</f>
        <v>100</v>
      </c>
      <c r="K33" s="2389"/>
      <c r="L33" s="1248"/>
      <c r="M33" s="1251"/>
      <c r="N33" s="1251"/>
      <c r="O33" s="1251"/>
      <c r="P33" s="3029"/>
      <c r="Q33" s="753" t="str">
        <f t="shared" si="11"/>
        <v>项目建筑规模</v>
      </c>
      <c r="R33" s="754" t="s">
        <v>28</v>
      </c>
      <c r="S33" s="755">
        <f t="shared" si="12"/>
        <v>100</v>
      </c>
      <c r="T33" s="754" t="s">
        <v>28</v>
      </c>
      <c r="U33" s="755">
        <f t="shared" si="13"/>
        <v>100</v>
      </c>
      <c r="V33" s="754" t="s">
        <v>28</v>
      </c>
      <c r="W33" s="755">
        <f t="shared" si="14"/>
        <v>100</v>
      </c>
      <c r="X33" s="756"/>
      <c r="Y33" s="3031"/>
      <c r="Z33" s="757" t="str">
        <f t="shared" si="15"/>
        <v>项目建筑规模</v>
      </c>
      <c r="AA33" s="1893">
        <f t="shared" si="3"/>
        <v>1</v>
      </c>
      <c r="AB33" s="1893">
        <f t="shared" si="4"/>
        <v>1</v>
      </c>
      <c r="AC33" s="1893">
        <f t="shared" si="5"/>
        <v>1</v>
      </c>
    </row>
    <row r="34" spans="1:29" ht="15">
      <c r="A34" s="451"/>
      <c r="B34" s="400" t="s">
        <v>2373</v>
      </c>
      <c r="C34" s="2404" t="s">
        <v>2873</v>
      </c>
      <c r="D34" s="413">
        <v>100</v>
      </c>
      <c r="E34" s="2405" t="s">
        <v>2873</v>
      </c>
      <c r="F34" s="440">
        <f>SUMIF(105:105,E34,106:106)-SUMIF(105:105,C34,106:106)+100</f>
        <v>100</v>
      </c>
      <c r="G34" s="2404" t="s">
        <v>2873</v>
      </c>
      <c r="H34" s="413">
        <f>SUMIF(105:105,G34,106:106)-SUMIF(105:105,C34,106:106)+100</f>
        <v>100</v>
      </c>
      <c r="I34" s="2405" t="s">
        <v>2873</v>
      </c>
      <c r="J34" s="413">
        <f>SUMIF(105:105,I34,106:106)-SUMIF(105:105,C34,106:106)+100</f>
        <v>100</v>
      </c>
      <c r="K34" s="404"/>
      <c r="L34" s="1250"/>
      <c r="M34" s="1241"/>
      <c r="N34" s="1241"/>
      <c r="O34" s="1241"/>
      <c r="P34" s="3029"/>
      <c r="Q34" s="1889" t="str">
        <f t="shared" si="11"/>
        <v>建筑结构</v>
      </c>
      <c r="R34" s="751" t="s">
        <v>28</v>
      </c>
      <c r="S34" s="752">
        <f t="shared" si="12"/>
        <v>100</v>
      </c>
      <c r="T34" s="751" t="s">
        <v>28</v>
      </c>
      <c r="U34" s="752">
        <f t="shared" si="13"/>
        <v>100</v>
      </c>
      <c r="V34" s="751" t="s">
        <v>28</v>
      </c>
      <c r="W34" s="752">
        <f t="shared" si="14"/>
        <v>100</v>
      </c>
      <c r="X34" s="1890"/>
      <c r="Y34" s="3031"/>
      <c r="Z34" s="1892" t="str">
        <f t="shared" si="15"/>
        <v>建筑结构</v>
      </c>
      <c r="AA34" s="1893">
        <f t="shared" si="3"/>
        <v>1</v>
      </c>
      <c r="AB34" s="1893">
        <f t="shared" si="4"/>
        <v>1</v>
      </c>
      <c r="AC34" s="1893">
        <f t="shared" si="5"/>
        <v>1</v>
      </c>
    </row>
    <row r="35" spans="1:29" ht="15">
      <c r="A35" s="451"/>
      <c r="B35" s="400" t="s">
        <v>2374</v>
      </c>
      <c r="C35" s="2400" t="s">
        <v>2875</v>
      </c>
      <c r="D35" s="413">
        <v>100</v>
      </c>
      <c r="E35" s="2399" t="s">
        <v>2875</v>
      </c>
      <c r="F35" s="440">
        <f>SUMIF(107:107,E35,108:108)-SUMIF(107:107,C35,108:108)+100</f>
        <v>100</v>
      </c>
      <c r="G35" s="2400" t="s">
        <v>2875</v>
      </c>
      <c r="H35" s="413">
        <f>SUMIF(107:107,G35,108:108)-SUMIF(107:107,C35,108:108)+100</f>
        <v>100</v>
      </c>
      <c r="I35" s="2399" t="s">
        <v>2875</v>
      </c>
      <c r="J35" s="413">
        <f>SUMIF(107:107,I35,108:108)-SUMIF(107:107,C35,108:108)+100</f>
        <v>100</v>
      </c>
      <c r="K35" s="404"/>
      <c r="L35" s="1250"/>
      <c r="M35" s="1241"/>
      <c r="N35" s="1241"/>
      <c r="O35" s="1241"/>
      <c r="P35" s="3029"/>
      <c r="Q35" s="1889" t="str">
        <f t="shared" si="11"/>
        <v>建筑品质</v>
      </c>
      <c r="R35" s="751" t="s">
        <v>28</v>
      </c>
      <c r="S35" s="752">
        <f t="shared" si="12"/>
        <v>100</v>
      </c>
      <c r="T35" s="751" t="s">
        <v>28</v>
      </c>
      <c r="U35" s="752">
        <f t="shared" si="13"/>
        <v>100</v>
      </c>
      <c r="V35" s="751" t="s">
        <v>28</v>
      </c>
      <c r="W35" s="752">
        <f t="shared" si="14"/>
        <v>100</v>
      </c>
      <c r="X35" s="1890"/>
      <c r="Y35" s="3031"/>
      <c r="Z35" s="1892" t="str">
        <f t="shared" si="15"/>
        <v>建筑品质</v>
      </c>
      <c r="AA35" s="1893">
        <f t="shared" si="3"/>
        <v>1</v>
      </c>
      <c r="AB35" s="1893">
        <f t="shared" si="4"/>
        <v>1</v>
      </c>
      <c r="AC35" s="1893">
        <f t="shared" si="5"/>
        <v>1</v>
      </c>
    </row>
    <row r="36" spans="1:29" ht="15.75" customHeight="1">
      <c r="A36" s="451"/>
      <c r="B36" s="400" t="s">
        <v>2375</v>
      </c>
      <c r="C36" s="2400" t="s">
        <v>2884</v>
      </c>
      <c r="D36" s="413">
        <v>100</v>
      </c>
      <c r="E36" s="2399" t="s">
        <v>2884</v>
      </c>
      <c r="F36" s="440">
        <f>SUMIF(109:109,E36,110:110)-SUMIF(109:109,C36,110:110)+100</f>
        <v>100</v>
      </c>
      <c r="G36" s="2400" t="s">
        <v>2884</v>
      </c>
      <c r="H36" s="413">
        <f>SUMIF(109:109,G36,110:110)-SUMIF(109:109,C36,110:110)+100</f>
        <v>100</v>
      </c>
      <c r="I36" s="2399" t="s">
        <v>2884</v>
      </c>
      <c r="J36" s="413">
        <f>SUMIF(109:109,I36,110:110)-SUMIF(109:109,C36,110:110)+100</f>
        <v>100</v>
      </c>
      <c r="K36" s="404"/>
      <c r="L36" s="1250"/>
      <c r="M36" s="1241"/>
      <c r="N36" s="1241"/>
      <c r="O36" s="1241"/>
      <c r="P36" s="3029"/>
      <c r="Q36" s="1889" t="str">
        <f t="shared" si="11"/>
        <v>公共部分装修</v>
      </c>
      <c r="R36" s="751" t="s">
        <v>28</v>
      </c>
      <c r="S36" s="752">
        <f t="shared" si="12"/>
        <v>100</v>
      </c>
      <c r="T36" s="751" t="s">
        <v>28</v>
      </c>
      <c r="U36" s="752">
        <f t="shared" si="13"/>
        <v>100</v>
      </c>
      <c r="V36" s="751" t="s">
        <v>28</v>
      </c>
      <c r="W36" s="752">
        <f t="shared" si="14"/>
        <v>100</v>
      </c>
      <c r="X36" s="1890"/>
      <c r="Y36" s="3031"/>
      <c r="Z36" s="1892" t="str">
        <f t="shared" si="15"/>
        <v>公共部分装修</v>
      </c>
      <c r="AA36" s="1893">
        <f t="shared" si="3"/>
        <v>1</v>
      </c>
      <c r="AB36" s="1893">
        <f t="shared" si="4"/>
        <v>1</v>
      </c>
      <c r="AC36" s="1893">
        <f t="shared" si="5"/>
        <v>1</v>
      </c>
    </row>
    <row r="37" spans="1:29" s="35" customFormat="1" ht="15" hidden="1">
      <c r="A37" s="452"/>
      <c r="B37" s="400" t="s">
        <v>2376</v>
      </c>
      <c r="C37" s="453">
        <v>0.89</v>
      </c>
      <c r="D37" s="52">
        <v>100</v>
      </c>
      <c r="E37" s="454">
        <v>0.89</v>
      </c>
      <c r="F37" s="403">
        <f>LOOKUP(E37,112:112,113:113)-LOOKUP(C37,112:112,113:113)+100</f>
        <v>100</v>
      </c>
      <c r="G37" s="455">
        <v>0.89</v>
      </c>
      <c r="H37" s="52">
        <f>LOOKUP(G37,112:112,113:113)-LOOKUP(C37,112:112,113:113)+100</f>
        <v>100</v>
      </c>
      <c r="I37" s="454">
        <v>0.89</v>
      </c>
      <c r="J37" s="52">
        <f>LOOKUP(I37,112:112,113:113)-LOOKUP(C37,112:112,113:113)+100</f>
        <v>100</v>
      </c>
      <c r="K37" s="404"/>
      <c r="L37" s="1242"/>
      <c r="M37" s="1243"/>
      <c r="N37" s="1243"/>
      <c r="O37" s="1243"/>
      <c r="P37" s="3029"/>
      <c r="Q37" s="1877" t="str">
        <f t="shared" si="11"/>
        <v>成新度</v>
      </c>
      <c r="R37" s="747" t="s">
        <v>28</v>
      </c>
      <c r="S37" s="748">
        <f t="shared" si="12"/>
        <v>100</v>
      </c>
      <c r="T37" s="747" t="s">
        <v>28</v>
      </c>
      <c r="U37" s="748">
        <f t="shared" si="13"/>
        <v>100</v>
      </c>
      <c r="V37" s="747" t="s">
        <v>28</v>
      </c>
      <c r="W37" s="748">
        <f t="shared" si="14"/>
        <v>100</v>
      </c>
      <c r="X37" s="749"/>
      <c r="Y37" s="3031"/>
      <c r="Z37" s="23" t="str">
        <f t="shared" si="15"/>
        <v>成新度</v>
      </c>
      <c r="AA37" s="750">
        <f t="shared" si="3"/>
        <v>1</v>
      </c>
      <c r="AB37" s="750">
        <f t="shared" si="4"/>
        <v>1</v>
      </c>
      <c r="AC37" s="750">
        <f t="shared" si="5"/>
        <v>1</v>
      </c>
    </row>
    <row r="38" spans="1:29" ht="15">
      <c r="A38" s="451"/>
      <c r="B38" s="400" t="s">
        <v>2377</v>
      </c>
      <c r="C38" s="2400" t="s">
        <v>2877</v>
      </c>
      <c r="D38" s="413">
        <v>100</v>
      </c>
      <c r="E38" s="2399" t="s">
        <v>2877</v>
      </c>
      <c r="F38" s="440">
        <f>SUMIF(114:114,E38,115:115)-SUMIF(114:114,C38,115:115)+100</f>
        <v>100</v>
      </c>
      <c r="G38" s="2400" t="s">
        <v>2877</v>
      </c>
      <c r="H38" s="413">
        <f>SUMIF(114:114,G38,115:115)-SUMIF(114:114,C38,115:115)+100</f>
        <v>100</v>
      </c>
      <c r="I38" s="2399" t="s">
        <v>2877</v>
      </c>
      <c r="J38" s="413">
        <f>SUMIF(114:114,I38,115:115)-SUMIF(114:114,C38,115:115)+100</f>
        <v>100</v>
      </c>
      <c r="K38" s="404"/>
      <c r="L38" s="1250"/>
      <c r="M38" s="1241"/>
      <c r="N38" s="1241"/>
      <c r="O38" s="1241"/>
      <c r="P38" s="3029" t="s">
        <v>2371</v>
      </c>
      <c r="Q38" s="1889" t="str">
        <f t="shared" si="11"/>
        <v>物业管理</v>
      </c>
      <c r="R38" s="751" t="s">
        <v>28</v>
      </c>
      <c r="S38" s="752">
        <f t="shared" si="12"/>
        <v>100</v>
      </c>
      <c r="T38" s="751" t="s">
        <v>28</v>
      </c>
      <c r="U38" s="752">
        <f t="shared" si="13"/>
        <v>100</v>
      </c>
      <c r="V38" s="751" t="s">
        <v>28</v>
      </c>
      <c r="W38" s="752">
        <f t="shared" si="14"/>
        <v>100</v>
      </c>
      <c r="X38" s="1890"/>
      <c r="Y38" s="3031" t="s">
        <v>2371</v>
      </c>
      <c r="Z38" s="1892" t="str">
        <f t="shared" si="15"/>
        <v>物业管理</v>
      </c>
      <c r="AA38" s="1893">
        <f t="shared" si="3"/>
        <v>1</v>
      </c>
      <c r="AB38" s="1893">
        <f t="shared" si="4"/>
        <v>1</v>
      </c>
      <c r="AC38" s="1893">
        <f t="shared" si="5"/>
        <v>1</v>
      </c>
    </row>
    <row r="39" spans="1:29" ht="15">
      <c r="A39" s="451"/>
      <c r="B39" s="400" t="s">
        <v>2378</v>
      </c>
      <c r="C39" s="2400" t="s">
        <v>2857</v>
      </c>
      <c r="D39" s="413">
        <v>100</v>
      </c>
      <c r="E39" s="2399" t="s">
        <v>2857</v>
      </c>
      <c r="F39" s="440">
        <f>SUMIF(116:116,E39,117:117)-SUMIF(116:116,C39,117:117)+100</f>
        <v>100</v>
      </c>
      <c r="G39" s="2400" t="s">
        <v>2857</v>
      </c>
      <c r="H39" s="413">
        <f>SUMIF(116:116,G39,117:117)-SUMIF(116:116,C39,117:117)+100</f>
        <v>100</v>
      </c>
      <c r="I39" s="2399" t="s">
        <v>2857</v>
      </c>
      <c r="J39" s="413">
        <f>SUMIF(116:116,I39,117:117)-SUMIF(116:116,C39,117:117)+100</f>
        <v>100</v>
      </c>
      <c r="K39" s="404"/>
      <c r="L39" s="1250"/>
      <c r="M39" s="1241"/>
      <c r="N39" s="1241"/>
      <c r="O39" s="1241"/>
      <c r="P39" s="3029"/>
      <c r="Q39" s="1889" t="str">
        <f t="shared" si="11"/>
        <v>市政基础设施</v>
      </c>
      <c r="R39" s="751" t="s">
        <v>28</v>
      </c>
      <c r="S39" s="752">
        <f t="shared" si="12"/>
        <v>100</v>
      </c>
      <c r="T39" s="751" t="s">
        <v>28</v>
      </c>
      <c r="U39" s="752">
        <f t="shared" si="13"/>
        <v>100</v>
      </c>
      <c r="V39" s="751" t="s">
        <v>28</v>
      </c>
      <c r="W39" s="752">
        <f t="shared" si="14"/>
        <v>100</v>
      </c>
      <c r="X39" s="1890"/>
      <c r="Y39" s="3031"/>
      <c r="Z39" s="1892" t="str">
        <f t="shared" si="15"/>
        <v>市政基础设施</v>
      </c>
      <c r="AA39" s="1893">
        <f t="shared" si="3"/>
        <v>1</v>
      </c>
      <c r="AB39" s="1893">
        <f t="shared" si="4"/>
        <v>1</v>
      </c>
      <c r="AC39" s="1893">
        <f t="shared" si="5"/>
        <v>1</v>
      </c>
    </row>
    <row r="40" spans="1:29" ht="15">
      <c r="A40" s="451"/>
      <c r="B40" s="400" t="s">
        <v>2379</v>
      </c>
      <c r="C40" s="2400" t="s">
        <v>2880</v>
      </c>
      <c r="D40" s="413">
        <v>100</v>
      </c>
      <c r="E40" s="2399" t="s">
        <v>2880</v>
      </c>
      <c r="F40" s="440">
        <f>SUMIF(118:118,E40,119:119)-SUMIF(118:118,C40,119:119)+100</f>
        <v>100</v>
      </c>
      <c r="G40" s="2400" t="s">
        <v>2880</v>
      </c>
      <c r="H40" s="413">
        <f>SUMIF(118:118,G40,119:119)-SUMIF(118:118,C40,119:119)+100</f>
        <v>100</v>
      </c>
      <c r="I40" s="2399" t="s">
        <v>2880</v>
      </c>
      <c r="J40" s="413">
        <f>SUMIF(118:118,I40,119:119)-SUMIF(118:118,C40,119:119)+100</f>
        <v>100</v>
      </c>
      <c r="K40" s="404"/>
      <c r="L40" s="1250"/>
      <c r="M40" s="1241"/>
      <c r="N40" s="1241"/>
      <c r="O40" s="1241"/>
      <c r="P40" s="3029"/>
      <c r="Q40" s="1889" t="str">
        <f t="shared" si="11"/>
        <v>房型</v>
      </c>
      <c r="R40" s="751" t="s">
        <v>28</v>
      </c>
      <c r="S40" s="752">
        <f t="shared" si="12"/>
        <v>100</v>
      </c>
      <c r="T40" s="751" t="s">
        <v>28</v>
      </c>
      <c r="U40" s="752">
        <f t="shared" si="13"/>
        <v>100</v>
      </c>
      <c r="V40" s="751" t="s">
        <v>28</v>
      </c>
      <c r="W40" s="752">
        <f t="shared" si="14"/>
        <v>100</v>
      </c>
      <c r="X40" s="1890"/>
      <c r="Y40" s="3031"/>
      <c r="Z40" s="1892" t="str">
        <f t="shared" si="15"/>
        <v>房型</v>
      </c>
      <c r="AA40" s="1893">
        <f t="shared" si="3"/>
        <v>1</v>
      </c>
      <c r="AB40" s="1893">
        <f t="shared" si="4"/>
        <v>1</v>
      </c>
      <c r="AC40" s="1893">
        <f t="shared" si="5"/>
        <v>1</v>
      </c>
    </row>
    <row r="41" spans="1:29" s="450" customFormat="1" ht="28.5" hidden="1">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89"/>
      <c r="L41" s="1248"/>
      <c r="M41" s="1251"/>
      <c r="N41" s="1251"/>
      <c r="O41" s="1251"/>
      <c r="P41" s="3029"/>
      <c r="Q41" s="753" t="str">
        <f t="shared" si="11"/>
        <v>单套/主力户型建筑面积</v>
      </c>
      <c r="R41" s="754" t="s">
        <v>28</v>
      </c>
      <c r="S41" s="755">
        <f t="shared" si="12"/>
        <v>100</v>
      </c>
      <c r="T41" s="754" t="s">
        <v>28</v>
      </c>
      <c r="U41" s="755">
        <f t="shared" si="13"/>
        <v>100</v>
      </c>
      <c r="V41" s="754" t="s">
        <v>28</v>
      </c>
      <c r="W41" s="755">
        <f t="shared" si="14"/>
        <v>100</v>
      </c>
      <c r="X41" s="756"/>
      <c r="Y41" s="3031"/>
      <c r="Z41" s="757" t="str">
        <f t="shared" si="15"/>
        <v>单套/主力户型建筑面积</v>
      </c>
      <c r="AA41" s="1893">
        <f t="shared" si="3"/>
        <v>1</v>
      </c>
      <c r="AB41" s="1893">
        <f t="shared" si="4"/>
        <v>1</v>
      </c>
      <c r="AC41" s="1893">
        <f t="shared" si="5"/>
        <v>1</v>
      </c>
    </row>
    <row r="42" spans="1:29" ht="15">
      <c r="A42" s="451"/>
      <c r="B42" s="400" t="s">
        <v>2381</v>
      </c>
      <c r="C42" s="2400" t="s">
        <v>2882</v>
      </c>
      <c r="D42" s="413">
        <v>100</v>
      </c>
      <c r="E42" s="2399" t="s">
        <v>2882</v>
      </c>
      <c r="F42" s="440">
        <f>SUMIF(122:122,E42,123:123)-SUMIF(122:122,C42,123:123)+100</f>
        <v>100</v>
      </c>
      <c r="G42" s="2400" t="s">
        <v>2882</v>
      </c>
      <c r="H42" s="413">
        <f>SUMIF(122:122,G42,123:123)-SUMIF(122:122,C42,123:123)+100</f>
        <v>100</v>
      </c>
      <c r="I42" s="2399" t="s">
        <v>2884</v>
      </c>
      <c r="J42" s="413">
        <f>SUMIF(122:122,I42,123:123)-SUMIF(122:122,C42,123:123)+100</f>
        <v>98</v>
      </c>
      <c r="K42" s="404">
        <v>2</v>
      </c>
      <c r="L42" s="1250"/>
      <c r="M42" s="1241"/>
      <c r="N42" s="1241"/>
      <c r="O42" s="1241"/>
      <c r="P42" s="3029"/>
      <c r="Q42" s="1889" t="str">
        <f t="shared" si="11"/>
        <v>内部装修</v>
      </c>
      <c r="R42" s="751" t="s">
        <v>28</v>
      </c>
      <c r="S42" s="752">
        <f t="shared" si="12"/>
        <v>100</v>
      </c>
      <c r="T42" s="751" t="s">
        <v>28</v>
      </c>
      <c r="U42" s="752">
        <f t="shared" si="13"/>
        <v>100</v>
      </c>
      <c r="V42" s="751" t="s">
        <v>28</v>
      </c>
      <c r="W42" s="752">
        <f t="shared" si="14"/>
        <v>98</v>
      </c>
      <c r="X42" s="1890"/>
      <c r="Y42" s="3031"/>
      <c r="Z42" s="1892" t="str">
        <f t="shared" si="15"/>
        <v>内部装修</v>
      </c>
      <c r="AA42" s="1893">
        <f t="shared" si="3"/>
        <v>1</v>
      </c>
      <c r="AB42" s="1893">
        <f t="shared" si="4"/>
        <v>1</v>
      </c>
      <c r="AC42" s="1893">
        <f t="shared" si="5"/>
        <v>1.0204081632653061</v>
      </c>
    </row>
    <row r="43" spans="1:29" ht="15">
      <c r="A43" s="451"/>
      <c r="B43" s="400" t="s">
        <v>2382</v>
      </c>
      <c r="C43" s="2400" t="s">
        <v>30</v>
      </c>
      <c r="D43" s="413">
        <v>100</v>
      </c>
      <c r="E43" s="2399" t="s">
        <v>30</v>
      </c>
      <c r="F43" s="440">
        <f>SUMIF(124:124,E43,125:125)-SUMIF(124:124,C43,125:125)+100</f>
        <v>100</v>
      </c>
      <c r="G43" s="2400" t="s">
        <v>30</v>
      </c>
      <c r="H43" s="413">
        <f>SUMIF(124:124,G43,125:125)-SUMIF(124:124,C43,125:125)+100</f>
        <v>100</v>
      </c>
      <c r="I43" s="2399" t="s">
        <v>30</v>
      </c>
      <c r="J43" s="413">
        <f>SUMIF(124:124,I43,125:125)-SUMIF(124:124,C43,125:125)+100</f>
        <v>100</v>
      </c>
      <c r="K43" s="404"/>
      <c r="L43" s="1250"/>
      <c r="M43" s="1241"/>
      <c r="N43" s="1241"/>
      <c r="O43" s="1241"/>
      <c r="P43" s="3029"/>
      <c r="Q43" s="1889" t="str">
        <f t="shared" si="11"/>
        <v>内部装修维护情况</v>
      </c>
      <c r="R43" s="751" t="s">
        <v>28</v>
      </c>
      <c r="S43" s="752">
        <f t="shared" si="12"/>
        <v>100</v>
      </c>
      <c r="T43" s="751" t="s">
        <v>28</v>
      </c>
      <c r="U43" s="752">
        <f t="shared" si="13"/>
        <v>100</v>
      </c>
      <c r="V43" s="751" t="s">
        <v>28</v>
      </c>
      <c r="W43" s="752">
        <f t="shared" si="14"/>
        <v>100</v>
      </c>
      <c r="X43" s="1890"/>
      <c r="Y43" s="3031"/>
      <c r="Z43" s="1892" t="str">
        <f t="shared" si="15"/>
        <v>内部装修维护情况</v>
      </c>
      <c r="AA43" s="1893">
        <f t="shared" si="3"/>
        <v>1</v>
      </c>
      <c r="AB43" s="1893">
        <f t="shared" si="4"/>
        <v>1</v>
      </c>
      <c r="AC43" s="1893">
        <f t="shared" si="5"/>
        <v>1</v>
      </c>
    </row>
    <row r="44" spans="1:29" s="35" customFormat="1" ht="15">
      <c r="A44" s="452"/>
      <c r="B44" s="2401">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89"/>
      <c r="L44" s="1242"/>
      <c r="M44" s="1243"/>
      <c r="N44" s="1243"/>
      <c r="O44" s="1243"/>
      <c r="P44" s="3029"/>
      <c r="Q44" s="1877">
        <f t="shared" si="11"/>
        <v>111</v>
      </c>
      <c r="R44" s="747" t="s">
        <v>28</v>
      </c>
      <c r="S44" s="748">
        <f t="shared" si="12"/>
        <v>100</v>
      </c>
      <c r="T44" s="747" t="s">
        <v>28</v>
      </c>
      <c r="U44" s="748">
        <f t="shared" si="13"/>
        <v>100</v>
      </c>
      <c r="V44" s="747" t="s">
        <v>28</v>
      </c>
      <c r="W44" s="748">
        <f t="shared" si="14"/>
        <v>100</v>
      </c>
      <c r="X44" s="749"/>
      <c r="Y44" s="3031"/>
      <c r="Z44" s="23">
        <f t="shared" si="15"/>
        <v>111</v>
      </c>
      <c r="AA44" s="750">
        <f t="shared" si="3"/>
        <v>1</v>
      </c>
      <c r="AB44" s="750">
        <f t="shared" si="4"/>
        <v>1</v>
      </c>
      <c r="AC44" s="750">
        <f t="shared" si="5"/>
        <v>1</v>
      </c>
    </row>
    <row r="45" spans="1:29" ht="15">
      <c r="A45" s="451"/>
      <c r="B45" s="2401">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89"/>
      <c r="L45" s="1250"/>
      <c r="M45" s="1241"/>
      <c r="N45" s="1241"/>
      <c r="O45" s="1241"/>
      <c r="P45" s="3029"/>
      <c r="Q45" s="1889">
        <f t="shared" si="11"/>
        <v>111</v>
      </c>
      <c r="R45" s="751" t="s">
        <v>28</v>
      </c>
      <c r="S45" s="752">
        <f t="shared" si="12"/>
        <v>100</v>
      </c>
      <c r="T45" s="751" t="s">
        <v>28</v>
      </c>
      <c r="U45" s="752">
        <f t="shared" si="13"/>
        <v>100</v>
      </c>
      <c r="V45" s="751" t="s">
        <v>28</v>
      </c>
      <c r="W45" s="752">
        <f t="shared" si="14"/>
        <v>100</v>
      </c>
      <c r="X45" s="1890"/>
      <c r="Y45" s="3031"/>
      <c r="Z45" s="1892">
        <f t="shared" si="15"/>
        <v>111</v>
      </c>
      <c r="AA45" s="1893">
        <f t="shared" si="3"/>
        <v>1</v>
      </c>
      <c r="AB45" s="1893">
        <f t="shared" si="4"/>
        <v>1</v>
      </c>
      <c r="AC45" s="1893">
        <f t="shared" si="5"/>
        <v>1</v>
      </c>
    </row>
    <row r="46" spans="1:29" ht="15.75" thickBot="1">
      <c r="A46" s="457"/>
      <c r="B46" s="2390">
        <v>111</v>
      </c>
      <c r="C46" s="2391"/>
      <c r="D46" s="415">
        <v>100</v>
      </c>
      <c r="E46" s="2391"/>
      <c r="F46" s="416">
        <f>SUMIF(130:130,E46,131:131)-SUMIF(130:130,C46,131:131)+100</f>
        <v>100</v>
      </c>
      <c r="G46" s="2391"/>
      <c r="H46" s="415">
        <f>SUMIF(130:130,G46,131:131)-SUMIF(130:130,C46,131:131)+100</f>
        <v>100</v>
      </c>
      <c r="I46" s="2391"/>
      <c r="J46" s="415">
        <f>SUMIF(130:130,I46,131:131)-SUMIF(130:130,C46,131:131)+100</f>
        <v>100</v>
      </c>
      <c r="K46" s="2389"/>
      <c r="L46" s="1250"/>
      <c r="M46" s="1241"/>
      <c r="N46" s="1241"/>
      <c r="O46" s="1241"/>
      <c r="P46" s="3030"/>
      <c r="Q46" s="1889">
        <f t="shared" si="11"/>
        <v>111</v>
      </c>
      <c r="R46" s="751" t="s">
        <v>27</v>
      </c>
      <c r="S46" s="752">
        <f t="shared" si="12"/>
        <v>100</v>
      </c>
      <c r="T46" s="751" t="s">
        <v>27</v>
      </c>
      <c r="U46" s="752">
        <f t="shared" si="13"/>
        <v>100</v>
      </c>
      <c r="V46" s="751" t="s">
        <v>27</v>
      </c>
      <c r="W46" s="752">
        <f t="shared" si="14"/>
        <v>100</v>
      </c>
      <c r="X46" s="1890"/>
      <c r="Y46" s="3032"/>
      <c r="Z46" s="1892">
        <f t="shared" si="15"/>
        <v>111</v>
      </c>
      <c r="AA46" s="1893">
        <f t="shared" si="3"/>
        <v>1</v>
      </c>
      <c r="AB46" s="1893">
        <f t="shared" si="4"/>
        <v>1</v>
      </c>
      <c r="AC46" s="1893">
        <f t="shared" si="5"/>
        <v>1</v>
      </c>
    </row>
    <row r="47" spans="1:29" ht="15">
      <c r="A47" s="458" t="s">
        <v>2383</v>
      </c>
      <c r="B47" s="459"/>
      <c r="C47" s="1493" t="s">
        <v>26</v>
      </c>
      <c r="D47" s="1494"/>
      <c r="E47" s="1495">
        <v>49975</v>
      </c>
      <c r="F47" s="1496"/>
      <c r="G47" s="1497">
        <v>47186</v>
      </c>
      <c r="H47" s="1498"/>
      <c r="I47" s="1495">
        <v>45278</v>
      </c>
      <c r="J47" s="1498"/>
      <c r="K47" s="2406"/>
      <c r="L47" s="1253"/>
      <c r="M47" s="1254"/>
      <c r="N47" s="1241"/>
      <c r="O47" s="1254"/>
      <c r="P47" s="3023" t="str">
        <f>A47</f>
        <v>成交单价（元/平方米）</v>
      </c>
      <c r="Q47" s="3023"/>
      <c r="R47" s="3019">
        <f>E47</f>
        <v>49975</v>
      </c>
      <c r="S47" s="3019"/>
      <c r="T47" s="3019">
        <f>G47</f>
        <v>47186</v>
      </c>
      <c r="U47" s="3019"/>
      <c r="V47" s="3019">
        <f>I47</f>
        <v>45278</v>
      </c>
      <c r="W47" s="3019"/>
      <c r="X47" s="736"/>
      <c r="Y47" s="758"/>
      <c r="Z47" s="736"/>
      <c r="AA47" s="736"/>
      <c r="AB47" s="736"/>
      <c r="AC47" s="736"/>
    </row>
    <row r="48" spans="1:29" ht="15.75" thickBot="1">
      <c r="A48" s="465" t="s">
        <v>2384</v>
      </c>
      <c r="B48" s="466"/>
      <c r="C48" s="1499">
        <f>R49</f>
        <v>48265</v>
      </c>
      <c r="D48" s="1500"/>
      <c r="E48" s="1501">
        <f>R48</f>
        <v>50229</v>
      </c>
      <c r="F48" s="1501"/>
      <c r="G48" s="1499">
        <f>T48</f>
        <v>47425</v>
      </c>
      <c r="H48" s="1500"/>
      <c r="I48" s="1501">
        <f>V48</f>
        <v>47140</v>
      </c>
      <c r="J48" s="1500"/>
      <c r="K48" s="2407"/>
      <c r="L48" s="1253"/>
      <c r="M48" s="1254"/>
      <c r="N48" s="1254"/>
      <c r="O48" s="1254"/>
      <c r="P48" s="3023" t="str">
        <f>A48</f>
        <v>比较价值（元/平方米）</v>
      </c>
      <c r="Q48" s="3023"/>
      <c r="R48" s="3019">
        <f>IF(E1="售价",ROUND(PRODUCT(R47,AA7:AA46),0),ROUND(PRODUCT(R47,AA7:AA46),1))</f>
        <v>50229</v>
      </c>
      <c r="S48" s="3019"/>
      <c r="T48" s="3017">
        <f>IF(E1="售价",ROUND(PRODUCT(T47,AB7:AB46),0),ROUND(PRODUCT(T47,AB7:AB46),1))</f>
        <v>47425</v>
      </c>
      <c r="U48" s="3018"/>
      <c r="V48" s="3019">
        <f>IF(E1="售价",ROUND(PRODUCT(V47,AC7:AC46),0),ROUND(PRODUCT(V47,AC7:AC46),1))</f>
        <v>47140</v>
      </c>
      <c r="W48" s="3019"/>
      <c r="X48" s="736"/>
      <c r="Y48" s="736"/>
      <c r="Z48" s="736"/>
      <c r="AA48" s="736"/>
      <c r="AB48" s="736"/>
      <c r="AC48" s="736"/>
    </row>
    <row r="49" spans="1:29" ht="15.75" thickBot="1">
      <c r="A49" s="471" t="s">
        <v>2887</v>
      </c>
      <c r="B49" s="472"/>
      <c r="C49" s="1502">
        <f>R49</f>
        <v>48265</v>
      </c>
      <c r="D49" s="1503"/>
      <c r="E49" s="1503"/>
      <c r="F49" s="1503"/>
      <c r="G49" s="1503"/>
      <c r="H49" s="1503"/>
      <c r="I49" s="1503"/>
      <c r="J49" s="1503"/>
      <c r="K49" s="2408"/>
      <c r="L49" s="1253"/>
      <c r="M49" s="1254"/>
      <c r="N49" s="1254"/>
      <c r="O49" s="1254"/>
      <c r="P49" s="3020" t="str">
        <f>A49</f>
        <v>估价对象住宅用房的比较价值（楼面单价，元/平方米）</v>
      </c>
      <c r="Q49" s="3021"/>
      <c r="R49" s="3022">
        <f>IF(E1="售价",ROUND(AVERAGE(R48:V48),0),ROUND(AVERAGE(R48:V48),1))</f>
        <v>48265</v>
      </c>
      <c r="S49" s="3022"/>
      <c r="T49" s="3022"/>
      <c r="U49" s="3022"/>
      <c r="V49" s="3022"/>
      <c r="W49" s="302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2385</v>
      </c>
      <c r="D52" s="477"/>
      <c r="E52" s="478">
        <f>IF(E47&lt;E48,E48/E47-1,E47/E48-1)</f>
        <v>5.0825412706352324E-3</v>
      </c>
      <c r="F52" s="479" t="str">
        <f>IF(OR(E52&gt;=0.3,E52&lt;=-0.3),"超过30%","")</f>
        <v/>
      </c>
      <c r="G52" s="478">
        <f>IF(G47&lt;G48,G48/G47-1,G47/G48-1)</f>
        <v>5.0650616708345364E-3</v>
      </c>
      <c r="H52" s="479" t="str">
        <f>IF(OR(G52&gt;=0.3,G52&lt;=-0.3),"超过30%","")</f>
        <v/>
      </c>
      <c r="I52" s="478">
        <f>IF(I47&lt;I48,I48/I47-1,I47/I48-1)</f>
        <v>4.1123724546137108E-2</v>
      </c>
      <c r="J52" s="479" t="str">
        <f>IF(OR(I52&gt;=0.3,I52&lt;=-0.3),"超过30%","")</f>
        <v/>
      </c>
      <c r="K52" s="1259"/>
      <c r="L52" s="1255"/>
      <c r="M52" s="1254"/>
      <c r="N52" s="1254"/>
      <c r="O52" s="1254"/>
    </row>
    <row r="53" spans="1:29" ht="13.5" customHeight="1">
      <c r="A53" s="1254"/>
      <c r="B53" s="1254"/>
      <c r="C53" s="476" t="s">
        <v>2386</v>
      </c>
      <c r="D53" s="480"/>
      <c r="E53" s="478">
        <f>IF(E48&lt;G48,G48/E48-1,E48/G48-1)</f>
        <v>5.9124934106483895E-2</v>
      </c>
      <c r="F53" s="479" t="str">
        <f>IF(OR(E53&gt;=0.2,E53&lt;=-0.2),"超过20%","")</f>
        <v/>
      </c>
      <c r="G53" s="478">
        <f>IF(G48&lt;I48,I48/G48-1,G48/I48-1)</f>
        <v>6.0458209588460932E-3</v>
      </c>
      <c r="H53" s="479" t="str">
        <f>IF(OR(G53&gt;=0.2,G53&lt;=-0.2),"超过20%","")</f>
        <v/>
      </c>
      <c r="I53" s="478">
        <f>IF(I48&lt;E48,E48/I48-1,I48/E48-1)</f>
        <v>6.5528213831141269E-2</v>
      </c>
      <c r="J53" s="479" t="str">
        <f>IF(OR(I53&gt;=0.2,I53&lt;=-0.2),"超过20%","")</f>
        <v/>
      </c>
      <c r="K53" s="1259"/>
      <c r="L53" s="1255"/>
      <c r="M53" s="1254"/>
      <c r="N53" s="1254"/>
      <c r="O53" s="1254"/>
    </row>
    <row r="54" spans="1:29" s="481" customFormat="1" ht="13.5" customHeight="1">
      <c r="A54" s="1256"/>
      <c r="B54" s="1256"/>
      <c r="C54" s="476" t="s">
        <v>2387</v>
      </c>
      <c r="D54" s="480"/>
      <c r="E54" s="478">
        <f>IF(E47&lt;G47,G47/E47-1,E47/G47-1)</f>
        <v>5.9106514644174046E-2</v>
      </c>
      <c r="F54" s="479" t="str">
        <f>IF(OR(E54&gt;=0.3,E54&lt;=-0.3),"超过30%","")</f>
        <v/>
      </c>
      <c r="G54" s="478">
        <f>IF(G47&lt;I47,I47/G47-1,G47/I47-1)</f>
        <v>4.2139670480144886E-2</v>
      </c>
      <c r="H54" s="479" t="str">
        <f>IF(OR(G54&gt;=0.3,G54&lt;=-0.3),"超过30%","")</f>
        <v/>
      </c>
      <c r="I54" s="478">
        <f>IF(I47&lt;E47,E47/I47-1,I47/E47-1)</f>
        <v>0.10373691417465425</v>
      </c>
      <c r="J54" s="479" t="str">
        <f>IF(OR(I54&gt;=0.3,I54&lt;=-0.3),"超过30%","")</f>
        <v/>
      </c>
      <c r="K54" s="1260"/>
      <c r="L54" s="1261"/>
      <c r="M54" s="1256"/>
      <c r="N54" s="1256"/>
      <c r="O54" s="1256"/>
      <c r="P54" s="2410"/>
    </row>
    <row r="55" spans="1:29" s="481" customFormat="1">
      <c r="A55" s="1256"/>
      <c r="B55" s="1257"/>
      <c r="C55" s="1262"/>
      <c r="D55" s="1256"/>
      <c r="E55" s="1256"/>
      <c r="F55" s="1256"/>
      <c r="G55" s="1256"/>
      <c r="H55" s="1256"/>
      <c r="I55" s="1256"/>
      <c r="J55" s="1256"/>
      <c r="K55" s="1260"/>
      <c r="L55" s="1261"/>
      <c r="M55" s="1256"/>
      <c r="N55" s="1256"/>
      <c r="O55" s="1256"/>
      <c r="P55" s="2410"/>
    </row>
    <row r="56" spans="1:29">
      <c r="A56" s="1254"/>
      <c r="B56" s="1257"/>
      <c r="C56" s="1262"/>
      <c r="D56" s="1254"/>
      <c r="E56" s="1254"/>
      <c r="F56" s="1254"/>
      <c r="G56" s="1254"/>
      <c r="H56" s="1254"/>
      <c r="I56" s="1254"/>
      <c r="J56" s="1254"/>
      <c r="K56" s="1259"/>
      <c r="L56" s="1255"/>
      <c r="M56" s="1254"/>
      <c r="N56" s="1254"/>
      <c r="O56" s="1254"/>
    </row>
    <row r="57" spans="1:29" ht="21.75" thickBot="1">
      <c r="A57" s="740" t="s">
        <v>2388</v>
      </c>
      <c r="B57" s="736"/>
      <c r="C57" s="741"/>
      <c r="D57" s="741"/>
      <c r="E57" s="741"/>
      <c r="F57" s="742"/>
      <c r="G57" s="742"/>
      <c r="H57" s="741"/>
      <c r="I57" s="741"/>
      <c r="J57" s="741"/>
      <c r="K57" s="743"/>
      <c r="L57" s="744"/>
      <c r="M57" s="741"/>
      <c r="N57" s="741"/>
      <c r="O57" s="741"/>
      <c r="P57" s="2411"/>
      <c r="Q57" s="483"/>
    </row>
    <row r="58" spans="1:29" s="487" customFormat="1" ht="15">
      <c r="A58" s="484" t="s">
        <v>2389</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2"/>
    </row>
    <row r="59" spans="1:29" s="35" customFormat="1" ht="15">
      <c r="A59" s="488"/>
      <c r="B59" s="489"/>
      <c r="C59" s="621">
        <v>100</v>
      </c>
      <c r="D59" s="491">
        <v>100</v>
      </c>
      <c r="E59" s="491">
        <v>100</v>
      </c>
      <c r="F59" s="491">
        <v>99</v>
      </c>
      <c r="G59" s="491">
        <v>99</v>
      </c>
      <c r="H59" s="491"/>
      <c r="I59" s="491"/>
      <c r="J59" s="491"/>
      <c r="K59" s="491"/>
      <c r="L59" s="491"/>
      <c r="M59" s="492"/>
      <c r="N59" s="491"/>
      <c r="O59" s="492"/>
      <c r="P59" s="2413"/>
    </row>
    <row r="60" spans="1:29" s="35" customFormat="1" ht="15.75" thickBot="1">
      <c r="A60" s="494" t="s">
        <v>2390</v>
      </c>
      <c r="B60" s="495"/>
      <c r="C60" s="496"/>
      <c r="D60" s="497"/>
      <c r="E60" s="497"/>
      <c r="F60" s="497"/>
      <c r="G60" s="497"/>
      <c r="H60" s="497"/>
      <c r="I60" s="497"/>
      <c r="J60" s="497"/>
      <c r="K60" s="497"/>
      <c r="L60" s="497"/>
      <c r="M60" s="498"/>
      <c r="N60" s="497"/>
      <c r="O60" s="498"/>
      <c r="P60" s="2413"/>
      <c r="Q60" s="483"/>
    </row>
    <row r="61" spans="1:29" s="35" customFormat="1" ht="15">
      <c r="A61" s="500" t="s">
        <v>2391</v>
      </c>
      <c r="B61" s="489"/>
      <c r="C61" s="501" t="s">
        <v>2392</v>
      </c>
      <c r="D61" s="502"/>
      <c r="E61" s="502"/>
      <c r="F61" s="502"/>
      <c r="G61" s="502"/>
      <c r="H61" s="502"/>
      <c r="I61" s="502"/>
      <c r="J61" s="502"/>
      <c r="K61" s="502"/>
      <c r="L61" s="503"/>
      <c r="M61" s="504"/>
      <c r="N61" s="1263"/>
      <c r="O61" s="1263"/>
      <c r="P61" s="2414"/>
      <c r="Q61" s="483"/>
    </row>
    <row r="62" spans="1:29" s="35" customFormat="1" ht="15.75" thickBot="1">
      <c r="A62" s="500"/>
      <c r="B62" s="489"/>
      <c r="C62" s="490">
        <v>100</v>
      </c>
      <c r="D62" s="491"/>
      <c r="E62" s="491"/>
      <c r="F62" s="491"/>
      <c r="G62" s="491"/>
      <c r="H62" s="491"/>
      <c r="I62" s="491"/>
      <c r="J62" s="491"/>
      <c r="K62" s="491"/>
      <c r="L62" s="491"/>
      <c r="M62" s="493"/>
      <c r="N62" s="1263"/>
      <c r="O62" s="1263"/>
      <c r="P62" s="2413"/>
      <c r="Q62" s="483"/>
    </row>
    <row r="63" spans="1:29">
      <c r="A63" s="506" t="s">
        <v>2393</v>
      </c>
      <c r="B63" s="507" t="s">
        <v>2359</v>
      </c>
      <c r="C63" s="508" t="str">
        <f>C9</f>
        <v>住宅</v>
      </c>
      <c r="D63" s="509"/>
      <c r="E63" s="509"/>
      <c r="F63" s="509"/>
      <c r="G63" s="509"/>
      <c r="H63" s="509"/>
      <c r="I63" s="509"/>
      <c r="J63" s="509"/>
      <c r="K63" s="510"/>
      <c r="L63" s="511"/>
      <c r="M63" s="512"/>
      <c r="N63" s="1264"/>
      <c r="O63" s="1264"/>
      <c r="P63" s="2415"/>
      <c r="Q63" s="483"/>
    </row>
    <row r="64" spans="1:29" ht="15.75" thickBot="1">
      <c r="A64" s="514"/>
      <c r="B64" s="515"/>
      <c r="C64" s="516">
        <v>100</v>
      </c>
      <c r="D64" s="516"/>
      <c r="E64" s="516"/>
      <c r="F64" s="516"/>
      <c r="G64" s="516"/>
      <c r="H64" s="516"/>
      <c r="I64" s="516"/>
      <c r="J64" s="516"/>
      <c r="K64" s="516"/>
      <c r="L64" s="516"/>
      <c r="M64" s="517"/>
      <c r="N64" s="1265"/>
      <c r="O64" s="1265"/>
      <c r="P64" s="2415"/>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5"/>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5"/>
      <c r="Q66" s="483"/>
    </row>
    <row r="67" spans="1:17" ht="15.75" thickTop="1">
      <c r="A67" s="514"/>
      <c r="B67" s="527" t="s">
        <v>2363</v>
      </c>
      <c r="C67" s="528" t="str">
        <f>C68&amp;"（含）"&amp;"-"&amp;D68</f>
        <v>1（含）-3</v>
      </c>
      <c r="D67" s="528" t="str">
        <f t="shared" ref="D67:L67" si="18">D68&amp;"（含）"&amp;"-"&amp;E68</f>
        <v>3（含）-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5"/>
      <c r="Q67" s="483"/>
    </row>
    <row r="68" spans="1:17" ht="15">
      <c r="A68" s="514"/>
      <c r="B68" s="529"/>
      <c r="C68" s="530">
        <v>1</v>
      </c>
      <c r="D68" s="530">
        <v>3</v>
      </c>
      <c r="E68" s="530"/>
      <c r="F68" s="530"/>
      <c r="G68" s="530"/>
      <c r="H68" s="530"/>
      <c r="I68" s="530"/>
      <c r="J68" s="530"/>
      <c r="K68" s="531"/>
      <c r="L68" s="532"/>
      <c r="M68" s="533"/>
      <c r="N68" s="1264"/>
      <c r="O68" s="1264"/>
      <c r="P68" s="2415"/>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5"/>
      <c r="Q69" s="483"/>
    </row>
    <row r="70" spans="1:17" s="450" customFormat="1" ht="15.75" thickTop="1">
      <c r="A70" s="534"/>
      <c r="B70" s="519">
        <f>B12</f>
        <v>111</v>
      </c>
      <c r="C70" s="535"/>
      <c r="D70" s="535"/>
      <c r="E70" s="535"/>
      <c r="F70" s="535"/>
      <c r="G70" s="535"/>
      <c r="H70" s="536"/>
      <c r="I70" s="536"/>
      <c r="J70" s="536"/>
      <c r="K70" s="536"/>
      <c r="L70" s="537"/>
      <c r="M70" s="538"/>
      <c r="N70" s="1266"/>
      <c r="O70" s="1266"/>
      <c r="P70" s="2416"/>
      <c r="Q70" s="541"/>
    </row>
    <row r="71" spans="1:17" s="450" customFormat="1" ht="15.75" thickBot="1">
      <c r="A71" s="534"/>
      <c r="B71" s="524"/>
      <c r="C71" s="542"/>
      <c r="D71" s="516"/>
      <c r="E71" s="516"/>
      <c r="F71" s="516"/>
      <c r="G71" s="516"/>
      <c r="H71" s="516"/>
      <c r="I71" s="516"/>
      <c r="J71" s="516"/>
      <c r="K71" s="516"/>
      <c r="L71" s="516"/>
      <c r="M71" s="517"/>
      <c r="N71" s="1265"/>
      <c r="O71" s="1265"/>
      <c r="P71" s="2416"/>
      <c r="Q71" s="541"/>
    </row>
    <row r="72" spans="1:17" s="450" customFormat="1" ht="15.75" thickTop="1">
      <c r="A72" s="534"/>
      <c r="B72" s="519">
        <f>B13</f>
        <v>111</v>
      </c>
      <c r="C72" s="535"/>
      <c r="D72" s="535"/>
      <c r="E72" s="535"/>
      <c r="F72" s="535"/>
      <c r="G72" s="535"/>
      <c r="H72" s="536"/>
      <c r="I72" s="536"/>
      <c r="J72" s="536"/>
      <c r="K72" s="536"/>
      <c r="L72" s="537"/>
      <c r="M72" s="538"/>
      <c r="N72" s="1266"/>
      <c r="O72" s="1266"/>
      <c r="P72" s="2417"/>
      <c r="Q72" s="543"/>
    </row>
    <row r="73" spans="1:17" s="450" customFormat="1" ht="15.75" thickBot="1">
      <c r="A73" s="534"/>
      <c r="B73" s="524"/>
      <c r="C73" s="542"/>
      <c r="D73" s="542"/>
      <c r="E73" s="542"/>
      <c r="F73" s="542"/>
      <c r="G73" s="542"/>
      <c r="H73" s="544"/>
      <c r="I73" s="544"/>
      <c r="J73" s="544"/>
      <c r="K73" s="544"/>
      <c r="L73" s="544"/>
      <c r="M73" s="545"/>
      <c r="N73" s="1266"/>
      <c r="O73" s="1266"/>
      <c r="P73" s="2416"/>
      <c r="Q73" s="541"/>
    </row>
    <row r="74" spans="1:17" s="450" customFormat="1" ht="15.75" thickTop="1">
      <c r="A74" s="534"/>
      <c r="B74" s="527">
        <f>B14</f>
        <v>111</v>
      </c>
      <c r="C74" s="535"/>
      <c r="D74" s="535"/>
      <c r="E74" s="535"/>
      <c r="F74" s="535"/>
      <c r="G74" s="502"/>
      <c r="H74" s="546"/>
      <c r="I74" s="546"/>
      <c r="J74" s="546"/>
      <c r="K74" s="546"/>
      <c r="L74" s="547"/>
      <c r="M74" s="548"/>
      <c r="N74" s="1266"/>
      <c r="O74" s="1266"/>
      <c r="P74" s="2418"/>
      <c r="Q74" s="541"/>
    </row>
    <row r="75" spans="1:17" s="450" customFormat="1" ht="15.75" thickBot="1">
      <c r="A75" s="550"/>
      <c r="B75" s="551"/>
      <c r="C75" s="552"/>
      <c r="D75" s="552"/>
      <c r="E75" s="552"/>
      <c r="F75" s="552"/>
      <c r="G75" s="552"/>
      <c r="H75" s="553"/>
      <c r="I75" s="553"/>
      <c r="J75" s="553"/>
      <c r="K75" s="553"/>
      <c r="L75" s="553"/>
      <c r="M75" s="554"/>
      <c r="N75" s="1266"/>
      <c r="O75" s="1266"/>
      <c r="P75" s="2416"/>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9"/>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5"/>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5"/>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5"/>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5"/>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5"/>
      <c r="Q81" s="483"/>
    </row>
    <row r="82" spans="1:17" ht="15.75" thickTop="1">
      <c r="A82" s="514"/>
      <c r="B82" s="527" t="s">
        <v>1751</v>
      </c>
      <c r="C82" s="520" t="s">
        <v>2409</v>
      </c>
      <c r="D82" s="520" t="s">
        <v>2410</v>
      </c>
      <c r="E82" s="520" t="s">
        <v>2411</v>
      </c>
      <c r="F82" s="520" t="s">
        <v>2412</v>
      </c>
      <c r="G82" s="520" t="s">
        <v>2413</v>
      </c>
      <c r="H82" s="520"/>
      <c r="I82" s="520"/>
      <c r="J82" s="520"/>
      <c r="K82" s="520"/>
      <c r="L82" s="520"/>
      <c r="M82" s="1458"/>
      <c r="N82" s="1265"/>
      <c r="O82" s="1265"/>
      <c r="P82" s="2415"/>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5"/>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5"/>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5"/>
      <c r="Q85" s="483"/>
    </row>
    <row r="86" spans="1:17" s="35" customFormat="1" ht="15.75" thickTop="1">
      <c r="A86" s="561"/>
      <c r="B86" s="519" t="s">
        <v>2415</v>
      </c>
      <c r="C86" s="535"/>
      <c r="D86" s="535"/>
      <c r="E86" s="535"/>
      <c r="F86" s="535"/>
      <c r="G86" s="535"/>
      <c r="H86" s="535"/>
      <c r="I86" s="535"/>
      <c r="J86" s="535"/>
      <c r="K86" s="535"/>
      <c r="L86" s="562"/>
      <c r="M86" s="563"/>
      <c r="N86" s="1263"/>
      <c r="O86" s="1263"/>
      <c r="P86" s="2415"/>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5"/>
      <c r="Q87" s="483"/>
    </row>
    <row r="88" spans="1:17" s="35" customFormat="1" ht="15.75" thickTop="1">
      <c r="A88" s="561"/>
      <c r="B88" s="519" t="s">
        <v>2416</v>
      </c>
      <c r="C88" s="2747" t="s">
        <v>2865</v>
      </c>
      <c r="D88" s="2747" t="s">
        <v>2867</v>
      </c>
      <c r="E88" s="535"/>
      <c r="F88" s="2748" t="s">
        <v>2869</v>
      </c>
      <c r="G88" s="535"/>
      <c r="H88" s="535"/>
      <c r="I88" s="535"/>
      <c r="J88" s="535"/>
      <c r="K88" s="535"/>
      <c r="L88" s="535"/>
      <c r="M88" s="563"/>
      <c r="N88" s="1263"/>
      <c r="O88" s="1263"/>
      <c r="P88" s="2415"/>
      <c r="Q88" s="483"/>
    </row>
    <row r="89" spans="1:17" s="35" customFormat="1" ht="15.75" thickBot="1">
      <c r="A89" s="561"/>
      <c r="B89" s="524"/>
      <c r="C89" s="564">
        <v>100</v>
      </c>
      <c r="D89" s="525">
        <f t="shared" ref="D89:M89" si="21">C89-$K26</f>
        <v>99.5</v>
      </c>
      <c r="E89" s="525">
        <f t="shared" si="21"/>
        <v>99</v>
      </c>
      <c r="F89" s="525">
        <f t="shared" si="21"/>
        <v>98.5</v>
      </c>
      <c r="G89" s="525">
        <f t="shared" si="21"/>
        <v>98</v>
      </c>
      <c r="H89" s="525">
        <f t="shared" si="21"/>
        <v>97.5</v>
      </c>
      <c r="I89" s="525">
        <f t="shared" si="21"/>
        <v>97</v>
      </c>
      <c r="J89" s="525">
        <f t="shared" si="21"/>
        <v>96.5</v>
      </c>
      <c r="K89" s="525">
        <f t="shared" si="21"/>
        <v>96</v>
      </c>
      <c r="L89" s="525">
        <f t="shared" si="21"/>
        <v>95.5</v>
      </c>
      <c r="M89" s="525">
        <f t="shared" si="21"/>
        <v>95</v>
      </c>
      <c r="N89" s="1265"/>
      <c r="O89" s="1265"/>
      <c r="P89" s="2415"/>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6"/>
      <c r="Q90" s="541"/>
    </row>
    <row r="91" spans="1:17" s="450" customFormat="1" ht="15.75" thickBot="1">
      <c r="A91" s="534"/>
      <c r="B91" s="524"/>
      <c r="C91" s="542"/>
      <c r="D91" s="542"/>
      <c r="E91" s="542"/>
      <c r="F91" s="542"/>
      <c r="G91" s="542"/>
      <c r="H91" s="544"/>
      <c r="I91" s="544"/>
      <c r="J91" s="544"/>
      <c r="K91" s="544"/>
      <c r="L91" s="544"/>
      <c r="M91" s="545"/>
      <c r="N91" s="1266"/>
      <c r="O91" s="1266"/>
      <c r="P91" s="2416"/>
      <c r="Q91" s="541"/>
    </row>
    <row r="92" spans="1:17" ht="15.75" thickTop="1">
      <c r="A92" s="514"/>
      <c r="B92" s="519" t="str">
        <f>B28</f>
        <v>楼层</v>
      </c>
      <c r="C92" s="535"/>
      <c r="D92" s="535"/>
      <c r="E92" s="535"/>
      <c r="F92" s="535"/>
      <c r="G92" s="565"/>
      <c r="H92" s="565"/>
      <c r="I92" s="565"/>
      <c r="J92" s="565"/>
      <c r="K92" s="566"/>
      <c r="L92" s="567"/>
      <c r="M92" s="568"/>
      <c r="N92" s="1264"/>
      <c r="O92" s="1264"/>
      <c r="P92" s="2415"/>
      <c r="Q92" s="483"/>
    </row>
    <row r="93" spans="1:17" ht="15.75" thickBot="1">
      <c r="A93" s="514"/>
      <c r="B93" s="524"/>
      <c r="C93" s="542"/>
      <c r="D93" s="516"/>
      <c r="E93" s="516"/>
      <c r="F93" s="516"/>
      <c r="G93" s="516"/>
      <c r="H93" s="516"/>
      <c r="I93" s="516"/>
      <c r="J93" s="516"/>
      <c r="K93" s="516"/>
      <c r="L93" s="516"/>
      <c r="M93" s="517"/>
      <c r="N93" s="1265"/>
      <c r="O93" s="1265"/>
      <c r="P93" s="2415"/>
      <c r="Q93" s="483"/>
    </row>
    <row r="94" spans="1:17" ht="15.75" thickTop="1">
      <c r="A94" s="514"/>
      <c r="B94" s="519">
        <f>B29</f>
        <v>111</v>
      </c>
      <c r="C94" s="535"/>
      <c r="D94" s="535"/>
      <c r="E94" s="535"/>
      <c r="F94" s="535"/>
      <c r="G94" s="565"/>
      <c r="H94" s="565"/>
      <c r="I94" s="565"/>
      <c r="J94" s="565"/>
      <c r="K94" s="566"/>
      <c r="L94" s="567"/>
      <c r="M94" s="568"/>
      <c r="N94" s="1264"/>
      <c r="O94" s="1264"/>
      <c r="P94" s="2415"/>
      <c r="Q94" s="483"/>
    </row>
    <row r="95" spans="1:17" ht="15.75" thickBot="1">
      <c r="A95" s="514"/>
      <c r="B95" s="524"/>
      <c r="C95" s="542"/>
      <c r="D95" s="542"/>
      <c r="E95" s="542"/>
      <c r="F95" s="542"/>
      <c r="G95" s="516"/>
      <c r="H95" s="516"/>
      <c r="I95" s="516"/>
      <c r="J95" s="516"/>
      <c r="K95" s="516"/>
      <c r="L95" s="516"/>
      <c r="M95" s="517"/>
      <c r="N95" s="1265"/>
      <c r="O95" s="1265"/>
      <c r="P95" s="2415"/>
      <c r="Q95" s="483"/>
    </row>
    <row r="96" spans="1:17" ht="15.75" thickTop="1">
      <c r="A96" s="514"/>
      <c r="B96" s="519">
        <f>B30</f>
        <v>111</v>
      </c>
      <c r="C96" s="535"/>
      <c r="D96" s="535"/>
      <c r="E96" s="535"/>
      <c r="F96" s="535"/>
      <c r="G96" s="565"/>
      <c r="H96" s="565"/>
      <c r="I96" s="565"/>
      <c r="J96" s="565"/>
      <c r="K96" s="566"/>
      <c r="L96" s="567"/>
      <c r="M96" s="568"/>
      <c r="N96" s="1264"/>
      <c r="O96" s="1264"/>
      <c r="P96" s="2415"/>
      <c r="Q96" s="483"/>
    </row>
    <row r="97" spans="1:17" ht="15.75" thickBot="1">
      <c r="A97" s="514"/>
      <c r="B97" s="524"/>
      <c r="C97" s="552"/>
      <c r="D97" s="552"/>
      <c r="E97" s="552"/>
      <c r="F97" s="552"/>
      <c r="G97" s="516"/>
      <c r="H97" s="516"/>
      <c r="I97" s="516"/>
      <c r="J97" s="516"/>
      <c r="K97" s="516"/>
      <c r="L97" s="516"/>
      <c r="M97" s="517"/>
      <c r="N97" s="1265"/>
      <c r="O97" s="1265"/>
      <c r="P97" s="2415"/>
      <c r="Q97" s="483"/>
    </row>
    <row r="98" spans="1:17" ht="15.75" thickTop="1">
      <c r="A98" s="514"/>
      <c r="B98" s="527">
        <f>B31</f>
        <v>111</v>
      </c>
      <c r="C98" s="569"/>
      <c r="D98" s="569"/>
      <c r="E98" s="569"/>
      <c r="F98" s="569"/>
      <c r="G98" s="569"/>
      <c r="H98" s="569"/>
      <c r="I98" s="569"/>
      <c r="J98" s="569"/>
      <c r="K98" s="570"/>
      <c r="L98" s="571"/>
      <c r="M98" s="572"/>
      <c r="N98" s="1264"/>
      <c r="O98" s="1264"/>
      <c r="P98" s="2415"/>
      <c r="Q98" s="483"/>
    </row>
    <row r="99" spans="1:17" ht="15.75" thickBot="1">
      <c r="A99" s="2421"/>
      <c r="B99" s="551"/>
      <c r="C99" s="573"/>
      <c r="D99" s="573"/>
      <c r="E99" s="573"/>
      <c r="F99" s="573"/>
      <c r="G99" s="573"/>
      <c r="H99" s="573"/>
      <c r="I99" s="573"/>
      <c r="J99" s="573"/>
      <c r="K99" s="573"/>
      <c r="L99" s="573"/>
      <c r="M99" s="574"/>
      <c r="N99" s="1265"/>
      <c r="O99" s="1265"/>
      <c r="P99" s="2415"/>
      <c r="Q99" s="483"/>
    </row>
    <row r="100" spans="1:17">
      <c r="A100" s="506" t="s">
        <v>2369</v>
      </c>
      <c r="B100" s="507" t="s">
        <v>2417</v>
      </c>
      <c r="C100" s="2749" t="s">
        <v>2872</v>
      </c>
      <c r="D100" s="509"/>
      <c r="E100" s="509"/>
      <c r="F100" s="509"/>
      <c r="G100" s="509"/>
      <c r="H100" s="509"/>
      <c r="I100" s="509"/>
      <c r="J100" s="509"/>
      <c r="K100" s="510"/>
      <c r="L100" s="511"/>
      <c r="M100" s="512"/>
      <c r="N100" s="1264"/>
      <c r="O100" s="1264"/>
      <c r="P100" s="2415"/>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5"/>
      <c r="Q101" s="483"/>
    </row>
    <row r="102" spans="1:17" ht="15.75" thickTop="1">
      <c r="A102" s="514"/>
      <c r="B102" s="519" t="s">
        <v>2418</v>
      </c>
      <c r="C102" s="560" t="str">
        <f>C103&amp;"(含)"&amp;"-"&amp;D103</f>
        <v>0(含)-60</v>
      </c>
      <c r="D102" s="560" t="str">
        <f t="shared" ref="D102:L102" si="23">D103&amp;"(含)"&amp;"-"&amp;E103</f>
        <v>60(含)-90</v>
      </c>
      <c r="E102" s="560" t="str">
        <f t="shared" si="23"/>
        <v>90(含)-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5"/>
      <c r="Q102" s="483"/>
    </row>
    <row r="103" spans="1:17" s="450" customFormat="1">
      <c r="A103" s="575"/>
      <c r="B103" s="576"/>
      <c r="C103" s="577">
        <v>0</v>
      </c>
      <c r="D103" s="577">
        <v>60</v>
      </c>
      <c r="E103" s="577">
        <v>90</v>
      </c>
      <c r="F103" s="577"/>
      <c r="G103" s="577"/>
      <c r="H103" s="577"/>
      <c r="I103" s="577"/>
      <c r="J103" s="578"/>
      <c r="K103" s="578"/>
      <c r="L103" s="579"/>
      <c r="M103" s="580"/>
      <c r="N103" s="1266"/>
      <c r="O103" s="1266"/>
      <c r="P103" s="2416"/>
      <c r="Q103" s="541"/>
    </row>
    <row r="104" spans="1:17" s="450" customFormat="1" ht="15.75" thickBot="1">
      <c r="A104" s="534"/>
      <c r="B104" s="524"/>
      <c r="C104" s="542">
        <v>100</v>
      </c>
      <c r="D104" s="516">
        <v>98</v>
      </c>
      <c r="E104" s="516">
        <v>96</v>
      </c>
      <c r="F104" s="516"/>
      <c r="G104" s="516"/>
      <c r="H104" s="516"/>
      <c r="I104" s="516"/>
      <c r="J104" s="516"/>
      <c r="K104" s="516"/>
      <c r="L104" s="516"/>
      <c r="M104" s="516"/>
      <c r="N104" s="1265"/>
      <c r="O104" s="1265"/>
      <c r="P104" s="2416"/>
      <c r="Q104" s="541"/>
    </row>
    <row r="105" spans="1:17" ht="15" thickTop="1">
      <c r="A105" s="581"/>
      <c r="B105" s="519" t="s">
        <v>2419</v>
      </c>
      <c r="C105" s="2747" t="s">
        <v>2874</v>
      </c>
      <c r="D105" s="535"/>
      <c r="E105" s="565"/>
      <c r="F105" s="565"/>
      <c r="G105" s="565"/>
      <c r="H105" s="565"/>
      <c r="I105" s="565"/>
      <c r="J105" s="565"/>
      <c r="K105" s="566"/>
      <c r="L105" s="567"/>
      <c r="M105" s="568"/>
      <c r="N105" s="1264"/>
      <c r="O105" s="1264"/>
      <c r="P105" s="2415"/>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5"/>
      <c r="Q106" s="483"/>
    </row>
    <row r="107" spans="1:17" ht="15" thickTop="1">
      <c r="A107" s="581"/>
      <c r="B107" s="519" t="s">
        <v>2420</v>
      </c>
      <c r="C107" s="2750" t="s">
        <v>2876</v>
      </c>
      <c r="D107" s="565"/>
      <c r="E107" s="565"/>
      <c r="F107" s="565"/>
      <c r="G107" s="565"/>
      <c r="H107" s="565"/>
      <c r="I107" s="565"/>
      <c r="J107" s="565"/>
      <c r="K107" s="566"/>
      <c r="L107" s="567"/>
      <c r="M107" s="568"/>
      <c r="N107" s="1264"/>
      <c r="O107" s="1264"/>
      <c r="P107" s="2415"/>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5"/>
      <c r="Q108" s="483"/>
    </row>
    <row r="109" spans="1:17" ht="15" thickTop="1">
      <c r="A109" s="581"/>
      <c r="B109" s="519" t="s">
        <v>2421</v>
      </c>
      <c r="C109" s="2747" t="s">
        <v>2885</v>
      </c>
      <c r="D109" s="535"/>
      <c r="E109" s="535"/>
      <c r="F109" s="565"/>
      <c r="G109" s="565"/>
      <c r="H109" s="565"/>
      <c r="I109" s="565"/>
      <c r="J109" s="565"/>
      <c r="K109" s="566"/>
      <c r="L109" s="567"/>
      <c r="M109" s="568"/>
      <c r="N109" s="1264"/>
      <c r="O109" s="1264"/>
      <c r="P109" s="2415"/>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5"/>
      <c r="Q110" s="483"/>
    </row>
    <row r="111" spans="1:17" s="450" customFormat="1" ht="15" thickTop="1">
      <c r="A111" s="575"/>
      <c r="B111" s="519" t="s">
        <v>2422</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6"/>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6"/>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6"/>
      <c r="Q113" s="541"/>
    </row>
    <row r="114" spans="1:17" ht="15" thickTop="1">
      <c r="A114" s="581"/>
      <c r="B114" s="519" t="s">
        <v>2423</v>
      </c>
      <c r="C114" s="2747" t="s">
        <v>2878</v>
      </c>
      <c r="D114" s="535"/>
      <c r="E114" s="565"/>
      <c r="F114" s="565"/>
      <c r="G114" s="565"/>
      <c r="H114" s="565"/>
      <c r="I114" s="565"/>
      <c r="J114" s="565"/>
      <c r="K114" s="566"/>
      <c r="L114" s="567"/>
      <c r="M114" s="568"/>
      <c r="N114" s="1264"/>
      <c r="O114" s="1264"/>
      <c r="P114" s="2415"/>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5"/>
      <c r="Q115" s="483"/>
    </row>
    <row r="116" spans="1:17" ht="15" thickTop="1">
      <c r="A116" s="581"/>
      <c r="B116" s="519" t="s">
        <v>2424</v>
      </c>
      <c r="C116" s="2747" t="s">
        <v>2879</v>
      </c>
      <c r="D116" s="535"/>
      <c r="E116" s="535"/>
      <c r="F116" s="535"/>
      <c r="G116" s="535"/>
      <c r="H116" s="565"/>
      <c r="I116" s="565"/>
      <c r="J116" s="565"/>
      <c r="K116" s="566"/>
      <c r="L116" s="567"/>
      <c r="M116" s="568"/>
      <c r="N116" s="1264"/>
      <c r="O116" s="1264"/>
      <c r="P116" s="2415"/>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5"/>
      <c r="Q117" s="483"/>
    </row>
    <row r="118" spans="1:17" ht="15" thickTop="1">
      <c r="A118" s="581"/>
      <c r="B118" s="519" t="s">
        <v>2425</v>
      </c>
      <c r="C118" s="2750" t="s">
        <v>2881</v>
      </c>
      <c r="D118" s="565"/>
      <c r="E118" s="565"/>
      <c r="F118" s="565"/>
      <c r="G118" s="565"/>
      <c r="H118" s="565"/>
      <c r="I118" s="565"/>
      <c r="J118" s="565"/>
      <c r="K118" s="566"/>
      <c r="L118" s="567"/>
      <c r="M118" s="568"/>
      <c r="N118" s="1264"/>
      <c r="O118" s="1264"/>
      <c r="P118" s="2415"/>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5"/>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6"/>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6"/>
      <c r="Q121" s="541"/>
    </row>
    <row r="122" spans="1:17" ht="15" thickTop="1">
      <c r="A122" s="581"/>
      <c r="B122" s="519" t="s">
        <v>2426</v>
      </c>
      <c r="C122" s="2747" t="s">
        <v>2883</v>
      </c>
      <c r="D122" s="2747" t="s">
        <v>2885</v>
      </c>
      <c r="E122" s="535"/>
      <c r="F122" s="565"/>
      <c r="G122" s="565"/>
      <c r="H122" s="565"/>
      <c r="I122" s="565"/>
      <c r="J122" s="565"/>
      <c r="K122" s="566"/>
      <c r="L122" s="567"/>
      <c r="M122" s="568"/>
      <c r="N122" s="1264"/>
      <c r="O122" s="1264"/>
      <c r="P122" s="2415"/>
      <c r="Q122" s="483"/>
    </row>
    <row r="123" spans="1:17" ht="15.75" thickBot="1">
      <c r="A123" s="514"/>
      <c r="B123" s="524"/>
      <c r="C123" s="525">
        <v>100</v>
      </c>
      <c r="D123" s="525">
        <f t="shared" ref="D123:M123" si="29">C123-$K42</f>
        <v>98</v>
      </c>
      <c r="E123" s="525">
        <f t="shared" si="29"/>
        <v>96</v>
      </c>
      <c r="F123" s="525">
        <f t="shared" si="29"/>
        <v>94</v>
      </c>
      <c r="G123" s="525">
        <f t="shared" si="29"/>
        <v>92</v>
      </c>
      <c r="H123" s="525">
        <f t="shared" si="29"/>
        <v>90</v>
      </c>
      <c r="I123" s="525">
        <f t="shared" si="29"/>
        <v>88</v>
      </c>
      <c r="J123" s="525">
        <f t="shared" si="29"/>
        <v>86</v>
      </c>
      <c r="K123" s="525">
        <f t="shared" si="29"/>
        <v>84</v>
      </c>
      <c r="L123" s="525">
        <f t="shared" si="29"/>
        <v>82</v>
      </c>
      <c r="M123" s="525">
        <f t="shared" si="29"/>
        <v>80</v>
      </c>
      <c r="N123" s="1265"/>
      <c r="O123" s="1265"/>
      <c r="P123" s="2415"/>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6"/>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5"/>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6"/>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6"/>
      <c r="Q127" s="541"/>
    </row>
    <row r="128" spans="1:17" ht="15" thickTop="1">
      <c r="A128" s="581"/>
      <c r="B128" s="519">
        <f>B45</f>
        <v>111</v>
      </c>
      <c r="C128" s="535"/>
      <c r="D128" s="535"/>
      <c r="E128" s="535"/>
      <c r="F128" s="535"/>
      <c r="G128" s="565"/>
      <c r="H128" s="565"/>
      <c r="I128" s="565"/>
      <c r="J128" s="565"/>
      <c r="K128" s="566"/>
      <c r="L128" s="567"/>
      <c r="M128" s="568"/>
      <c r="N128" s="1264"/>
      <c r="O128" s="1264"/>
      <c r="P128" s="2415"/>
      <c r="Q128" s="483"/>
    </row>
    <row r="129" spans="1:17" ht="15.75" thickBot="1">
      <c r="A129" s="514"/>
      <c r="B129" s="524"/>
      <c r="C129" s="542"/>
      <c r="D129" s="542"/>
      <c r="E129" s="542"/>
      <c r="F129" s="542"/>
      <c r="G129" s="516"/>
      <c r="H129" s="516"/>
      <c r="I129" s="516"/>
      <c r="J129" s="516"/>
      <c r="K129" s="516"/>
      <c r="L129" s="516"/>
      <c r="M129" s="517"/>
      <c r="N129" s="1265"/>
      <c r="O129" s="1265"/>
      <c r="P129" s="2415"/>
      <c r="Q129" s="483"/>
    </row>
    <row r="130" spans="1:17" ht="15" thickTop="1">
      <c r="A130" s="581"/>
      <c r="B130" s="527">
        <f>B46</f>
        <v>111</v>
      </c>
      <c r="C130" s="535"/>
      <c r="D130" s="535"/>
      <c r="E130" s="535"/>
      <c r="F130" s="535"/>
      <c r="G130" s="569"/>
      <c r="H130" s="569"/>
      <c r="I130" s="569"/>
      <c r="J130" s="569"/>
      <c r="K130" s="502"/>
      <c r="L130" s="503"/>
      <c r="M130" s="572"/>
      <c r="N130" s="1264"/>
      <c r="O130" s="1264"/>
      <c r="P130" s="2415"/>
      <c r="Q130" s="483"/>
    </row>
    <row r="131" spans="1:17" ht="15.75" thickBot="1">
      <c r="A131" s="2421"/>
      <c r="B131" s="551"/>
      <c r="C131" s="552"/>
      <c r="D131" s="552"/>
      <c r="E131" s="552"/>
      <c r="F131" s="552"/>
      <c r="G131" s="573"/>
      <c r="H131" s="573"/>
      <c r="I131" s="573"/>
      <c r="J131" s="573"/>
      <c r="K131" s="573"/>
      <c r="L131" s="573"/>
      <c r="M131" s="574"/>
      <c r="N131" s="1265"/>
      <c r="O131" s="1265"/>
      <c r="P131" s="2415"/>
      <c r="Q131" s="483"/>
    </row>
    <row r="136" spans="1:17" ht="15" thickBot="1">
      <c r="B136" s="2422" t="s">
        <v>2428</v>
      </c>
    </row>
    <row r="137" spans="1:17" ht="15">
      <c r="B137" s="2423" t="s">
        <v>2429</v>
      </c>
      <c r="C137" s="2424"/>
      <c r="D137" s="2424"/>
      <c r="E137" s="2424"/>
      <c r="F137" s="2424"/>
      <c r="G137" s="2425"/>
      <c r="H137" s="2426"/>
      <c r="I137" s="2427" t="s">
        <v>2430</v>
      </c>
      <c r="J137" s="2424"/>
      <c r="K137" s="2428"/>
    </row>
    <row r="138" spans="1:17" ht="15">
      <c r="B138" s="2429"/>
      <c r="C138" s="62" t="s">
        <v>2431</v>
      </c>
      <c r="D138" s="62" t="s">
        <v>2432</v>
      </c>
      <c r="E138" s="2430" t="s">
        <v>2433</v>
      </c>
      <c r="F138" s="2431" t="s">
        <v>2434</v>
      </c>
      <c r="G138" s="62" t="s">
        <v>2432</v>
      </c>
      <c r="H138" s="63" t="s">
        <v>2433</v>
      </c>
      <c r="I138" s="2432"/>
      <c r="J138" s="62" t="s">
        <v>2435</v>
      </c>
      <c r="K138" s="63" t="s">
        <v>2436</v>
      </c>
    </row>
    <row r="139" spans="1:17" ht="15">
      <c r="B139" s="1122">
        <v>6</v>
      </c>
      <c r="C139" s="1130">
        <v>96</v>
      </c>
      <c r="D139" s="2433" t="s">
        <v>2437</v>
      </c>
      <c r="E139" s="1131">
        <v>100</v>
      </c>
      <c r="F139" s="1132">
        <v>102.5</v>
      </c>
      <c r="G139" s="2433" t="s">
        <v>2437</v>
      </c>
      <c r="H139" s="1133">
        <v>105</v>
      </c>
      <c r="I139" s="2434" t="s">
        <v>2438</v>
      </c>
      <c r="J139" s="1130">
        <v>20</v>
      </c>
      <c r="K139" s="1124">
        <f>C145/(J139-2)</f>
        <v>4.0555555555555553E-3</v>
      </c>
    </row>
    <row r="140" spans="1:17" ht="15">
      <c r="B140" s="1123">
        <v>5</v>
      </c>
      <c r="C140" s="1134">
        <v>100</v>
      </c>
      <c r="D140" s="1134"/>
      <c r="E140" s="1135"/>
      <c r="F140" s="1136">
        <v>102</v>
      </c>
      <c r="G140" s="1134"/>
      <c r="H140" s="1137"/>
      <c r="I140" s="2435" t="s">
        <v>2439</v>
      </c>
      <c r="J140" s="217">
        <f>ROUNDUP((J139-1)/2,0)</f>
        <v>10</v>
      </c>
      <c r="K140" s="1125">
        <v>100</v>
      </c>
    </row>
    <row r="141" spans="1:17" ht="15">
      <c r="B141" s="1123">
        <v>4</v>
      </c>
      <c r="C141" s="1134">
        <v>102</v>
      </c>
      <c r="D141" s="1134"/>
      <c r="E141" s="1135"/>
      <c r="F141" s="1136">
        <v>101.5</v>
      </c>
      <c r="G141" s="1134"/>
      <c r="H141" s="1137"/>
      <c r="I141" s="2435" t="s">
        <v>2440</v>
      </c>
      <c r="J141" s="217">
        <v>1</v>
      </c>
      <c r="K141" s="1126">
        <f>ROUND(100+(J141-J140)*K139*100,1)</f>
        <v>96.4</v>
      </c>
    </row>
    <row r="142" spans="1:17" ht="15">
      <c r="B142" s="1123">
        <v>3</v>
      </c>
      <c r="C142" s="1134">
        <v>103</v>
      </c>
      <c r="D142" s="1134"/>
      <c r="E142" s="1135"/>
      <c r="F142" s="1136">
        <v>101</v>
      </c>
      <c r="G142" s="1134"/>
      <c r="H142" s="1137"/>
      <c r="I142" s="2435" t="s">
        <v>2441</v>
      </c>
      <c r="J142" s="217">
        <f>J139</f>
        <v>20</v>
      </c>
      <c r="K142" s="1139">
        <v>95</v>
      </c>
    </row>
    <row r="143" spans="1:17" ht="15">
      <c r="B143" s="1123">
        <v>2</v>
      </c>
      <c r="C143" s="1134">
        <v>100</v>
      </c>
      <c r="D143" s="1134"/>
      <c r="E143" s="1135"/>
      <c r="F143" s="1136">
        <v>100.5</v>
      </c>
      <c r="G143" s="1134"/>
      <c r="H143" s="1137"/>
      <c r="I143" s="2435" t="s">
        <v>2442</v>
      </c>
      <c r="J143" s="1134">
        <v>15</v>
      </c>
      <c r="K143" s="1126">
        <f>ROUND(100+(J143-J140)*K139*100,1)</f>
        <v>102</v>
      </c>
    </row>
    <row r="144" spans="1:17" ht="15">
      <c r="B144" s="1123">
        <v>1</v>
      </c>
      <c r="C144" s="1134">
        <v>98</v>
      </c>
      <c r="D144" s="2436" t="s">
        <v>2443</v>
      </c>
      <c r="E144" s="1135">
        <v>102</v>
      </c>
      <c r="F144" s="1138">
        <v>100</v>
      </c>
      <c r="G144" s="2436" t="s">
        <v>2443</v>
      </c>
      <c r="H144" s="1137">
        <v>105</v>
      </c>
      <c r="I144" s="2435" t="s">
        <v>2442</v>
      </c>
      <c r="J144" s="1134">
        <v>18</v>
      </c>
      <c r="K144" s="1126">
        <f>ROUND(100+(J144-J140)*K139*100,1)</f>
        <v>103.2</v>
      </c>
    </row>
    <row r="145" spans="2:11" ht="15.75" thickBot="1">
      <c r="B145" s="2437" t="s">
        <v>2444</v>
      </c>
      <c r="C145" s="1128">
        <f>ROUND(MAX(C139:C144)/MIN(C139:C144)-1,3)</f>
        <v>7.2999999999999995E-2</v>
      </c>
      <c r="D145" s="1129"/>
      <c r="E145" s="1129"/>
      <c r="F145" s="2438" t="s">
        <v>2445</v>
      </c>
      <c r="G145" s="2439"/>
      <c r="H145" s="2440"/>
      <c r="I145" s="2441" t="s">
        <v>2442</v>
      </c>
      <c r="J145" s="1140">
        <v>8</v>
      </c>
      <c r="K145" s="1127">
        <f>ROUND(100+(J145-J140)*K139*100,1)</f>
        <v>99.2</v>
      </c>
    </row>
    <row r="147" spans="2:11">
      <c r="B147" s="2422" t="s">
        <v>2446</v>
      </c>
    </row>
    <row r="148" spans="2:11">
      <c r="B148" s="242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9"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2448</v>
      </c>
      <c r="C1" s="1717"/>
      <c r="D1" s="2442"/>
      <c r="E1" s="2371"/>
      <c r="F1" s="1731" t="s">
        <v>2338</v>
      </c>
      <c r="G1" s="1730"/>
      <c r="H1" s="1730"/>
      <c r="I1" s="1730"/>
      <c r="J1" s="1730"/>
      <c r="K1" s="1732"/>
      <c r="L1" s="1724"/>
      <c r="M1" s="1725"/>
      <c r="N1" s="1725"/>
      <c r="O1" s="1725"/>
      <c r="P1" s="2372"/>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3"/>
      <c r="E2" s="2443" t="e">
        <f ca="1">SUMIF(INDIRECT("'"&amp;G2&amp;"'"&amp;"!A:A"),"承租人权益价值",INDIRECT("'"&amp;G2&amp;"'"&amp;"!c:c"))</f>
        <v>#REF!</v>
      </c>
      <c r="F2" s="2374" t="str">
        <f>C2</f>
        <v>元</v>
      </c>
      <c r="G2" s="2375"/>
      <c r="H2" s="978"/>
      <c r="I2" s="978"/>
      <c r="J2" s="978"/>
      <c r="K2" s="978"/>
      <c r="L2" s="1238"/>
      <c r="M2" s="1239"/>
      <c r="N2" s="1239"/>
      <c r="O2" s="1239"/>
      <c r="P2" s="2444"/>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87.21</v>
      </c>
      <c r="E3" s="2445"/>
      <c r="F3" s="979"/>
      <c r="G3" s="978"/>
      <c r="H3" s="978"/>
      <c r="I3" s="978"/>
      <c r="J3" s="978"/>
      <c r="K3" s="980"/>
      <c r="L3" s="1238"/>
      <c r="M3" s="1239"/>
      <c r="N3" s="1239"/>
      <c r="O3" s="1239"/>
      <c r="P3" s="2444"/>
      <c r="Q3" s="745"/>
      <c r="R3" s="745"/>
      <c r="S3" s="745"/>
      <c r="T3" s="745"/>
      <c r="U3" s="745"/>
      <c r="V3" s="745"/>
      <c r="W3" s="745"/>
      <c r="X3" s="745"/>
      <c r="Y3" s="745"/>
      <c r="Z3" s="745"/>
      <c r="AA3" s="745"/>
      <c r="AB3" s="74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60" t="s">
        <v>2343</v>
      </c>
      <c r="AC4" s="3047" t="s">
        <v>2344</v>
      </c>
    </row>
    <row r="5" spans="1:29" ht="15">
      <c r="A5" s="381"/>
      <c r="B5" s="382"/>
      <c r="C5" s="3035" t="s">
        <v>2347</v>
      </c>
      <c r="D5" s="3036"/>
      <c r="E5" s="3061"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60"/>
      <c r="AC5" s="3048"/>
    </row>
    <row r="6" spans="1:29" ht="15.75" thickBot="1">
      <c r="A6" s="383"/>
      <c r="B6" s="384"/>
      <c r="C6" s="3033" t="s">
        <v>2351</v>
      </c>
      <c r="D6" s="3034"/>
      <c r="E6" s="3065" t="s">
        <v>2351</v>
      </c>
      <c r="F6" s="3066"/>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60"/>
      <c r="AC6" s="3049"/>
    </row>
    <row r="7" spans="1:29" s="35" customFormat="1" ht="15.75" thickBot="1">
      <c r="A7" s="385" t="s">
        <v>2353</v>
      </c>
      <c r="B7" s="386"/>
      <c r="C7" s="387">
        <f>'数据-取费表'!B2</f>
        <v>43328</v>
      </c>
      <c r="D7" s="388">
        <v>100</v>
      </c>
      <c r="E7" s="389"/>
      <c r="F7" s="390">
        <f>SUMIF(58:58,YEAR(E7)&amp;"-"&amp;MONTH(E7),59:59)</f>
        <v>0</v>
      </c>
      <c r="G7" s="389"/>
      <c r="H7" s="388">
        <f>SUMIF(58:58,YEAR(G7)&amp;"-"&amp;MONTH(G7),59:59)</f>
        <v>0</v>
      </c>
      <c r="I7" s="389"/>
      <c r="J7" s="388">
        <f>SUMIF(58:58,YEAR(I7)&amp;"-"&amp;MONTH(I7),59:59)</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046"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046"/>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046"/>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8">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046"/>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8">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046"/>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90">
        <v>111</v>
      </c>
      <c r="C14" s="2391"/>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046"/>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7" t="s">
        <v>2364</v>
      </c>
      <c r="B15" s="26" t="s">
        <v>2449</v>
      </c>
      <c r="C15" s="2392"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024" t="s">
        <v>2365</v>
      </c>
      <c r="Q15" s="1889" t="str">
        <f t="shared" si="6"/>
        <v>商业繁华度</v>
      </c>
      <c r="R15" s="751" t="s">
        <v>25</v>
      </c>
      <c r="S15" s="752">
        <f t="shared" si="0"/>
        <v>100</v>
      </c>
      <c r="T15" s="751" t="s">
        <v>25</v>
      </c>
      <c r="U15" s="752">
        <f t="shared" si="1"/>
        <v>100</v>
      </c>
      <c r="V15" s="751" t="s">
        <v>25</v>
      </c>
      <c r="W15" s="752">
        <f t="shared" si="2"/>
        <v>100</v>
      </c>
      <c r="X15" s="1890"/>
      <c r="Y15" s="3026"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025"/>
      <c r="Q16" s="1889"/>
      <c r="R16" s="751"/>
      <c r="S16" s="752"/>
      <c r="T16" s="751"/>
      <c r="U16" s="752"/>
      <c r="V16" s="751"/>
      <c r="W16" s="752"/>
      <c r="X16" s="1890"/>
      <c r="Y16" s="3027"/>
      <c r="Z16" s="1892"/>
      <c r="AA16" s="1893">
        <v>1</v>
      </c>
      <c r="AB16" s="1893">
        <v>1</v>
      </c>
      <c r="AC16" s="1893">
        <v>1</v>
      </c>
    </row>
    <row r="17" spans="1:29" ht="142.5">
      <c r="A17" s="406"/>
      <c r="B17" s="429" t="s">
        <v>1750</v>
      </c>
      <c r="C17" s="2395" t="str">
        <f>估价对象房地状况!C6</f>
        <v>估价对象周边有350路、553路、571路、619路、640路、650路等多条公交线路，距最近的地铁站6号线（褡裢站）约3500米，综合评价交通便捷度一般</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025"/>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434"/>
      <c r="C18" s="435"/>
      <c r="D18" s="428"/>
      <c r="E18" s="1459"/>
      <c r="F18" s="431"/>
      <c r="G18" s="2396"/>
      <c r="H18" s="425"/>
      <c r="I18" s="1459"/>
      <c r="J18" s="425"/>
      <c r="K18" s="597"/>
      <c r="L18" s="1250"/>
      <c r="M18" s="1241"/>
      <c r="N18" s="1241"/>
      <c r="O18" s="1241"/>
      <c r="P18" s="3025"/>
      <c r="Q18" s="1889"/>
      <c r="R18" s="751"/>
      <c r="S18" s="752"/>
      <c r="T18" s="751"/>
      <c r="U18" s="752"/>
      <c r="V18" s="751"/>
      <c r="W18" s="752"/>
      <c r="X18" s="1890"/>
      <c r="Y18" s="3027"/>
      <c r="Z18" s="1892"/>
      <c r="AA18" s="1893">
        <v>1</v>
      </c>
      <c r="AB18" s="1893">
        <v>1</v>
      </c>
      <c r="AC18" s="1893">
        <v>1</v>
      </c>
    </row>
    <row r="19" spans="1:29" ht="42.75">
      <c r="A19" s="406"/>
      <c r="B19" s="429" t="s">
        <v>2450</v>
      </c>
      <c r="C19" s="2395"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025"/>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434"/>
      <c r="C20" s="424"/>
      <c r="D20" s="425"/>
      <c r="E20" s="426"/>
      <c r="F20" s="427"/>
      <c r="G20" s="2393"/>
      <c r="H20" s="425"/>
      <c r="I20" s="426"/>
      <c r="J20" s="425"/>
      <c r="K20" s="597"/>
      <c r="L20" s="1250"/>
      <c r="M20" s="1241"/>
      <c r="N20" s="1241"/>
      <c r="O20" s="1241"/>
      <c r="P20" s="3025"/>
      <c r="Q20" s="1889"/>
      <c r="R20" s="751"/>
      <c r="S20" s="752"/>
      <c r="T20" s="751"/>
      <c r="U20" s="752"/>
      <c r="V20" s="751"/>
      <c r="W20" s="752"/>
      <c r="X20" s="1890"/>
      <c r="Y20" s="3027"/>
      <c r="Z20" s="1892"/>
      <c r="AA20" s="1893">
        <v>1</v>
      </c>
      <c r="AB20" s="1893">
        <v>1</v>
      </c>
      <c r="AC20" s="1893">
        <v>1</v>
      </c>
    </row>
    <row r="21" spans="1:29" ht="15">
      <c r="A21" s="406"/>
      <c r="B21" s="2397" t="s">
        <v>2451</v>
      </c>
      <c r="C21" s="2395"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025"/>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7"/>
      <c r="C22" s="435"/>
      <c r="D22" s="425"/>
      <c r="E22" s="424"/>
      <c r="F22" s="427"/>
      <c r="G22" s="424"/>
      <c r="H22" s="425"/>
      <c r="I22" s="424"/>
      <c r="J22" s="425"/>
      <c r="K22" s="1460"/>
      <c r="L22" s="1250"/>
      <c r="M22" s="1241"/>
      <c r="N22" s="1241"/>
      <c r="O22" s="1241"/>
      <c r="P22" s="3025"/>
      <c r="Q22" s="1889"/>
      <c r="R22" s="751"/>
      <c r="S22" s="752"/>
      <c r="T22" s="751"/>
      <c r="U22" s="752"/>
      <c r="V22" s="751"/>
      <c r="W22" s="752"/>
      <c r="X22" s="1890"/>
      <c r="Y22" s="3027"/>
      <c r="Z22" s="1892"/>
      <c r="AA22" s="1893">
        <v>1</v>
      </c>
      <c r="AB22" s="1893">
        <v>1</v>
      </c>
      <c r="AC22" s="1893">
        <v>1</v>
      </c>
    </row>
    <row r="23" spans="1:29" ht="99.75">
      <c r="A23" s="406"/>
      <c r="B23" s="429" t="s">
        <v>1755</v>
      </c>
      <c r="C23" s="2446" t="str">
        <f>估价对象房地状况!C9</f>
        <v>区域自然环境：东坝郊野公园；人文环境：京城体育休闲公园、北京市东郊殡仪馆；综合评价环境状况一般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025"/>
      <c r="Q23" s="1889" t="str">
        <f>B23</f>
        <v>自然及人文环境</v>
      </c>
      <c r="R23" s="751" t="s">
        <v>25</v>
      </c>
      <c r="S23" s="752">
        <f>F23</f>
        <v>100</v>
      </c>
      <c r="T23" s="751" t="s">
        <v>25</v>
      </c>
      <c r="U23" s="752">
        <f>H23</f>
        <v>100</v>
      </c>
      <c r="V23" s="751" t="s">
        <v>25</v>
      </c>
      <c r="W23" s="752">
        <f>J23</f>
        <v>100</v>
      </c>
      <c r="X23" s="1890"/>
      <c r="Y23" s="3027"/>
      <c r="Z23" s="1892" t="str">
        <f>Q23</f>
        <v>自然及人文环境</v>
      </c>
      <c r="AA23" s="1893">
        <f t="shared" si="3"/>
        <v>1</v>
      </c>
      <c r="AB23" s="1893">
        <f t="shared" si="4"/>
        <v>1</v>
      </c>
      <c r="AC23" s="1893">
        <f t="shared" si="5"/>
        <v>1</v>
      </c>
    </row>
    <row r="24" spans="1:29" ht="15">
      <c r="A24" s="406"/>
      <c r="B24" s="434"/>
      <c r="C24" s="424"/>
      <c r="D24" s="425"/>
      <c r="E24" s="426"/>
      <c r="F24" s="427"/>
      <c r="G24" s="2393"/>
      <c r="H24" s="425"/>
      <c r="I24" s="426"/>
      <c r="J24" s="425"/>
      <c r="K24" s="597"/>
      <c r="L24" s="1250"/>
      <c r="M24" s="1241"/>
      <c r="N24" s="1241"/>
      <c r="O24" s="1241"/>
      <c r="P24" s="3025"/>
      <c r="Q24" s="1889"/>
      <c r="R24" s="751"/>
      <c r="S24" s="752"/>
      <c r="T24" s="751"/>
      <c r="U24" s="752"/>
      <c r="V24" s="751"/>
      <c r="W24" s="752"/>
      <c r="X24" s="1890"/>
      <c r="Y24" s="3027"/>
      <c r="Z24" s="1892"/>
      <c r="AA24" s="1893">
        <v>1</v>
      </c>
      <c r="AB24" s="1893">
        <v>1</v>
      </c>
      <c r="AC24" s="1893">
        <v>1</v>
      </c>
    </row>
    <row r="25" spans="1:29" ht="15">
      <c r="A25" s="406"/>
      <c r="B25" s="400" t="s">
        <v>2452</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025"/>
      <c r="Q25" s="1889" t="str">
        <f t="shared" ref="Q25:Q46" si="11">B25</f>
        <v>临街状况</v>
      </c>
      <c r="R25" s="751" t="s">
        <v>25</v>
      </c>
      <c r="S25" s="752">
        <f>F25</f>
        <v>100</v>
      </c>
      <c r="T25" s="751" t="s">
        <v>25</v>
      </c>
      <c r="U25" s="752">
        <f>H25</f>
        <v>100</v>
      </c>
      <c r="V25" s="751" t="s">
        <v>25</v>
      </c>
      <c r="W25" s="752">
        <f>J25</f>
        <v>100</v>
      </c>
      <c r="X25" s="1890"/>
      <c r="Y25" s="3027"/>
      <c r="Z25" s="1892" t="str">
        <f>Q25</f>
        <v>临街状况</v>
      </c>
      <c r="AA25" s="1893">
        <f t="shared" si="3"/>
        <v>1</v>
      </c>
      <c r="AB25" s="1893">
        <f t="shared" si="4"/>
        <v>1</v>
      </c>
      <c r="AC25" s="1893">
        <f t="shared" si="5"/>
        <v>1</v>
      </c>
    </row>
    <row r="26" spans="1:29" ht="15">
      <c r="A26" s="406"/>
      <c r="B26" s="2401" t="s">
        <v>2453</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025"/>
      <c r="Q26" s="1889" t="str">
        <f t="shared" si="11"/>
        <v>平面位置/可视性</v>
      </c>
      <c r="R26" s="751" t="s">
        <v>25</v>
      </c>
      <c r="S26" s="752">
        <f>F26</f>
        <v>100</v>
      </c>
      <c r="T26" s="751" t="s">
        <v>25</v>
      </c>
      <c r="U26" s="752">
        <f>H26</f>
        <v>100</v>
      </c>
      <c r="V26" s="751" t="s">
        <v>25</v>
      </c>
      <c r="W26" s="752">
        <f>J26</f>
        <v>100</v>
      </c>
      <c r="X26" s="1890"/>
      <c r="Y26" s="3027"/>
      <c r="Z26" s="1892" t="str">
        <f>Q26</f>
        <v>平面位置/可视性</v>
      </c>
      <c r="AA26" s="1893">
        <f t="shared" si="3"/>
        <v>1</v>
      </c>
      <c r="AB26" s="1893">
        <f t="shared" si="4"/>
        <v>1</v>
      </c>
      <c r="AC26" s="1893">
        <f t="shared" si="5"/>
        <v>1</v>
      </c>
    </row>
    <row r="27" spans="1:29" s="35" customFormat="1" ht="15">
      <c r="A27" s="409"/>
      <c r="B27" s="429" t="s">
        <v>2454</v>
      </c>
      <c r="C27" s="2447"/>
      <c r="D27" s="441">
        <v>100</v>
      </c>
      <c r="E27" s="2447"/>
      <c r="F27" s="443">
        <f>SUMIF(90:90,E27,91:91)-SUMIF(90:90,C27,91:91)+100</f>
        <v>100</v>
      </c>
      <c r="G27" s="2447"/>
      <c r="H27" s="441">
        <f>SUMIF(90:90,G27,91:91)-SUMIF(90:90,C27,91:91)+100</f>
        <v>100</v>
      </c>
      <c r="I27" s="2447"/>
      <c r="J27" s="441">
        <f>SUMIF(90:90,I27,91:91)-SUMIF(90:90,C27,91:91)+100</f>
        <v>100</v>
      </c>
      <c r="K27" s="594"/>
      <c r="L27" s="1242"/>
      <c r="M27" s="1243"/>
      <c r="N27" s="1243"/>
      <c r="O27" s="1243"/>
      <c r="P27" s="3025"/>
      <c r="Q27" s="1877" t="str">
        <f t="shared" si="11"/>
        <v>人流量</v>
      </c>
      <c r="R27" s="747" t="s">
        <v>25</v>
      </c>
      <c r="S27" s="748">
        <f>F27</f>
        <v>100</v>
      </c>
      <c r="T27" s="747" t="s">
        <v>25</v>
      </c>
      <c r="U27" s="748">
        <f>H27</f>
        <v>100</v>
      </c>
      <c r="V27" s="747" t="s">
        <v>25</v>
      </c>
      <c r="W27" s="748">
        <f>J27</f>
        <v>100</v>
      </c>
      <c r="X27" s="749"/>
      <c r="Y27" s="3027"/>
      <c r="Z27" s="23" t="str">
        <f>Q27</f>
        <v>人流量</v>
      </c>
      <c r="AA27" s="1893">
        <f>D27/F27</f>
        <v>1</v>
      </c>
      <c r="AB27" s="1893">
        <f>D27/H27</f>
        <v>1</v>
      </c>
      <c r="AC27" s="1893">
        <f>D27/J27</f>
        <v>1</v>
      </c>
    </row>
    <row r="28" spans="1:29" ht="15">
      <c r="A28" s="406"/>
      <c r="B28" s="400" t="s">
        <v>2455</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025"/>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027"/>
      <c r="Z28" s="1892" t="str">
        <f t="shared" ref="Z28:Z46" si="15">Q28</f>
        <v>楼层</v>
      </c>
      <c r="AA28" s="1893">
        <f t="shared" si="3"/>
        <v>1</v>
      </c>
      <c r="AB28" s="1893">
        <f t="shared" si="4"/>
        <v>1</v>
      </c>
      <c r="AC28" s="1893">
        <f t="shared" si="5"/>
        <v>1</v>
      </c>
    </row>
    <row r="29" spans="1:29" ht="15">
      <c r="A29" s="406"/>
      <c r="B29" s="2401">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025"/>
      <c r="Q29" s="1889">
        <f t="shared" si="11"/>
        <v>111</v>
      </c>
      <c r="R29" s="751" t="s">
        <v>25</v>
      </c>
      <c r="S29" s="752">
        <f t="shared" si="12"/>
        <v>100</v>
      </c>
      <c r="T29" s="751" t="s">
        <v>25</v>
      </c>
      <c r="U29" s="752">
        <f t="shared" si="13"/>
        <v>100</v>
      </c>
      <c r="V29" s="751" t="s">
        <v>25</v>
      </c>
      <c r="W29" s="752">
        <f t="shared" si="14"/>
        <v>100</v>
      </c>
      <c r="X29" s="1890"/>
      <c r="Y29" s="3027"/>
      <c r="Z29" s="1892">
        <f t="shared" si="15"/>
        <v>111</v>
      </c>
      <c r="AA29" s="1893">
        <f t="shared" si="3"/>
        <v>1</v>
      </c>
      <c r="AB29" s="1893">
        <f t="shared" si="4"/>
        <v>1</v>
      </c>
      <c r="AC29" s="1893">
        <f t="shared" si="5"/>
        <v>1</v>
      </c>
    </row>
    <row r="30" spans="1:29" ht="15">
      <c r="A30" s="406"/>
      <c r="B30" s="2401">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025"/>
      <c r="Q30" s="1889">
        <f t="shared" si="11"/>
        <v>111</v>
      </c>
      <c r="R30" s="751" t="s">
        <v>25</v>
      </c>
      <c r="S30" s="752">
        <f t="shared" si="12"/>
        <v>100</v>
      </c>
      <c r="T30" s="751" t="s">
        <v>25</v>
      </c>
      <c r="U30" s="752">
        <f t="shared" si="13"/>
        <v>100</v>
      </c>
      <c r="V30" s="751" t="s">
        <v>25</v>
      </c>
      <c r="W30" s="752">
        <f t="shared" si="14"/>
        <v>100</v>
      </c>
      <c r="X30" s="1890"/>
      <c r="Y30" s="3027"/>
      <c r="Z30" s="1892">
        <f t="shared" si="15"/>
        <v>111</v>
      </c>
      <c r="AA30" s="1893">
        <f t="shared" si="3"/>
        <v>1</v>
      </c>
      <c r="AB30" s="1893">
        <f t="shared" si="4"/>
        <v>1</v>
      </c>
      <c r="AC30" s="1893">
        <f t="shared" si="5"/>
        <v>1</v>
      </c>
    </row>
    <row r="31" spans="1:29" ht="15.75" thickBot="1">
      <c r="A31" s="414"/>
      <c r="B31" s="2401">
        <v>111</v>
      </c>
      <c r="C31" s="2391"/>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025"/>
      <c r="Q31" s="1889">
        <f t="shared" si="11"/>
        <v>111</v>
      </c>
      <c r="R31" s="751" t="s">
        <v>25</v>
      </c>
      <c r="S31" s="752">
        <f t="shared" si="12"/>
        <v>100</v>
      </c>
      <c r="T31" s="751" t="s">
        <v>25</v>
      </c>
      <c r="U31" s="752">
        <f t="shared" si="13"/>
        <v>100</v>
      </c>
      <c r="V31" s="751" t="s">
        <v>25</v>
      </c>
      <c r="W31" s="752">
        <f t="shared" si="14"/>
        <v>100</v>
      </c>
      <c r="X31" s="1890"/>
      <c r="Y31" s="3027"/>
      <c r="Z31" s="1892">
        <f t="shared" si="15"/>
        <v>111</v>
      </c>
      <c r="AA31" s="1893">
        <f t="shared" si="3"/>
        <v>1</v>
      </c>
      <c r="AB31" s="1893">
        <f t="shared" si="4"/>
        <v>1</v>
      </c>
      <c r="AC31" s="1893">
        <f t="shared" si="5"/>
        <v>1</v>
      </c>
    </row>
    <row r="32" spans="1:29" ht="15">
      <c r="A32" s="417" t="s">
        <v>2369</v>
      </c>
      <c r="B32" s="28" t="s">
        <v>2456</v>
      </c>
      <c r="C32" s="2402"/>
      <c r="D32" s="446">
        <v>100</v>
      </c>
      <c r="E32" s="2402"/>
      <c r="F32" s="440">
        <f>SUMIF(100:100,E32,101:101)-SUMIF(100:100,C32,101:101)+100</f>
        <v>100</v>
      </c>
      <c r="G32" s="2402"/>
      <c r="H32" s="413">
        <f>SUMIF(100:100,G32,101:101)-SUMIF(100:100,C32,101:101)+100</f>
        <v>100</v>
      </c>
      <c r="I32" s="2402"/>
      <c r="J32" s="446">
        <f>SUMIF(100:100,I32,101:101)-SUMIF(100:100,C32,101:101)+100</f>
        <v>100</v>
      </c>
      <c r="K32" s="594"/>
      <c r="L32" s="1250"/>
      <c r="M32" s="1241"/>
      <c r="N32" s="1241"/>
      <c r="O32" s="1241"/>
      <c r="P32" s="3028" t="s">
        <v>2371</v>
      </c>
      <c r="Q32" s="1889" t="str">
        <f t="shared" si="11"/>
        <v>商业类型</v>
      </c>
      <c r="R32" s="751" t="s">
        <v>25</v>
      </c>
      <c r="S32" s="752">
        <f t="shared" si="12"/>
        <v>100</v>
      </c>
      <c r="T32" s="751" t="s">
        <v>25</v>
      </c>
      <c r="U32" s="752">
        <f t="shared" si="13"/>
        <v>100</v>
      </c>
      <c r="V32" s="751" t="s">
        <v>25</v>
      </c>
      <c r="W32" s="752">
        <f t="shared" si="14"/>
        <v>100</v>
      </c>
      <c r="X32" s="1890"/>
      <c r="Y32" s="3031"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029"/>
      <c r="Q33" s="753" t="str">
        <f t="shared" si="11"/>
        <v>项目建筑规模</v>
      </c>
      <c r="R33" s="754" t="s">
        <v>25</v>
      </c>
      <c r="S33" s="755" t="e">
        <f t="shared" si="12"/>
        <v>#N/A</v>
      </c>
      <c r="T33" s="754" t="s">
        <v>25</v>
      </c>
      <c r="U33" s="755" t="e">
        <f t="shared" si="13"/>
        <v>#N/A</v>
      </c>
      <c r="V33" s="754" t="s">
        <v>25</v>
      </c>
      <c r="W33" s="755" t="e">
        <f t="shared" si="14"/>
        <v>#N/A</v>
      </c>
      <c r="X33" s="756"/>
      <c r="Y33" s="3031"/>
      <c r="Z33" s="757" t="str">
        <f t="shared" si="15"/>
        <v>项目建筑规模</v>
      </c>
      <c r="AA33" s="1893" t="e">
        <f t="shared" si="3"/>
        <v>#N/A</v>
      </c>
      <c r="AB33" s="1893" t="e">
        <f t="shared" si="4"/>
        <v>#N/A</v>
      </c>
      <c r="AC33" s="1893" t="e">
        <f t="shared" si="5"/>
        <v>#N/A</v>
      </c>
    </row>
    <row r="34" spans="1:29" ht="15">
      <c r="A34" s="451"/>
      <c r="B34" s="400" t="s">
        <v>2373</v>
      </c>
      <c r="C34" s="2404"/>
      <c r="D34" s="413">
        <v>100</v>
      </c>
      <c r="E34" s="2405"/>
      <c r="F34" s="440">
        <f>SUMIF(105:105,E34,106:106)-SUMIF(105:105,C34,106:106)+100</f>
        <v>100</v>
      </c>
      <c r="G34" s="2404"/>
      <c r="H34" s="413">
        <f>SUMIF(105:105,G34,106:106)-SUMIF(105:105,C34,106:106)+100</f>
        <v>100</v>
      </c>
      <c r="I34" s="2404"/>
      <c r="J34" s="413">
        <f>SUMIF(105:105,I34,106:106)-SUMIF(105:105,C34,106:106)+100</f>
        <v>100</v>
      </c>
      <c r="K34" s="594"/>
      <c r="L34" s="1250"/>
      <c r="M34" s="1241"/>
      <c r="N34" s="1241"/>
      <c r="O34" s="1241"/>
      <c r="P34" s="3029"/>
      <c r="Q34" s="1889" t="str">
        <f t="shared" si="11"/>
        <v>建筑结构</v>
      </c>
      <c r="R34" s="751" t="s">
        <v>25</v>
      </c>
      <c r="S34" s="752">
        <f t="shared" si="12"/>
        <v>100</v>
      </c>
      <c r="T34" s="751" t="s">
        <v>25</v>
      </c>
      <c r="U34" s="752">
        <f t="shared" si="13"/>
        <v>100</v>
      </c>
      <c r="V34" s="751" t="s">
        <v>25</v>
      </c>
      <c r="W34" s="752">
        <f t="shared" si="14"/>
        <v>100</v>
      </c>
      <c r="X34" s="1890"/>
      <c r="Y34" s="3031"/>
      <c r="Z34" s="1892" t="str">
        <f t="shared" si="15"/>
        <v>建筑结构</v>
      </c>
      <c r="AA34" s="1893">
        <f t="shared" si="3"/>
        <v>1</v>
      </c>
      <c r="AB34" s="1893">
        <f t="shared" si="4"/>
        <v>1</v>
      </c>
      <c r="AC34" s="1893">
        <f t="shared" si="5"/>
        <v>1</v>
      </c>
    </row>
    <row r="35" spans="1:29" ht="15">
      <c r="A35" s="451"/>
      <c r="B35" s="400" t="s">
        <v>2457</v>
      </c>
      <c r="C35" s="2400"/>
      <c r="D35" s="413">
        <v>100</v>
      </c>
      <c r="E35" s="2400"/>
      <c r="F35" s="440">
        <f>SUMIF(107:107,E35,108:108)-SUMIF(107:107,C35,108:108)+100</f>
        <v>100</v>
      </c>
      <c r="G35" s="2400"/>
      <c r="H35" s="413">
        <f>SUMIF(107:107,G35,108:108)-SUMIF(107:107,C35,108:108)+100</f>
        <v>100</v>
      </c>
      <c r="I35" s="2400"/>
      <c r="J35" s="413">
        <f>SUMIF(107:107,I35,108:108)-SUMIF(107:107,C35,108:108)+100</f>
        <v>100</v>
      </c>
      <c r="K35" s="594"/>
      <c r="L35" s="1250"/>
      <c r="M35" s="1241"/>
      <c r="N35" s="1241"/>
      <c r="O35" s="1241"/>
      <c r="P35" s="3029"/>
      <c r="Q35" s="1889" t="str">
        <f t="shared" si="11"/>
        <v>公共部分装修</v>
      </c>
      <c r="R35" s="751" t="s">
        <v>25</v>
      </c>
      <c r="S35" s="752">
        <f t="shared" si="12"/>
        <v>100</v>
      </c>
      <c r="T35" s="751" t="s">
        <v>25</v>
      </c>
      <c r="U35" s="752">
        <f t="shared" si="13"/>
        <v>100</v>
      </c>
      <c r="V35" s="751" t="s">
        <v>25</v>
      </c>
      <c r="W35" s="752">
        <f t="shared" si="14"/>
        <v>100</v>
      </c>
      <c r="X35" s="1890"/>
      <c r="Y35" s="3031"/>
      <c r="Z35" s="1892" t="str">
        <f t="shared" si="15"/>
        <v>公共部分装修</v>
      </c>
      <c r="AA35" s="1893">
        <f t="shared" si="3"/>
        <v>1</v>
      </c>
      <c r="AB35" s="1893">
        <f t="shared" si="4"/>
        <v>1</v>
      </c>
      <c r="AC35" s="1893">
        <f t="shared" si="5"/>
        <v>1</v>
      </c>
    </row>
    <row r="36" spans="1:29" ht="15">
      <c r="A36" s="451"/>
      <c r="B36" s="400" t="s">
        <v>2458</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029"/>
      <c r="Q36" s="1889" t="str">
        <f t="shared" si="11"/>
        <v>成新度</v>
      </c>
      <c r="R36" s="751" t="s">
        <v>25</v>
      </c>
      <c r="S36" s="752" t="e">
        <f t="shared" si="12"/>
        <v>#N/A</v>
      </c>
      <c r="T36" s="751" t="s">
        <v>25</v>
      </c>
      <c r="U36" s="752" t="e">
        <f t="shared" si="13"/>
        <v>#N/A</v>
      </c>
      <c r="V36" s="751" t="s">
        <v>25</v>
      </c>
      <c r="W36" s="752" t="e">
        <f t="shared" si="14"/>
        <v>#N/A</v>
      </c>
      <c r="X36" s="1890"/>
      <c r="Y36" s="3031"/>
      <c r="Z36" s="1892" t="str">
        <f t="shared" si="15"/>
        <v>成新度</v>
      </c>
      <c r="AA36" s="1893" t="e">
        <f t="shared" si="3"/>
        <v>#N/A</v>
      </c>
      <c r="AB36" s="1893" t="e">
        <f t="shared" si="4"/>
        <v>#N/A</v>
      </c>
      <c r="AC36" s="1893" t="e">
        <f t="shared" si="5"/>
        <v>#N/A</v>
      </c>
    </row>
    <row r="37" spans="1:29" s="35" customFormat="1" ht="15">
      <c r="A37" s="452"/>
      <c r="B37" s="400" t="s">
        <v>2459</v>
      </c>
      <c r="C37" s="2400"/>
      <c r="D37" s="52">
        <v>100</v>
      </c>
      <c r="E37" s="2400"/>
      <c r="F37" s="440">
        <f>SUMIF(112:112,E37,113:113)-SUMIF(112:112,C37,113:113)+100</f>
        <v>100</v>
      </c>
      <c r="G37" s="2400"/>
      <c r="H37" s="413">
        <f>SUMIF(112:112,G37,113:113)-SUMIF(112:112,C37,113:113)+100</f>
        <v>100</v>
      </c>
      <c r="I37" s="2400"/>
      <c r="J37" s="413">
        <f>SUMIF(112:112,I37,113:113)-SUMIF(112:112,C37,113:113)+100</f>
        <v>100</v>
      </c>
      <c r="K37" s="594"/>
      <c r="L37" s="1242"/>
      <c r="M37" s="1243"/>
      <c r="N37" s="1243"/>
      <c r="O37" s="1243"/>
      <c r="P37" s="3029"/>
      <c r="Q37" s="1877" t="str">
        <f t="shared" si="11"/>
        <v>市政基础设施</v>
      </c>
      <c r="R37" s="747" t="s">
        <v>25</v>
      </c>
      <c r="S37" s="748">
        <f t="shared" si="12"/>
        <v>100</v>
      </c>
      <c r="T37" s="747" t="s">
        <v>25</v>
      </c>
      <c r="U37" s="748">
        <f t="shared" si="13"/>
        <v>100</v>
      </c>
      <c r="V37" s="747" t="s">
        <v>25</v>
      </c>
      <c r="W37" s="748">
        <f t="shared" si="14"/>
        <v>100</v>
      </c>
      <c r="X37" s="749"/>
      <c r="Y37" s="3031"/>
      <c r="Z37" s="23" t="str">
        <f t="shared" si="15"/>
        <v>市政基础设施</v>
      </c>
      <c r="AA37" s="750">
        <f t="shared" si="3"/>
        <v>1</v>
      </c>
      <c r="AB37" s="750">
        <f t="shared" si="4"/>
        <v>1</v>
      </c>
      <c r="AC37" s="750">
        <f t="shared" si="5"/>
        <v>1</v>
      </c>
    </row>
    <row r="38" spans="1:29" ht="15">
      <c r="A38" s="451"/>
      <c r="B38" s="400" t="s">
        <v>2460</v>
      </c>
      <c r="C38" s="2400"/>
      <c r="D38" s="413">
        <v>100</v>
      </c>
      <c r="E38" s="2400"/>
      <c r="F38" s="440">
        <f>SUMIF(114:114,E38,115:115)-SUMIF(114:114,C38,115:115)+100</f>
        <v>100</v>
      </c>
      <c r="G38" s="2400"/>
      <c r="H38" s="413">
        <f>SUMIF(114:114,G38,115:115)-SUMIF(114:114,C38,115:115)+100</f>
        <v>100</v>
      </c>
      <c r="I38" s="2400"/>
      <c r="J38" s="413">
        <f>SUMIF(114:114,I38,115:115)-SUMIF(114:114,C38,115:115)+100</f>
        <v>100</v>
      </c>
      <c r="K38" s="594"/>
      <c r="L38" s="1250"/>
      <c r="M38" s="1241"/>
      <c r="N38" s="1241"/>
      <c r="O38" s="1241"/>
      <c r="P38" s="3029" t="s">
        <v>2371</v>
      </c>
      <c r="Q38" s="1889" t="str">
        <f t="shared" si="11"/>
        <v>业态</v>
      </c>
      <c r="R38" s="751" t="s">
        <v>25</v>
      </c>
      <c r="S38" s="752">
        <f t="shared" si="12"/>
        <v>100</v>
      </c>
      <c r="T38" s="751" t="s">
        <v>25</v>
      </c>
      <c r="U38" s="752">
        <f t="shared" si="13"/>
        <v>100</v>
      </c>
      <c r="V38" s="751" t="s">
        <v>25</v>
      </c>
      <c r="W38" s="752">
        <f t="shared" si="14"/>
        <v>100</v>
      </c>
      <c r="X38" s="1890"/>
      <c r="Y38" s="3031" t="s">
        <v>2371</v>
      </c>
      <c r="Z38" s="1892" t="str">
        <f t="shared" si="15"/>
        <v>业态</v>
      </c>
      <c r="AA38" s="1893">
        <f t="shared" si="3"/>
        <v>1</v>
      </c>
      <c r="AB38" s="1893">
        <f t="shared" si="4"/>
        <v>1</v>
      </c>
      <c r="AC38" s="1893">
        <f t="shared" si="5"/>
        <v>1</v>
      </c>
    </row>
    <row r="39" spans="1:29" ht="15">
      <c r="A39" s="451"/>
      <c r="B39" s="400" t="s">
        <v>2461</v>
      </c>
      <c r="C39" s="2400"/>
      <c r="D39" s="413">
        <v>100</v>
      </c>
      <c r="E39" s="2400"/>
      <c r="F39" s="440">
        <f>SUMIF(116:116,E39,117:117)-SUMIF(116:116,C39,117:117)+100</f>
        <v>100</v>
      </c>
      <c r="G39" s="2400"/>
      <c r="H39" s="413">
        <f>SUMIF(116:116,G39,117:117)-SUMIF(116:116,C39,117:117)+100</f>
        <v>100</v>
      </c>
      <c r="I39" s="2400"/>
      <c r="J39" s="413">
        <f>SUMIF(116:116,I39,117:117)-SUMIF(116:116,C39,117:117)+100</f>
        <v>100</v>
      </c>
      <c r="K39" s="594"/>
      <c r="L39" s="1250"/>
      <c r="M39" s="1241"/>
      <c r="N39" s="1241"/>
      <c r="O39" s="1241"/>
      <c r="P39" s="3029"/>
      <c r="Q39" s="1889" t="str">
        <f t="shared" si="11"/>
        <v>层高</v>
      </c>
      <c r="R39" s="751" t="s">
        <v>25</v>
      </c>
      <c r="S39" s="752">
        <f t="shared" si="12"/>
        <v>100</v>
      </c>
      <c r="T39" s="751" t="s">
        <v>25</v>
      </c>
      <c r="U39" s="752">
        <f t="shared" si="13"/>
        <v>100</v>
      </c>
      <c r="V39" s="751" t="s">
        <v>25</v>
      </c>
      <c r="W39" s="752">
        <f t="shared" si="14"/>
        <v>100</v>
      </c>
      <c r="X39" s="1890"/>
      <c r="Y39" s="3031"/>
      <c r="Z39" s="1892" t="str">
        <f t="shared" si="15"/>
        <v>层高</v>
      </c>
      <c r="AA39" s="1893">
        <f t="shared" si="3"/>
        <v>1</v>
      </c>
      <c r="AB39" s="1893">
        <f t="shared" si="4"/>
        <v>1</v>
      </c>
      <c r="AC39" s="1893">
        <f t="shared" si="5"/>
        <v>1</v>
      </c>
    </row>
    <row r="40" spans="1:29" ht="15">
      <c r="A40" s="451"/>
      <c r="B40" s="400" t="s">
        <v>2462</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029"/>
      <c r="Q40" s="1889" t="str">
        <f t="shared" si="11"/>
        <v>单套建筑面积</v>
      </c>
      <c r="R40" s="751" t="s">
        <v>25</v>
      </c>
      <c r="S40" s="752">
        <f t="shared" si="12"/>
        <v>100</v>
      </c>
      <c r="T40" s="751" t="s">
        <v>25</v>
      </c>
      <c r="U40" s="752">
        <f t="shared" si="13"/>
        <v>100</v>
      </c>
      <c r="V40" s="751" t="s">
        <v>25</v>
      </c>
      <c r="W40" s="752">
        <f t="shared" si="14"/>
        <v>100</v>
      </c>
      <c r="X40" s="1890"/>
      <c r="Y40" s="3031"/>
      <c r="Z40" s="1892" t="str">
        <f t="shared" si="15"/>
        <v>单套建筑面积</v>
      </c>
      <c r="AA40" s="1893">
        <f t="shared" si="3"/>
        <v>1</v>
      </c>
      <c r="AB40" s="1893">
        <f t="shared" si="4"/>
        <v>1</v>
      </c>
      <c r="AC40" s="1893">
        <f t="shared" si="5"/>
        <v>1</v>
      </c>
    </row>
    <row r="41" spans="1:29" s="450" customFormat="1" ht="15">
      <c r="A41" s="447"/>
      <c r="B41" s="1894" t="s">
        <v>2463</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029"/>
      <c r="Q41" s="753" t="str">
        <f t="shared" si="11"/>
        <v>进深比</v>
      </c>
      <c r="R41" s="754" t="s">
        <v>25</v>
      </c>
      <c r="S41" s="755">
        <f t="shared" si="12"/>
        <v>100</v>
      </c>
      <c r="T41" s="754" t="s">
        <v>25</v>
      </c>
      <c r="U41" s="755">
        <f t="shared" si="13"/>
        <v>100</v>
      </c>
      <c r="V41" s="754" t="s">
        <v>25</v>
      </c>
      <c r="W41" s="755">
        <f t="shared" si="14"/>
        <v>100</v>
      </c>
      <c r="X41" s="756"/>
      <c r="Y41" s="3031"/>
      <c r="Z41" s="757" t="str">
        <f t="shared" si="15"/>
        <v>进深比</v>
      </c>
      <c r="AA41" s="1893">
        <f t="shared" si="3"/>
        <v>1</v>
      </c>
      <c r="AB41" s="1893">
        <f t="shared" si="4"/>
        <v>1</v>
      </c>
      <c r="AC41" s="1893">
        <f t="shared" si="5"/>
        <v>1</v>
      </c>
    </row>
    <row r="42" spans="1:29" ht="15">
      <c r="A42" s="451"/>
      <c r="B42" s="400" t="s">
        <v>2464</v>
      </c>
      <c r="C42" s="2400"/>
      <c r="D42" s="413">
        <v>100</v>
      </c>
      <c r="E42" s="2400"/>
      <c r="F42" s="440">
        <f>SUMIF(122:122,E42,123:123)-SUMIF(122:122,C42,123:123)+100</f>
        <v>100</v>
      </c>
      <c r="G42" s="2400"/>
      <c r="H42" s="413">
        <f>SUMIF(122:122,G42,123:123)-SUMIF(122:122,C42,123:123)+100</f>
        <v>100</v>
      </c>
      <c r="I42" s="2400"/>
      <c r="J42" s="413">
        <f>SUMIF(122:122,I42,123:123)-SUMIF(122:122,C42,123:123)+100</f>
        <v>100</v>
      </c>
      <c r="K42" s="594"/>
      <c r="L42" s="1250"/>
      <c r="M42" s="1241"/>
      <c r="N42" s="1241"/>
      <c r="O42" s="1241"/>
      <c r="P42" s="3029"/>
      <c r="Q42" s="1889" t="str">
        <f t="shared" si="11"/>
        <v>内部装修</v>
      </c>
      <c r="R42" s="751" t="s">
        <v>25</v>
      </c>
      <c r="S42" s="752">
        <f t="shared" si="12"/>
        <v>100</v>
      </c>
      <c r="T42" s="751" t="s">
        <v>25</v>
      </c>
      <c r="U42" s="752">
        <f t="shared" si="13"/>
        <v>100</v>
      </c>
      <c r="V42" s="751" t="s">
        <v>25</v>
      </c>
      <c r="W42" s="752">
        <f t="shared" si="14"/>
        <v>100</v>
      </c>
      <c r="X42" s="1890"/>
      <c r="Y42" s="3031"/>
      <c r="Z42" s="1892" t="str">
        <f t="shared" si="15"/>
        <v>内部装修</v>
      </c>
      <c r="AA42" s="1893">
        <f t="shared" si="3"/>
        <v>1</v>
      </c>
      <c r="AB42" s="1893">
        <f t="shared" si="4"/>
        <v>1</v>
      </c>
      <c r="AC42" s="1893">
        <f t="shared" si="5"/>
        <v>1</v>
      </c>
    </row>
    <row r="43" spans="1:29" ht="15">
      <c r="A43" s="451"/>
      <c r="B43" s="400" t="s">
        <v>2382</v>
      </c>
      <c r="C43" s="2400"/>
      <c r="D43" s="413">
        <v>100</v>
      </c>
      <c r="E43" s="2400"/>
      <c r="F43" s="440">
        <f>SUMIF(124:124,E43,125:125)-SUMIF(124:124,C43,125:125)+100</f>
        <v>100</v>
      </c>
      <c r="G43" s="2400"/>
      <c r="H43" s="413">
        <f>SUMIF(124:124,G43,125:125)-SUMIF(124:124,C43,125:125)+100</f>
        <v>100</v>
      </c>
      <c r="I43" s="2400"/>
      <c r="J43" s="413">
        <f>SUMIF(124:124,I43,125:125)-SUMIF(124:124,C43,125:125)+100</f>
        <v>100</v>
      </c>
      <c r="K43" s="594"/>
      <c r="L43" s="1250"/>
      <c r="M43" s="1241"/>
      <c r="N43" s="1241"/>
      <c r="O43" s="1241"/>
      <c r="P43" s="3029"/>
      <c r="Q43" s="1889" t="str">
        <f t="shared" si="11"/>
        <v>内部装修维护情况</v>
      </c>
      <c r="R43" s="751" t="s">
        <v>25</v>
      </c>
      <c r="S43" s="752">
        <f t="shared" si="12"/>
        <v>100</v>
      </c>
      <c r="T43" s="751" t="s">
        <v>25</v>
      </c>
      <c r="U43" s="752">
        <f t="shared" si="13"/>
        <v>100</v>
      </c>
      <c r="V43" s="751" t="s">
        <v>25</v>
      </c>
      <c r="W43" s="752">
        <f t="shared" si="14"/>
        <v>100</v>
      </c>
      <c r="X43" s="1890"/>
      <c r="Y43" s="3031"/>
      <c r="Z43" s="1892" t="str">
        <f t="shared" si="15"/>
        <v>内部装修维护情况</v>
      </c>
      <c r="AA43" s="1893">
        <f t="shared" si="3"/>
        <v>1</v>
      </c>
      <c r="AB43" s="1893">
        <f t="shared" si="4"/>
        <v>1</v>
      </c>
      <c r="AC43" s="1893">
        <f t="shared" si="5"/>
        <v>1</v>
      </c>
    </row>
    <row r="44" spans="1:29" s="35" customFormat="1" ht="15">
      <c r="A44" s="452"/>
      <c r="B44" s="2401">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029"/>
      <c r="Q44" s="1877">
        <f t="shared" si="11"/>
        <v>111</v>
      </c>
      <c r="R44" s="747" t="s">
        <v>25</v>
      </c>
      <c r="S44" s="748">
        <f t="shared" si="12"/>
        <v>100</v>
      </c>
      <c r="T44" s="747" t="s">
        <v>25</v>
      </c>
      <c r="U44" s="748">
        <f t="shared" si="13"/>
        <v>100</v>
      </c>
      <c r="V44" s="747" t="s">
        <v>25</v>
      </c>
      <c r="W44" s="748">
        <f t="shared" si="14"/>
        <v>100</v>
      </c>
      <c r="X44" s="749"/>
      <c r="Y44" s="3031"/>
      <c r="Z44" s="23">
        <f t="shared" si="15"/>
        <v>111</v>
      </c>
      <c r="AA44" s="750">
        <f t="shared" si="3"/>
        <v>1</v>
      </c>
      <c r="AB44" s="750">
        <f t="shared" si="4"/>
        <v>1</v>
      </c>
      <c r="AC44" s="750">
        <f t="shared" si="5"/>
        <v>1</v>
      </c>
    </row>
    <row r="45" spans="1:29" ht="15">
      <c r="A45" s="451"/>
      <c r="B45" s="2401">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029"/>
      <c r="Q45" s="1889">
        <f t="shared" si="11"/>
        <v>111</v>
      </c>
      <c r="R45" s="751" t="s">
        <v>25</v>
      </c>
      <c r="S45" s="752">
        <f t="shared" si="12"/>
        <v>100</v>
      </c>
      <c r="T45" s="751" t="s">
        <v>25</v>
      </c>
      <c r="U45" s="752">
        <f t="shared" si="13"/>
        <v>100</v>
      </c>
      <c r="V45" s="751" t="s">
        <v>25</v>
      </c>
      <c r="W45" s="752">
        <f t="shared" si="14"/>
        <v>100</v>
      </c>
      <c r="X45" s="1890"/>
      <c r="Y45" s="3031"/>
      <c r="Z45" s="1892">
        <f t="shared" si="15"/>
        <v>111</v>
      </c>
      <c r="AA45" s="1893">
        <f t="shared" si="3"/>
        <v>1</v>
      </c>
      <c r="AB45" s="1893">
        <f t="shared" si="4"/>
        <v>1</v>
      </c>
      <c r="AC45" s="1893">
        <f t="shared" si="5"/>
        <v>1</v>
      </c>
    </row>
    <row r="46" spans="1:29" ht="15.75" thickBot="1">
      <c r="A46" s="457"/>
      <c r="B46" s="2390">
        <v>111</v>
      </c>
      <c r="C46" s="2391"/>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030"/>
      <c r="Q46" s="1889">
        <f t="shared" si="11"/>
        <v>111</v>
      </c>
      <c r="R46" s="751" t="s">
        <v>25</v>
      </c>
      <c r="S46" s="752">
        <f t="shared" si="12"/>
        <v>100</v>
      </c>
      <c r="T46" s="751" t="s">
        <v>25</v>
      </c>
      <c r="U46" s="752">
        <f t="shared" si="13"/>
        <v>100</v>
      </c>
      <c r="V46" s="751" t="s">
        <v>25</v>
      </c>
      <c r="W46" s="752">
        <f t="shared" si="14"/>
        <v>100</v>
      </c>
      <c r="X46" s="1890"/>
      <c r="Y46" s="3032"/>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023" t="str">
        <f>A47</f>
        <v>成交单价（元/平方米）</v>
      </c>
      <c r="Q47" s="3023"/>
      <c r="R47" s="3019">
        <f>E47</f>
        <v>0</v>
      </c>
      <c r="S47" s="3019"/>
      <c r="T47" s="3019">
        <f>G47</f>
        <v>0</v>
      </c>
      <c r="U47" s="3019"/>
      <c r="V47" s="3019">
        <f>I47</f>
        <v>0</v>
      </c>
      <c r="W47" s="3019"/>
      <c r="X47" s="736"/>
      <c r="Y47" s="758"/>
      <c r="Z47" s="736"/>
      <c r="AA47" s="736"/>
      <c r="AB47" s="736"/>
      <c r="AC47" s="736"/>
    </row>
    <row r="48" spans="1:29" ht="15.75" thickBot="1">
      <c r="A48" s="465" t="s">
        <v>2465</v>
      </c>
      <c r="B48" s="466"/>
      <c r="C48" s="1499" t="e">
        <f>R49</f>
        <v>#DIV/0!</v>
      </c>
      <c r="D48" s="1500"/>
      <c r="E48" s="1501" t="e">
        <f>R48</f>
        <v>#DIV/0!</v>
      </c>
      <c r="F48" s="1501"/>
      <c r="G48" s="1499" t="e">
        <f>T48</f>
        <v>#DIV/0!</v>
      </c>
      <c r="H48" s="1500"/>
      <c r="I48" s="1501" t="e">
        <f>V48</f>
        <v>#DIV/0!</v>
      </c>
      <c r="J48" s="1500"/>
      <c r="K48" s="761"/>
      <c r="L48" s="1253"/>
      <c r="M48" s="1254"/>
      <c r="N48" s="1241"/>
      <c r="O48" s="1254"/>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6"/>
      <c r="Y48" s="736"/>
      <c r="Z48" s="736"/>
      <c r="AA48" s="736"/>
      <c r="AB48" s="736"/>
      <c r="AC48" s="736"/>
    </row>
    <row r="49" spans="1:29" ht="15.75" thickBot="1">
      <c r="A49" s="471" t="s">
        <v>2466</v>
      </c>
      <c r="B49" s="472"/>
      <c r="C49" s="1503" t="e">
        <f>R49</f>
        <v>#DIV/0!</v>
      </c>
      <c r="D49" s="1503"/>
      <c r="E49" s="1503"/>
      <c r="F49" s="1503"/>
      <c r="G49" s="1503"/>
      <c r="H49" s="1503"/>
      <c r="I49" s="1503"/>
      <c r="J49" s="1503"/>
      <c r="K49" s="762"/>
      <c r="L49" s="1253"/>
      <c r="M49" s="1254"/>
      <c r="N49" s="1241"/>
      <c r="O49" s="1254"/>
      <c r="P49" s="3020" t="str">
        <f>A49</f>
        <v>估价对象XX用房的比较价值（楼面单价，元/平方米）</v>
      </c>
      <c r="Q49" s="3021"/>
      <c r="R49" s="3022" t="e">
        <f>IF(E1="售价",ROUND(AVERAGE(R48:V48),0),ROUND(AVERAGE(R48:V48),1))</f>
        <v>#DIV/0!</v>
      </c>
      <c r="S49" s="3022"/>
      <c r="T49" s="3022"/>
      <c r="U49" s="3022"/>
      <c r="V49" s="3022"/>
      <c r="W49" s="302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8"/>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8"/>
      <c r="Q51" s="1254"/>
      <c r="R51" s="1254"/>
      <c r="S51" s="1254"/>
      <c r="T51" s="1254"/>
      <c r="U51" s="1254"/>
      <c r="V51" s="1254"/>
      <c r="W51" s="1254"/>
      <c r="X51" s="1254"/>
      <c r="Y51" s="1254"/>
      <c r="Z51" s="1254"/>
      <c r="AA51" s="1254"/>
      <c r="AB51" s="1254"/>
      <c r="AC51" s="1254"/>
    </row>
    <row r="52" spans="1:29" ht="13.5" customHeight="1">
      <c r="A52" s="1254"/>
      <c r="B52" s="1254"/>
      <c r="C52" s="476" t="s">
        <v>2467</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8"/>
      <c r="Q52" s="1254"/>
      <c r="R52" s="1254"/>
      <c r="S52" s="1254"/>
      <c r="T52" s="1254"/>
      <c r="U52" s="1254"/>
      <c r="V52" s="1254"/>
      <c r="W52" s="1254"/>
      <c r="X52" s="1254"/>
      <c r="Y52" s="1254"/>
      <c r="Z52" s="1254"/>
      <c r="AA52" s="1254"/>
      <c r="AB52" s="1254"/>
      <c r="AC52" s="1254"/>
    </row>
    <row r="53" spans="1:29" ht="13.5" customHeight="1">
      <c r="A53" s="1254"/>
      <c r="B53" s="1254"/>
      <c r="C53" s="476" t="s">
        <v>2468</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8"/>
      <c r="Q53" s="1254"/>
      <c r="R53" s="1254"/>
      <c r="S53" s="1254"/>
      <c r="T53" s="1254"/>
      <c r="U53" s="1254"/>
      <c r="V53" s="1254"/>
      <c r="W53" s="1254"/>
      <c r="X53" s="1254"/>
      <c r="Y53" s="1254"/>
      <c r="Z53" s="1254"/>
      <c r="AA53" s="1254"/>
      <c r="AB53" s="1254"/>
      <c r="AC53" s="1254"/>
    </row>
    <row r="54" spans="1:29" s="481" customFormat="1" ht="13.5" customHeight="1">
      <c r="A54" s="1256"/>
      <c r="B54" s="1256"/>
      <c r="C54" s="476" t="s">
        <v>2469</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49"/>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49"/>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8"/>
      <c r="Q56" s="1254"/>
      <c r="R56" s="1254"/>
      <c r="S56" s="1254"/>
      <c r="T56" s="1254"/>
      <c r="U56" s="1254"/>
      <c r="V56" s="1254"/>
      <c r="W56" s="1254"/>
      <c r="X56" s="1254"/>
      <c r="Y56" s="1254"/>
      <c r="Z56" s="1254"/>
      <c r="AA56" s="1254"/>
      <c r="AB56" s="1254"/>
      <c r="AC56" s="1254"/>
    </row>
    <row r="57" spans="1:29" ht="21.75" thickBot="1">
      <c r="A57" s="740" t="s">
        <v>2470</v>
      </c>
      <c r="B57" s="736"/>
      <c r="C57" s="741"/>
      <c r="D57" s="741"/>
      <c r="E57" s="741"/>
      <c r="F57" s="742"/>
      <c r="G57" s="742"/>
      <c r="H57" s="741"/>
      <c r="I57" s="741"/>
      <c r="J57" s="741"/>
      <c r="K57" s="743"/>
      <c r="L57" s="1269"/>
      <c r="M57" s="1270"/>
      <c r="N57" s="1270"/>
      <c r="O57" s="1270"/>
      <c r="P57" s="2450"/>
      <c r="Q57" s="2451"/>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2"/>
    </row>
    <row r="59" spans="1:29" s="35" customFormat="1" ht="15">
      <c r="A59" s="488"/>
      <c r="B59" s="489"/>
      <c r="C59" s="621">
        <v>100</v>
      </c>
      <c r="D59" s="491"/>
      <c r="E59" s="491"/>
      <c r="F59" s="491"/>
      <c r="G59" s="491"/>
      <c r="H59" s="491"/>
      <c r="I59" s="491"/>
      <c r="J59" s="491"/>
      <c r="K59" s="491"/>
      <c r="L59" s="491"/>
      <c r="M59" s="492"/>
      <c r="N59" s="491"/>
      <c r="O59" s="492"/>
      <c r="P59" s="2413"/>
    </row>
    <row r="60" spans="1:29" s="35" customFormat="1" ht="15.75" thickBot="1">
      <c r="A60" s="494" t="s">
        <v>2390</v>
      </c>
      <c r="B60" s="495"/>
      <c r="C60" s="496"/>
      <c r="D60" s="497"/>
      <c r="E60" s="497"/>
      <c r="F60" s="497"/>
      <c r="G60" s="497"/>
      <c r="H60" s="497"/>
      <c r="I60" s="497"/>
      <c r="J60" s="497"/>
      <c r="K60" s="497"/>
      <c r="L60" s="497"/>
      <c r="M60" s="498"/>
      <c r="N60" s="497"/>
      <c r="O60" s="498"/>
      <c r="P60" s="2413"/>
      <c r="Q60" s="483"/>
    </row>
    <row r="61" spans="1:29" s="35" customFormat="1" ht="15">
      <c r="A61" s="500" t="s">
        <v>2355</v>
      </c>
      <c r="B61" s="489"/>
      <c r="C61" s="501" t="s">
        <v>2356</v>
      </c>
      <c r="D61" s="502"/>
      <c r="E61" s="502"/>
      <c r="F61" s="502"/>
      <c r="G61" s="502"/>
      <c r="H61" s="502"/>
      <c r="I61" s="502"/>
      <c r="J61" s="502"/>
      <c r="K61" s="502"/>
      <c r="L61" s="503"/>
      <c r="M61" s="504"/>
      <c r="N61" s="1263"/>
      <c r="O61" s="1263"/>
      <c r="P61" s="2414"/>
      <c r="Q61" s="483"/>
    </row>
    <row r="62" spans="1:29" s="35" customFormat="1" ht="15.75" thickBot="1">
      <c r="A62" s="500"/>
      <c r="B62" s="489"/>
      <c r="C62" s="490">
        <v>100</v>
      </c>
      <c r="D62" s="491"/>
      <c r="E62" s="491"/>
      <c r="F62" s="491"/>
      <c r="G62" s="491"/>
      <c r="H62" s="491"/>
      <c r="I62" s="491"/>
      <c r="J62" s="491"/>
      <c r="K62" s="491"/>
      <c r="L62" s="491"/>
      <c r="M62" s="493"/>
      <c r="N62" s="1263"/>
      <c r="O62" s="1263"/>
      <c r="P62" s="2413"/>
      <c r="Q62" s="483"/>
    </row>
    <row r="63" spans="1:29">
      <c r="A63" s="506" t="s">
        <v>2393</v>
      </c>
      <c r="B63" s="507" t="s">
        <v>2359</v>
      </c>
      <c r="C63" s="508">
        <f>C9</f>
        <v>0</v>
      </c>
      <c r="D63" s="509"/>
      <c r="E63" s="509"/>
      <c r="F63" s="509"/>
      <c r="G63" s="509"/>
      <c r="H63" s="509"/>
      <c r="I63" s="509"/>
      <c r="J63" s="509"/>
      <c r="K63" s="510"/>
      <c r="L63" s="511"/>
      <c r="M63" s="512"/>
      <c r="N63" s="1264"/>
      <c r="O63" s="1264"/>
      <c r="P63" s="2415"/>
      <c r="Q63" s="483"/>
    </row>
    <row r="64" spans="1:29" ht="15.75" thickBot="1">
      <c r="A64" s="514"/>
      <c r="B64" s="515"/>
      <c r="C64" s="516">
        <v>100</v>
      </c>
      <c r="D64" s="516"/>
      <c r="E64" s="516"/>
      <c r="F64" s="516"/>
      <c r="G64" s="516"/>
      <c r="H64" s="516"/>
      <c r="I64" s="516"/>
      <c r="J64" s="516"/>
      <c r="K64" s="516"/>
      <c r="L64" s="516"/>
      <c r="M64" s="517"/>
      <c r="N64" s="1265"/>
      <c r="O64" s="1265"/>
      <c r="P64" s="2415"/>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5"/>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5"/>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5"/>
      <c r="Q67" s="483"/>
    </row>
    <row r="68" spans="1:17" ht="15">
      <c r="A68" s="514"/>
      <c r="B68" s="529"/>
      <c r="C68" s="530"/>
      <c r="D68" s="530"/>
      <c r="E68" s="530"/>
      <c r="F68" s="530"/>
      <c r="G68" s="530"/>
      <c r="H68" s="530"/>
      <c r="I68" s="530"/>
      <c r="J68" s="530"/>
      <c r="K68" s="531"/>
      <c r="L68" s="532"/>
      <c r="M68" s="533"/>
      <c r="N68" s="1264"/>
      <c r="O68" s="1264"/>
      <c r="P68" s="2415"/>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5"/>
      <c r="Q69" s="483"/>
    </row>
    <row r="70" spans="1:17" s="450" customFormat="1" ht="15.75" thickTop="1">
      <c r="A70" s="534"/>
      <c r="B70" s="519">
        <f>B12</f>
        <v>111</v>
      </c>
      <c r="C70" s="535"/>
      <c r="D70" s="535"/>
      <c r="E70" s="535"/>
      <c r="F70" s="535"/>
      <c r="G70" s="535"/>
      <c r="H70" s="536"/>
      <c r="I70" s="536"/>
      <c r="J70" s="536"/>
      <c r="K70" s="536"/>
      <c r="L70" s="537"/>
      <c r="M70" s="538"/>
      <c r="N70" s="1266"/>
      <c r="O70" s="1266"/>
      <c r="P70" s="2416"/>
      <c r="Q70" s="541"/>
    </row>
    <row r="71" spans="1:17" s="450" customFormat="1" ht="15.75" thickBot="1">
      <c r="A71" s="534"/>
      <c r="B71" s="524"/>
      <c r="C71" s="542"/>
      <c r="D71" s="516"/>
      <c r="E71" s="516"/>
      <c r="F71" s="516"/>
      <c r="G71" s="516"/>
      <c r="H71" s="516"/>
      <c r="I71" s="516"/>
      <c r="J71" s="516"/>
      <c r="K71" s="516"/>
      <c r="L71" s="516"/>
      <c r="M71" s="517"/>
      <c r="N71" s="1265"/>
      <c r="O71" s="1265"/>
      <c r="P71" s="2416"/>
      <c r="Q71" s="541"/>
    </row>
    <row r="72" spans="1:17" s="450" customFormat="1" ht="15.75" thickTop="1">
      <c r="A72" s="534"/>
      <c r="B72" s="519">
        <f>B13</f>
        <v>111</v>
      </c>
      <c r="C72" s="535"/>
      <c r="D72" s="535"/>
      <c r="E72" s="535"/>
      <c r="F72" s="535"/>
      <c r="G72" s="535"/>
      <c r="H72" s="536"/>
      <c r="I72" s="536"/>
      <c r="J72" s="536"/>
      <c r="K72" s="536"/>
      <c r="L72" s="537"/>
      <c r="M72" s="538"/>
      <c r="N72" s="1266"/>
      <c r="O72" s="1266"/>
      <c r="P72" s="2417"/>
      <c r="Q72" s="543"/>
    </row>
    <row r="73" spans="1:17" s="450" customFormat="1" ht="15.75" thickBot="1">
      <c r="A73" s="534"/>
      <c r="B73" s="524"/>
      <c r="C73" s="542"/>
      <c r="D73" s="516"/>
      <c r="E73" s="516"/>
      <c r="F73" s="516"/>
      <c r="G73" s="542"/>
      <c r="H73" s="544"/>
      <c r="I73" s="544"/>
      <c r="J73" s="544"/>
      <c r="K73" s="544"/>
      <c r="L73" s="544"/>
      <c r="M73" s="545"/>
      <c r="N73" s="1266"/>
      <c r="O73" s="1266"/>
      <c r="P73" s="2416"/>
      <c r="Q73" s="541"/>
    </row>
    <row r="74" spans="1:17" s="450" customFormat="1" ht="15.75" thickTop="1">
      <c r="A74" s="534"/>
      <c r="B74" s="527">
        <f>B14</f>
        <v>111</v>
      </c>
      <c r="C74" s="535"/>
      <c r="D74" s="535"/>
      <c r="E74" s="535"/>
      <c r="F74" s="535"/>
      <c r="G74" s="502"/>
      <c r="H74" s="546"/>
      <c r="I74" s="546"/>
      <c r="J74" s="546"/>
      <c r="K74" s="546"/>
      <c r="L74" s="547"/>
      <c r="M74" s="548"/>
      <c r="N74" s="1266"/>
      <c r="O74" s="1266"/>
      <c r="P74" s="2418"/>
      <c r="Q74" s="541"/>
    </row>
    <row r="75" spans="1:17" s="450" customFormat="1" ht="15.75" thickBot="1">
      <c r="A75" s="550"/>
      <c r="B75" s="551"/>
      <c r="C75" s="552"/>
      <c r="D75" s="552"/>
      <c r="E75" s="552"/>
      <c r="F75" s="552"/>
      <c r="G75" s="552"/>
      <c r="H75" s="553"/>
      <c r="I75" s="553"/>
      <c r="J75" s="553"/>
      <c r="K75" s="553"/>
      <c r="L75" s="553"/>
      <c r="M75" s="554"/>
      <c r="N75" s="1266"/>
      <c r="O75" s="1266"/>
      <c r="P75" s="2416"/>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9"/>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5"/>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5"/>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5"/>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5"/>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5"/>
      <c r="Q81" s="483"/>
    </row>
    <row r="82" spans="1:17" ht="15.75" thickTop="1">
      <c r="A82" s="514"/>
      <c r="B82" s="527" t="s">
        <v>2451</v>
      </c>
      <c r="C82" s="520" t="s">
        <v>2409</v>
      </c>
      <c r="D82" s="520" t="s">
        <v>2410</v>
      </c>
      <c r="E82" s="520" t="s">
        <v>2411</v>
      </c>
      <c r="F82" s="520" t="s">
        <v>2412</v>
      </c>
      <c r="G82" s="520" t="s">
        <v>2413</v>
      </c>
      <c r="H82" s="520"/>
      <c r="I82" s="520"/>
      <c r="J82" s="520"/>
      <c r="K82" s="520"/>
      <c r="L82" s="520"/>
      <c r="M82" s="1458"/>
      <c r="N82" s="1265"/>
      <c r="O82" s="1265"/>
      <c r="P82" s="2415"/>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5"/>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5"/>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5"/>
      <c r="Q85" s="483"/>
    </row>
    <row r="86" spans="1:17" s="35" customFormat="1" ht="15.75" thickTop="1">
      <c r="A86" s="561"/>
      <c r="B86" s="519" t="s">
        <v>2471</v>
      </c>
      <c r="C86" s="535"/>
      <c r="D86" s="535"/>
      <c r="E86" s="535"/>
      <c r="F86" s="535"/>
      <c r="G86" s="535"/>
      <c r="H86" s="535"/>
      <c r="I86" s="535"/>
      <c r="J86" s="535"/>
      <c r="K86" s="535"/>
      <c r="L86" s="562"/>
      <c r="M86" s="563"/>
      <c r="N86" s="1263"/>
      <c r="O86" s="1263"/>
      <c r="P86" s="2415"/>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5"/>
      <c r="Q87" s="483"/>
    </row>
    <row r="88" spans="1:17" s="35" customFormat="1" ht="15.75" thickTop="1">
      <c r="A88" s="561"/>
      <c r="B88" s="519" t="str">
        <f>B26</f>
        <v>平面位置/可视性</v>
      </c>
      <c r="C88" s="535"/>
      <c r="D88" s="535"/>
      <c r="E88" s="535"/>
      <c r="F88" s="2420"/>
      <c r="G88" s="535"/>
      <c r="H88" s="535"/>
      <c r="I88" s="535"/>
      <c r="J88" s="535"/>
      <c r="K88" s="535"/>
      <c r="L88" s="535"/>
      <c r="M88" s="563"/>
      <c r="N88" s="1263"/>
      <c r="O88" s="1263"/>
      <c r="P88" s="2415"/>
      <c r="Q88" s="483"/>
    </row>
    <row r="89" spans="1:17" s="35" customFormat="1" ht="15.75" thickBot="1">
      <c r="A89" s="561"/>
      <c r="B89" s="524"/>
      <c r="C89" s="542"/>
      <c r="D89" s="516"/>
      <c r="E89" s="516"/>
      <c r="F89" s="516"/>
      <c r="G89" s="516"/>
      <c r="H89" s="516"/>
      <c r="I89" s="516"/>
      <c r="J89" s="516"/>
      <c r="K89" s="516"/>
      <c r="L89" s="516"/>
      <c r="M89" s="516"/>
      <c r="N89" s="1265"/>
      <c r="O89" s="1265"/>
      <c r="P89" s="2415"/>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6"/>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6"/>
      <c r="Q91" s="541"/>
    </row>
    <row r="92" spans="1:17" ht="15.75" thickTop="1">
      <c r="A92" s="514"/>
      <c r="B92" s="519" t="str">
        <f>B28</f>
        <v>楼层</v>
      </c>
      <c r="C92" s="535"/>
      <c r="D92" s="535"/>
      <c r="E92" s="535"/>
      <c r="F92" s="535"/>
      <c r="G92" s="535"/>
      <c r="H92" s="535"/>
      <c r="I92" s="535"/>
      <c r="J92" s="535"/>
      <c r="K92" s="535"/>
      <c r="L92" s="562"/>
      <c r="M92" s="563"/>
      <c r="N92" s="1264"/>
      <c r="O92" s="1264"/>
      <c r="P92" s="2415"/>
      <c r="Q92" s="483"/>
    </row>
    <row r="93" spans="1:17" ht="15.75" thickBot="1">
      <c r="A93" s="514"/>
      <c r="B93" s="524"/>
      <c r="C93" s="516"/>
      <c r="D93" s="516"/>
      <c r="E93" s="516"/>
      <c r="F93" s="516"/>
      <c r="G93" s="516"/>
      <c r="H93" s="516"/>
      <c r="I93" s="516"/>
      <c r="J93" s="516"/>
      <c r="K93" s="516"/>
      <c r="L93" s="516"/>
      <c r="M93" s="517"/>
      <c r="N93" s="1265"/>
      <c r="O93" s="1265"/>
      <c r="P93" s="2415"/>
      <c r="Q93" s="483"/>
    </row>
    <row r="94" spans="1:17" ht="15.75" thickTop="1">
      <c r="A94" s="514"/>
      <c r="B94" s="519">
        <f>B29</f>
        <v>111</v>
      </c>
      <c r="C94" s="535"/>
      <c r="D94" s="535"/>
      <c r="E94" s="535"/>
      <c r="F94" s="535"/>
      <c r="G94" s="565"/>
      <c r="H94" s="565"/>
      <c r="I94" s="565"/>
      <c r="J94" s="565"/>
      <c r="K94" s="566"/>
      <c r="L94" s="567"/>
      <c r="M94" s="568"/>
      <c r="N94" s="1264"/>
      <c r="O94" s="1264"/>
      <c r="P94" s="2415"/>
      <c r="Q94" s="483"/>
    </row>
    <row r="95" spans="1:17" ht="15.75" thickBot="1">
      <c r="A95" s="514"/>
      <c r="B95" s="524"/>
      <c r="C95" s="542"/>
      <c r="D95" s="516"/>
      <c r="E95" s="516"/>
      <c r="F95" s="516"/>
      <c r="G95" s="516"/>
      <c r="H95" s="516"/>
      <c r="I95" s="516"/>
      <c r="J95" s="516"/>
      <c r="K95" s="516"/>
      <c r="L95" s="516"/>
      <c r="M95" s="517"/>
      <c r="N95" s="1265"/>
      <c r="O95" s="1265"/>
      <c r="P95" s="2415"/>
      <c r="Q95" s="483"/>
    </row>
    <row r="96" spans="1:17" ht="15.75" thickTop="1">
      <c r="A96" s="514"/>
      <c r="B96" s="519">
        <f>B30</f>
        <v>111</v>
      </c>
      <c r="C96" s="535"/>
      <c r="D96" s="535"/>
      <c r="E96" s="535"/>
      <c r="F96" s="535"/>
      <c r="G96" s="565"/>
      <c r="H96" s="565"/>
      <c r="I96" s="565"/>
      <c r="J96" s="565"/>
      <c r="K96" s="566"/>
      <c r="L96" s="567"/>
      <c r="M96" s="568"/>
      <c r="N96" s="1264"/>
      <c r="O96" s="1264"/>
      <c r="P96" s="2415"/>
      <c r="Q96" s="483"/>
    </row>
    <row r="97" spans="1:17" ht="15.75" thickBot="1">
      <c r="A97" s="514"/>
      <c r="B97" s="524"/>
      <c r="C97" s="542"/>
      <c r="D97" s="516"/>
      <c r="E97" s="516"/>
      <c r="F97" s="516"/>
      <c r="G97" s="516"/>
      <c r="H97" s="516"/>
      <c r="I97" s="516"/>
      <c r="J97" s="516"/>
      <c r="K97" s="516"/>
      <c r="L97" s="516"/>
      <c r="M97" s="517"/>
      <c r="N97" s="1265"/>
      <c r="O97" s="1265"/>
      <c r="P97" s="2415"/>
      <c r="Q97" s="483"/>
    </row>
    <row r="98" spans="1:17" ht="15.75" thickTop="1">
      <c r="A98" s="514"/>
      <c r="B98" s="527">
        <f>B31</f>
        <v>111</v>
      </c>
      <c r="C98" s="535"/>
      <c r="D98" s="535"/>
      <c r="E98" s="535"/>
      <c r="F98" s="535"/>
      <c r="G98" s="569"/>
      <c r="H98" s="569"/>
      <c r="I98" s="569"/>
      <c r="J98" s="569"/>
      <c r="K98" s="570"/>
      <c r="L98" s="571"/>
      <c r="M98" s="572"/>
      <c r="N98" s="1264"/>
      <c r="O98" s="1264"/>
      <c r="P98" s="2415"/>
      <c r="Q98" s="483"/>
    </row>
    <row r="99" spans="1:17" ht="15.75" thickBot="1">
      <c r="A99" s="2421"/>
      <c r="B99" s="551"/>
      <c r="C99" s="552"/>
      <c r="D99" s="552"/>
      <c r="E99" s="552"/>
      <c r="F99" s="552"/>
      <c r="G99" s="573"/>
      <c r="H99" s="573"/>
      <c r="I99" s="573"/>
      <c r="J99" s="573"/>
      <c r="K99" s="573"/>
      <c r="L99" s="573"/>
      <c r="M99" s="574"/>
      <c r="N99" s="1265"/>
      <c r="O99" s="1265"/>
      <c r="P99" s="2415"/>
      <c r="Q99" s="483"/>
    </row>
    <row r="100" spans="1:17">
      <c r="A100" s="506" t="s">
        <v>2369</v>
      </c>
      <c r="B100" s="507" t="s">
        <v>2472</v>
      </c>
      <c r="C100" s="509"/>
      <c r="D100" s="509"/>
      <c r="E100" s="509"/>
      <c r="F100" s="509"/>
      <c r="G100" s="509"/>
      <c r="H100" s="509"/>
      <c r="I100" s="509"/>
      <c r="J100" s="509"/>
      <c r="K100" s="510"/>
      <c r="L100" s="511"/>
      <c r="M100" s="512"/>
      <c r="N100" s="1264"/>
      <c r="O100" s="1264"/>
      <c r="P100" s="2415"/>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5"/>
      <c r="Q101" s="483"/>
    </row>
    <row r="102" spans="1:17" ht="15.75" thickTop="1">
      <c r="A102" s="514"/>
      <c r="B102" s="519" t="s">
        <v>2418</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5"/>
      <c r="Q102" s="483"/>
    </row>
    <row r="103" spans="1:17" s="450" customFormat="1">
      <c r="A103" s="575"/>
      <c r="B103" s="576"/>
      <c r="C103" s="577"/>
      <c r="D103" s="577"/>
      <c r="E103" s="577"/>
      <c r="F103" s="577"/>
      <c r="G103" s="577"/>
      <c r="H103" s="577"/>
      <c r="I103" s="577"/>
      <c r="J103" s="578"/>
      <c r="K103" s="578"/>
      <c r="L103" s="579"/>
      <c r="M103" s="580"/>
      <c r="N103" s="1266"/>
      <c r="O103" s="1266"/>
      <c r="P103" s="2416"/>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6"/>
      <c r="Q104" s="541"/>
    </row>
    <row r="105" spans="1:17" ht="15" thickTop="1">
      <c r="A105" s="581"/>
      <c r="B105" s="519" t="s">
        <v>2419</v>
      </c>
      <c r="C105" s="535"/>
      <c r="D105" s="535"/>
      <c r="E105" s="565"/>
      <c r="F105" s="565"/>
      <c r="G105" s="565"/>
      <c r="H105" s="565"/>
      <c r="I105" s="565"/>
      <c r="J105" s="565"/>
      <c r="K105" s="566"/>
      <c r="L105" s="567"/>
      <c r="M105" s="568"/>
      <c r="N105" s="1264"/>
      <c r="O105" s="1264"/>
      <c r="P105" s="2415"/>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5"/>
      <c r="Q106" s="483"/>
    </row>
    <row r="107" spans="1:17" ht="15" thickTop="1">
      <c r="A107" s="581"/>
      <c r="B107" s="519" t="s">
        <v>2421</v>
      </c>
      <c r="C107" s="535"/>
      <c r="D107" s="535"/>
      <c r="E107" s="535"/>
      <c r="F107" s="565"/>
      <c r="G107" s="565"/>
      <c r="H107" s="565"/>
      <c r="I107" s="565"/>
      <c r="J107" s="565"/>
      <c r="K107" s="566"/>
      <c r="L107" s="567"/>
      <c r="M107" s="568"/>
      <c r="N107" s="1264"/>
      <c r="O107" s="1264"/>
      <c r="P107" s="2415"/>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5"/>
      <c r="Q108" s="483"/>
    </row>
    <row r="109" spans="1:17" ht="15" thickTop="1">
      <c r="A109" s="581"/>
      <c r="B109" s="519" t="s">
        <v>2422</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5"/>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5"/>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5"/>
      <c r="Q111" s="483"/>
    </row>
    <row r="112" spans="1:17" s="450" customFormat="1" ht="15" thickTop="1">
      <c r="A112" s="575"/>
      <c r="B112" s="519" t="s">
        <v>2424</v>
      </c>
      <c r="C112" s="535"/>
      <c r="D112" s="535"/>
      <c r="E112" s="535"/>
      <c r="F112" s="535"/>
      <c r="G112" s="535"/>
      <c r="H112" s="565"/>
      <c r="I112" s="565"/>
      <c r="J112" s="565"/>
      <c r="K112" s="566"/>
      <c r="L112" s="567"/>
      <c r="M112" s="568"/>
      <c r="N112" s="1266"/>
      <c r="O112" s="1266"/>
      <c r="P112" s="2416"/>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6"/>
      <c r="Q113" s="541"/>
    </row>
    <row r="114" spans="1:17" ht="15" thickTop="1">
      <c r="A114" s="581"/>
      <c r="B114" s="519" t="s">
        <v>2473</v>
      </c>
      <c r="C114" s="535"/>
      <c r="D114" s="535"/>
      <c r="E114" s="565"/>
      <c r="F114" s="565"/>
      <c r="G114" s="565"/>
      <c r="H114" s="565"/>
      <c r="I114" s="565"/>
      <c r="J114" s="565"/>
      <c r="K114" s="566"/>
      <c r="L114" s="567"/>
      <c r="M114" s="568"/>
      <c r="N114" s="1264"/>
      <c r="O114" s="1264"/>
      <c r="P114" s="2415"/>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5"/>
      <c r="Q115" s="483"/>
    </row>
    <row r="116" spans="1:17" ht="15" thickTop="1">
      <c r="A116" s="581"/>
      <c r="B116" s="519" t="s">
        <v>2474</v>
      </c>
      <c r="C116" s="535"/>
      <c r="D116" s="535"/>
      <c r="E116" s="535"/>
      <c r="F116" s="535"/>
      <c r="G116" s="535"/>
      <c r="H116" s="565"/>
      <c r="I116" s="565"/>
      <c r="J116" s="565"/>
      <c r="K116" s="566"/>
      <c r="L116" s="567"/>
      <c r="M116" s="568"/>
      <c r="N116" s="1264"/>
      <c r="O116" s="1264"/>
      <c r="P116" s="2415"/>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5"/>
      <c r="Q117" s="483"/>
    </row>
    <row r="118" spans="1:17" ht="15" thickTop="1">
      <c r="A118" s="581"/>
      <c r="B118" s="519" t="s">
        <v>2475</v>
      </c>
      <c r="C118" s="609"/>
      <c r="D118" s="609"/>
      <c r="E118" s="609"/>
      <c r="F118" s="609"/>
      <c r="G118" s="609"/>
      <c r="H118" s="536"/>
      <c r="I118" s="536"/>
      <c r="J118" s="536"/>
      <c r="K118" s="536"/>
      <c r="L118" s="537"/>
      <c r="M118" s="538"/>
      <c r="N118" s="1264"/>
      <c r="O118" s="1264"/>
      <c r="P118" s="2415"/>
      <c r="Q118" s="483"/>
    </row>
    <row r="119" spans="1:17" ht="15.75" thickBot="1">
      <c r="A119" s="514"/>
      <c r="B119" s="524"/>
      <c r="C119" s="542"/>
      <c r="D119" s="516"/>
      <c r="E119" s="516"/>
      <c r="F119" s="516"/>
      <c r="G119" s="516"/>
      <c r="H119" s="516"/>
      <c r="I119" s="516"/>
      <c r="J119" s="516"/>
      <c r="K119" s="516"/>
      <c r="L119" s="516"/>
      <c r="M119" s="517"/>
      <c r="N119" s="1265"/>
      <c r="O119" s="1265"/>
      <c r="P119" s="2415"/>
      <c r="Q119" s="483"/>
    </row>
    <row r="120" spans="1:17" s="450" customFormat="1" ht="15" thickTop="1">
      <c r="A120" s="575"/>
      <c r="B120" s="519" t="s">
        <v>2476</v>
      </c>
      <c r="C120" s="565"/>
      <c r="D120" s="565"/>
      <c r="E120" s="565"/>
      <c r="F120" s="565"/>
      <c r="G120" s="536"/>
      <c r="H120" s="536"/>
      <c r="I120" s="536"/>
      <c r="J120" s="536"/>
      <c r="K120" s="536"/>
      <c r="L120" s="537"/>
      <c r="M120" s="538"/>
      <c r="N120" s="1266"/>
      <c r="O120" s="1266"/>
      <c r="P120" s="2416"/>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6"/>
      <c r="Q121" s="541"/>
    </row>
    <row r="122" spans="1:17" ht="15" thickTop="1">
      <c r="A122" s="581"/>
      <c r="B122" s="519" t="s">
        <v>2426</v>
      </c>
      <c r="C122" s="535"/>
      <c r="D122" s="535"/>
      <c r="E122" s="535"/>
      <c r="F122" s="565"/>
      <c r="G122" s="565"/>
      <c r="H122" s="565"/>
      <c r="I122" s="565"/>
      <c r="J122" s="565"/>
      <c r="K122" s="566"/>
      <c r="L122" s="567"/>
      <c r="M122" s="568"/>
      <c r="N122" s="1264"/>
      <c r="O122" s="1264"/>
      <c r="P122" s="2415"/>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5"/>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6"/>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5"/>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6"/>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6"/>
      <c r="Q127" s="541"/>
    </row>
    <row r="128" spans="1:17" ht="15" thickTop="1">
      <c r="A128" s="581"/>
      <c r="B128" s="519">
        <f>B45</f>
        <v>111</v>
      </c>
      <c r="C128" s="535"/>
      <c r="D128" s="535"/>
      <c r="E128" s="535"/>
      <c r="F128" s="535"/>
      <c r="G128" s="565"/>
      <c r="H128" s="565"/>
      <c r="I128" s="565"/>
      <c r="J128" s="565"/>
      <c r="K128" s="566"/>
      <c r="L128" s="567"/>
      <c r="M128" s="568"/>
      <c r="N128" s="1264"/>
      <c r="O128" s="1264"/>
      <c r="P128" s="2415"/>
      <c r="Q128" s="483"/>
    </row>
    <row r="129" spans="1:17" ht="15.75" thickBot="1">
      <c r="A129" s="514"/>
      <c r="B129" s="524"/>
      <c r="C129" s="542"/>
      <c r="D129" s="516"/>
      <c r="E129" s="516"/>
      <c r="F129" s="516"/>
      <c r="G129" s="516"/>
      <c r="H129" s="516"/>
      <c r="I129" s="516"/>
      <c r="J129" s="516"/>
      <c r="K129" s="516"/>
      <c r="L129" s="516"/>
      <c r="M129" s="517"/>
      <c r="N129" s="1265"/>
      <c r="O129" s="1265"/>
      <c r="P129" s="2415"/>
      <c r="Q129" s="483"/>
    </row>
    <row r="130" spans="1:17" ht="15" thickTop="1">
      <c r="A130" s="581"/>
      <c r="B130" s="527">
        <f>B46</f>
        <v>111</v>
      </c>
      <c r="C130" s="535"/>
      <c r="D130" s="535"/>
      <c r="E130" s="535"/>
      <c r="F130" s="535"/>
      <c r="G130" s="569"/>
      <c r="H130" s="569"/>
      <c r="I130" s="569"/>
      <c r="J130" s="569"/>
      <c r="K130" s="502"/>
      <c r="L130" s="503"/>
      <c r="M130" s="572"/>
      <c r="N130" s="1264"/>
      <c r="O130" s="1264"/>
      <c r="P130" s="2415"/>
      <c r="Q130" s="483"/>
    </row>
    <row r="131" spans="1:17" ht="15.75" thickBot="1">
      <c r="A131" s="2421"/>
      <c r="B131" s="551"/>
      <c r="C131" s="552"/>
      <c r="D131" s="552"/>
      <c r="E131" s="552"/>
      <c r="F131" s="552"/>
      <c r="G131" s="573"/>
      <c r="H131" s="573"/>
      <c r="I131" s="573"/>
      <c r="J131" s="573"/>
      <c r="K131" s="573"/>
      <c r="L131" s="573"/>
      <c r="M131" s="574"/>
      <c r="N131" s="1265"/>
      <c r="O131" s="1265"/>
      <c r="P131" s="2415"/>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2477</v>
      </c>
      <c r="C1" s="1717"/>
      <c r="D1" s="1730"/>
      <c r="E1" s="2371"/>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2"/>
      <c r="AC1" s="1727"/>
    </row>
    <row r="2" spans="1:29" s="375" customFormat="1" ht="28.5" customHeight="1" thickTop="1">
      <c r="A2" s="1718" t="s">
        <v>2007</v>
      </c>
      <c r="B2" s="1716" t="e">
        <f ca="1">IF(D2="——",IF(C2="元",ROUND(C50*D3,0),ROUND(C50*D3/10000,0)),IF(C2="元",ROUND(C50*D3,0),ROUND(C50*D3/10000,0))-E2)</f>
        <v>#DIV/0!</v>
      </c>
      <c r="C2" s="163" t="str">
        <f>'数据-取费表'!B3</f>
        <v>元</v>
      </c>
      <c r="D2" s="2373"/>
      <c r="E2" s="1832" t="e">
        <f ca="1">SUMIF(INDIRECT("'"&amp;G2&amp;"'"&amp;"!A:A"),"承租人权益价值",INDIRECT("'"&amp;G2&amp;"'"&amp;"!c:c"))</f>
        <v>#REF!</v>
      </c>
      <c r="F2" s="2374" t="str">
        <f>C2</f>
        <v>元</v>
      </c>
      <c r="G2" s="2375"/>
      <c r="H2" s="978"/>
      <c r="I2" s="978"/>
      <c r="J2" s="978"/>
      <c r="K2" s="978"/>
      <c r="L2" s="1238"/>
      <c r="M2" s="1239"/>
      <c r="N2" s="1239"/>
      <c r="O2" s="1239"/>
      <c r="P2" s="745"/>
      <c r="Q2" s="745"/>
      <c r="R2" s="745"/>
      <c r="S2" s="745"/>
      <c r="T2" s="745"/>
      <c r="U2" s="745"/>
      <c r="V2" s="745"/>
      <c r="W2" s="745"/>
      <c r="X2" s="745"/>
      <c r="Y2" s="745"/>
      <c r="Z2" s="745"/>
      <c r="AA2" s="745"/>
      <c r="AB2" s="2453"/>
      <c r="AC2" s="759"/>
    </row>
    <row r="3" spans="1:29" s="375" customFormat="1" ht="28.5" customHeight="1" thickBot="1">
      <c r="A3" s="167" t="s">
        <v>2008</v>
      </c>
      <c r="B3" s="591" t="e">
        <f ca="1">ROUND(IF(D2="——",C50,IF(C2="万元",B2*10000/D3,B2/D3)),0)</f>
        <v>#DIV/0!</v>
      </c>
      <c r="C3" s="377" t="s">
        <v>2339</v>
      </c>
      <c r="D3" s="376">
        <f>IF(C1="仅计算典型户型",'数据-取费表'!E5,'数据-取费表'!B5)</f>
        <v>87.21</v>
      </c>
      <c r="E3" s="2445"/>
      <c r="F3" s="979"/>
      <c r="G3" s="978"/>
      <c r="H3" s="978"/>
      <c r="I3" s="978"/>
      <c r="J3" s="978"/>
      <c r="K3" s="980"/>
      <c r="L3" s="1238"/>
      <c r="M3" s="1239"/>
      <c r="N3" s="1239"/>
      <c r="O3" s="1239"/>
      <c r="P3" s="735"/>
      <c r="Q3" s="735"/>
      <c r="R3" s="735"/>
      <c r="S3" s="735"/>
      <c r="T3" s="735"/>
      <c r="U3" s="735"/>
      <c r="V3" s="735"/>
      <c r="W3" s="735"/>
      <c r="X3" s="745"/>
      <c r="Y3" s="735"/>
      <c r="Z3" s="735"/>
      <c r="AA3" s="735"/>
      <c r="AB3" s="2454"/>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71" t="s">
        <v>2346</v>
      </c>
      <c r="Q4" s="3055"/>
      <c r="R4" s="3039" t="s">
        <v>2342</v>
      </c>
      <c r="S4" s="3040"/>
      <c r="T4" s="3039" t="s">
        <v>2343</v>
      </c>
      <c r="U4" s="3040"/>
      <c r="V4" s="3060" t="s">
        <v>2344</v>
      </c>
      <c r="W4" s="3060"/>
      <c r="X4" s="1890"/>
      <c r="Y4" s="3039" t="s">
        <v>2346</v>
      </c>
      <c r="Z4" s="3040"/>
      <c r="AA4" s="3047" t="s">
        <v>2342</v>
      </c>
      <c r="AB4" s="3047" t="s">
        <v>2343</v>
      </c>
      <c r="AC4" s="3047" t="s">
        <v>2344</v>
      </c>
    </row>
    <row r="5" spans="1:29" ht="15">
      <c r="A5" s="381"/>
      <c r="B5" s="382"/>
      <c r="C5" s="3035" t="s">
        <v>2347</v>
      </c>
      <c r="D5" s="3036"/>
      <c r="E5" s="3061" t="s">
        <v>2348</v>
      </c>
      <c r="F5" s="3062"/>
      <c r="G5" s="3035" t="s">
        <v>2349</v>
      </c>
      <c r="H5" s="3036"/>
      <c r="I5" s="3035" t="s">
        <v>2350</v>
      </c>
      <c r="J5" s="3036"/>
      <c r="K5" s="592"/>
      <c r="L5" s="1240"/>
      <c r="M5" s="1241"/>
      <c r="N5" s="1241"/>
      <c r="O5" s="1241"/>
      <c r="P5" s="3072"/>
      <c r="Q5" s="3057"/>
      <c r="R5" s="3041"/>
      <c r="S5" s="3042"/>
      <c r="T5" s="3041"/>
      <c r="U5" s="3042"/>
      <c r="V5" s="3060"/>
      <c r="W5" s="3060"/>
      <c r="X5" s="1890"/>
      <c r="Y5" s="3041"/>
      <c r="Z5" s="3042"/>
      <c r="AA5" s="3048"/>
      <c r="AB5" s="3048"/>
      <c r="AC5" s="3048"/>
    </row>
    <row r="6" spans="1:29" ht="15.75" thickBot="1">
      <c r="A6" s="383"/>
      <c r="B6" s="384"/>
      <c r="C6" s="3033" t="s">
        <v>2351</v>
      </c>
      <c r="D6" s="3034"/>
      <c r="E6" s="3065" t="s">
        <v>2351</v>
      </c>
      <c r="F6" s="3066"/>
      <c r="G6" s="3033" t="s">
        <v>2351</v>
      </c>
      <c r="H6" s="3034"/>
      <c r="I6" s="3033" t="s">
        <v>2351</v>
      </c>
      <c r="J6" s="3034"/>
      <c r="K6" s="592" t="s">
        <v>2352</v>
      </c>
      <c r="L6" s="1240"/>
      <c r="M6" s="1241"/>
      <c r="N6" s="1241"/>
      <c r="O6" s="1241"/>
      <c r="P6" s="3073"/>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389"/>
      <c r="F7" s="390">
        <f>SUMIF(59:59,YEAR(E7)&amp;"-"&amp;MONTH(E7),60:60)</f>
        <v>0</v>
      </c>
      <c r="G7" s="2455"/>
      <c r="H7" s="388">
        <f>SUMIF(59:59,YEAR(G7)&amp;"-"&amp;MONTH(G7),60:60)</f>
        <v>0</v>
      </c>
      <c r="I7" s="2455"/>
      <c r="J7" s="388">
        <f>SUMIF(59:59,YEAR(I7)&amp;"-"&amp;MONTH(I7),60:60)</f>
        <v>0</v>
      </c>
      <c r="K7" s="593"/>
      <c r="L7" s="1242"/>
      <c r="M7" s="1243"/>
      <c r="N7" s="1243"/>
      <c r="O7" s="1243"/>
      <c r="P7" s="3045"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SUMIF(62:62,E8,63:63)-SUMIF(62:62,C8,63:63)+100</f>
        <v>0</v>
      </c>
      <c r="G8" s="392"/>
      <c r="H8" s="388">
        <f>SUMIF(62:62,G8,63:63)-SUMIF(62:62,C8,63:63)+100</f>
        <v>0</v>
      </c>
      <c r="I8" s="392"/>
      <c r="J8" s="388">
        <f>SUMIF(62:62,I8,63:63)-SUMIF(62:62,C8,63:63)+100</f>
        <v>0</v>
      </c>
      <c r="K8" s="593"/>
      <c r="L8" s="1242"/>
      <c r="M8" s="1243"/>
      <c r="N8" s="1243"/>
      <c r="O8" s="1243"/>
      <c r="P8" s="3045" t="s">
        <v>2357</v>
      </c>
      <c r="Q8" s="3038"/>
      <c r="R8" s="747" t="s">
        <v>25</v>
      </c>
      <c r="S8" s="748">
        <f t="shared" si="0"/>
        <v>0</v>
      </c>
      <c r="T8" s="747" t="s">
        <v>25</v>
      </c>
      <c r="U8" s="748">
        <f t="shared" si="1"/>
        <v>0</v>
      </c>
      <c r="V8" s="747" t="s">
        <v>25</v>
      </c>
      <c r="W8" s="748">
        <f t="shared" si="2"/>
        <v>0</v>
      </c>
      <c r="X8" s="749"/>
      <c r="Y8" s="3037" t="s">
        <v>2357</v>
      </c>
      <c r="Z8" s="3038"/>
      <c r="AA8" s="750" t="e">
        <f t="shared" ref="AA8:AA47" si="3">D8/F8</f>
        <v>#DIV/0!</v>
      </c>
      <c r="AB8" s="750" t="e">
        <f t="shared" ref="AB8:AB47" si="4">D8/H8</f>
        <v>#DIV/0!</v>
      </c>
      <c r="AC8" s="750" t="e">
        <f t="shared" ref="AC8:AC47" si="5">D8/J8</f>
        <v>#DIV/0!</v>
      </c>
    </row>
    <row r="9" spans="1:29" s="35" customFormat="1">
      <c r="A9" s="393" t="s">
        <v>2358</v>
      </c>
      <c r="B9" s="28" t="s">
        <v>2359</v>
      </c>
      <c r="C9" s="394"/>
      <c r="D9" s="51">
        <v>100</v>
      </c>
      <c r="E9" s="397"/>
      <c r="F9" s="51">
        <f>SUMIF(64:64,E9,65:65)-SUMIF(64:64,C9,65:65)+100</f>
        <v>100</v>
      </c>
      <c r="G9" s="395"/>
      <c r="H9" s="51">
        <f>SUMIF(64:64,G9,65:65)-SUMIF(64:64,C9,65:65)+100</f>
        <v>100</v>
      </c>
      <c r="I9" s="395"/>
      <c r="J9" s="51">
        <f>SUMIF(64:64,I9,65:65)-SUMIF(64:64,C9,65:65)+100</f>
        <v>100</v>
      </c>
      <c r="K9" s="593"/>
      <c r="L9" s="1242"/>
      <c r="M9" s="1243"/>
      <c r="N9" s="1243"/>
      <c r="O9" s="1243"/>
      <c r="P9" s="3021"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SUMIF(66:66,E10,67:67)-SUMIF(66:66,C10,67:67)+100</f>
        <v>100</v>
      </c>
      <c r="G10" s="402"/>
      <c r="H10" s="52">
        <f>SUMIF(66:66,G10,67:67)-SUMIF(66:66,C10,67:67)+100</f>
        <v>100</v>
      </c>
      <c r="I10" s="401"/>
      <c r="J10" s="52">
        <f>SUMIF(66:66,I10,67:67)-SUMIF(66:66,C10,67:67)+100</f>
        <v>100</v>
      </c>
      <c r="K10" s="594"/>
      <c r="L10" s="1245"/>
      <c r="M10" s="1246"/>
      <c r="N10" s="1246"/>
      <c r="O10" s="1246"/>
      <c r="P10" s="3021"/>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LOOKUP(E11,69:69,70:70)-LOOKUP(C11,69:69,70:70)+100</f>
        <v>#N/A</v>
      </c>
      <c r="G11" s="408"/>
      <c r="H11" s="52" t="e">
        <f>LOOKUP(G11,69:69,70:70)-LOOKUP(C11,69:69,70:70)+100</f>
        <v>#N/A</v>
      </c>
      <c r="I11" s="407"/>
      <c r="J11" s="52" t="e">
        <f>LOOKUP(I11,69:69,70:70)-LOOKUP(C11,69:69,70:70)+100</f>
        <v>#N/A</v>
      </c>
      <c r="K11" s="594"/>
      <c r="L11" s="1248"/>
      <c r="M11" s="1241"/>
      <c r="N11" s="1241"/>
      <c r="O11" s="1241"/>
      <c r="P11" s="3021"/>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8">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021"/>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8">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021"/>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90">
        <v>111</v>
      </c>
      <c r="C14" s="2391"/>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021"/>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7" t="s">
        <v>2364</v>
      </c>
      <c r="B15" s="611" t="s">
        <v>2478</v>
      </c>
      <c r="C15" s="2456"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50"/>
      <c r="M15" s="1241"/>
      <c r="N15" s="1241"/>
      <c r="O15" s="1241"/>
      <c r="P15" s="3055" t="s">
        <v>2365</v>
      </c>
      <c r="Q15" s="1889" t="str">
        <f t="shared" si="6"/>
        <v>办公集聚程度</v>
      </c>
      <c r="R15" s="751" t="s">
        <v>25</v>
      </c>
      <c r="S15" s="752">
        <f t="shared" si="0"/>
        <v>100</v>
      </c>
      <c r="T15" s="751" t="s">
        <v>25</v>
      </c>
      <c r="U15" s="752">
        <f t="shared" si="1"/>
        <v>100</v>
      </c>
      <c r="V15" s="751" t="s">
        <v>25</v>
      </c>
      <c r="W15" s="752">
        <f t="shared" si="2"/>
        <v>100</v>
      </c>
      <c r="X15" s="1890"/>
      <c r="Y15" s="3026" t="s">
        <v>2365</v>
      </c>
      <c r="Z15" s="1892" t="str">
        <f t="shared" si="7"/>
        <v>办公集聚程度</v>
      </c>
      <c r="AA15" s="1893">
        <f t="shared" si="3"/>
        <v>1</v>
      </c>
      <c r="AB15" s="1893">
        <f t="shared" si="4"/>
        <v>1</v>
      </c>
      <c r="AC15" s="1893">
        <f t="shared" si="5"/>
        <v>1</v>
      </c>
    </row>
    <row r="16" spans="1:29" ht="15">
      <c r="A16" s="406"/>
      <c r="B16" s="612"/>
      <c r="C16" s="1463"/>
      <c r="D16" s="425"/>
      <c r="E16" s="424"/>
      <c r="F16" s="425"/>
      <c r="G16" s="1463"/>
      <c r="H16" s="428"/>
      <c r="I16" s="424"/>
      <c r="J16" s="425"/>
      <c r="K16" s="597"/>
      <c r="L16" s="1250"/>
      <c r="M16" s="1241"/>
      <c r="N16" s="1241"/>
      <c r="O16" s="1241"/>
      <c r="P16" s="3057"/>
      <c r="Q16" s="1889"/>
      <c r="R16" s="751"/>
      <c r="S16" s="752"/>
      <c r="T16" s="751"/>
      <c r="U16" s="752"/>
      <c r="V16" s="751"/>
      <c r="W16" s="752"/>
      <c r="X16" s="1890"/>
      <c r="Y16" s="3027"/>
      <c r="Z16" s="1892"/>
      <c r="AA16" s="1893">
        <v>1</v>
      </c>
      <c r="AB16" s="1893">
        <v>1</v>
      </c>
      <c r="AC16" s="1893">
        <v>1</v>
      </c>
    </row>
    <row r="17" spans="1:29" ht="142.5">
      <c r="A17" s="406"/>
      <c r="B17" s="613" t="s">
        <v>1750</v>
      </c>
      <c r="C17" s="2457" t="str">
        <f>估价对象房地状况!C6</f>
        <v>估价对象周边有350路、553路、571路、619路、640路、650路等多条公交线路，距最近的地铁站6号线（褡裢站）约3500米，综合评价交通便捷度一般</v>
      </c>
      <c r="D17" s="428">
        <v>100</v>
      </c>
      <c r="E17" s="432"/>
      <c r="F17" s="428">
        <f>SUMIF(79:79,E18,80:80)-SUMIF(79:79,C18,80:80)+100</f>
        <v>100</v>
      </c>
      <c r="G17" s="430"/>
      <c r="H17" s="433">
        <f>SUMIF(79:79,G18,80:80)-SUMIF(79:79,C18,80:80)+100</f>
        <v>100</v>
      </c>
      <c r="I17" s="430"/>
      <c r="J17" s="433">
        <f>SUMIF(79:79,I18,80:80)-SUMIF(79:79,C18,80:80)+100</f>
        <v>100</v>
      </c>
      <c r="K17" s="596"/>
      <c r="L17" s="1250"/>
      <c r="M17" s="1241"/>
      <c r="N17" s="1241"/>
      <c r="O17" s="1241"/>
      <c r="P17" s="305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614"/>
      <c r="C18" s="2458"/>
      <c r="D18" s="428"/>
      <c r="E18" s="2396"/>
      <c r="F18" s="428"/>
      <c r="G18" s="1459"/>
      <c r="H18" s="425"/>
      <c r="I18" s="1459"/>
      <c r="J18" s="425"/>
      <c r="K18" s="597"/>
      <c r="L18" s="1250"/>
      <c r="M18" s="1241"/>
      <c r="N18" s="1241"/>
      <c r="O18" s="1241"/>
      <c r="P18" s="3057"/>
      <c r="Q18" s="1889"/>
      <c r="R18" s="751"/>
      <c r="S18" s="752"/>
      <c r="T18" s="751"/>
      <c r="U18" s="752"/>
      <c r="V18" s="751"/>
      <c r="W18" s="752"/>
      <c r="X18" s="1890"/>
      <c r="Y18" s="3027"/>
      <c r="Z18" s="1892"/>
      <c r="AA18" s="1893">
        <v>1</v>
      </c>
      <c r="AB18" s="1893">
        <v>1</v>
      </c>
      <c r="AC18" s="1893">
        <v>1</v>
      </c>
    </row>
    <row r="19" spans="1:29" ht="42.75">
      <c r="A19" s="406"/>
      <c r="B19" s="613" t="s">
        <v>2479</v>
      </c>
      <c r="C19" s="2457" t="str">
        <f>估价对象房地状况!C7</f>
        <v>估价对象所在区域公共配套设施齐备情况较好</v>
      </c>
      <c r="D19" s="433">
        <v>100</v>
      </c>
      <c r="E19" s="438"/>
      <c r="F19" s="433">
        <f>SUMIF(81:81,E20,82:82)-SUMIF(81:81,C20,82:82)+100</f>
        <v>100</v>
      </c>
      <c r="G19" s="436"/>
      <c r="H19" s="428">
        <f>SUMIF(81:81,G20,82:82)-SUMIF(81:81,C20,82:82)+100</f>
        <v>100</v>
      </c>
      <c r="I19" s="436"/>
      <c r="J19" s="428">
        <f>SUMIF(81:81,I20,82:82)-SUMIF(81:81,C20,82:82)+100</f>
        <v>100</v>
      </c>
      <c r="K19" s="596"/>
      <c r="L19" s="1250"/>
      <c r="M19" s="1241"/>
      <c r="N19" s="1241"/>
      <c r="O19" s="1241"/>
      <c r="P19" s="3057"/>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614"/>
      <c r="C20" s="1463"/>
      <c r="D20" s="425"/>
      <c r="E20" s="2393"/>
      <c r="F20" s="425"/>
      <c r="G20" s="426"/>
      <c r="H20" s="425"/>
      <c r="I20" s="426"/>
      <c r="J20" s="425"/>
      <c r="K20" s="597"/>
      <c r="L20" s="1250"/>
      <c r="M20" s="1241"/>
      <c r="N20" s="1241"/>
      <c r="O20" s="1241"/>
      <c r="P20" s="3057"/>
      <c r="Q20" s="1889"/>
      <c r="R20" s="751"/>
      <c r="S20" s="752"/>
      <c r="T20" s="751"/>
      <c r="U20" s="752"/>
      <c r="V20" s="751"/>
      <c r="W20" s="752"/>
      <c r="X20" s="1890"/>
      <c r="Y20" s="3027"/>
      <c r="Z20" s="1892"/>
      <c r="AA20" s="1893">
        <v>1</v>
      </c>
      <c r="AB20" s="1893">
        <v>1</v>
      </c>
      <c r="AC20" s="1893">
        <v>1</v>
      </c>
    </row>
    <row r="21" spans="1:29" ht="15">
      <c r="A21" s="406"/>
      <c r="B21" s="615" t="s">
        <v>2480</v>
      </c>
      <c r="C21" s="2457" t="str">
        <f>估价对象房地状况!C8</f>
        <v>七通</v>
      </c>
      <c r="D21" s="433">
        <v>100</v>
      </c>
      <c r="E21" s="438"/>
      <c r="F21" s="433">
        <f>SUMIF(83:83,E22,84:84)-SUMIF(83:83,C22,84:84)+100</f>
        <v>100</v>
      </c>
      <c r="G21" s="436"/>
      <c r="H21" s="428">
        <f>SUMIF(83:83,G22,84:84)-SUMIF(83:83,C22,84:84)+100</f>
        <v>100</v>
      </c>
      <c r="I21" s="436"/>
      <c r="J21" s="428">
        <f>SUMIF(83:83,I22,84:84)-SUMIF(83:83,C22,84:84)+100</f>
        <v>100</v>
      </c>
      <c r="K21" s="596"/>
      <c r="L21" s="1250"/>
      <c r="M21" s="1241"/>
      <c r="N21" s="1241"/>
      <c r="O21" s="1241"/>
      <c r="P21" s="3057"/>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615"/>
      <c r="C22" s="2458"/>
      <c r="D22" s="425"/>
      <c r="E22" s="424"/>
      <c r="F22" s="425"/>
      <c r="G22" s="1463"/>
      <c r="H22" s="425"/>
      <c r="I22" s="1463"/>
      <c r="J22" s="425"/>
      <c r="K22" s="1460"/>
      <c r="L22" s="1250"/>
      <c r="M22" s="1241"/>
      <c r="N22" s="1241"/>
      <c r="O22" s="1241"/>
      <c r="P22" s="3057"/>
      <c r="Q22" s="1889"/>
      <c r="R22" s="751"/>
      <c r="S22" s="752"/>
      <c r="T22" s="751"/>
      <c r="U22" s="752"/>
      <c r="V22" s="751"/>
      <c r="W22" s="752"/>
      <c r="X22" s="1890"/>
      <c r="Y22" s="3027"/>
      <c r="Z22" s="1892"/>
      <c r="AA22" s="1893">
        <v>1</v>
      </c>
      <c r="AB22" s="1893">
        <v>1</v>
      </c>
      <c r="AC22" s="1893">
        <v>1</v>
      </c>
    </row>
    <row r="23" spans="1:29" ht="99.75">
      <c r="A23" s="406"/>
      <c r="B23" s="613" t="s">
        <v>2481</v>
      </c>
      <c r="C23" s="2457" t="str">
        <f>估价对象房地状况!C9</f>
        <v>区域自然环境：东坝郊野公园；人文环境：京城体育休闲公园、北京市东郊殡仪馆；综合评价环境状况一般</v>
      </c>
      <c r="D23" s="428">
        <v>100</v>
      </c>
      <c r="E23" s="432"/>
      <c r="F23" s="428">
        <f>SUMIF(85:85,E24,86:86)-SUMIF(85:85,C24,86:86)+100</f>
        <v>100</v>
      </c>
      <c r="G23" s="430"/>
      <c r="H23" s="428">
        <f>SUMIF(85:85,G24,86:86)-SUMIF(85:85,C24,86:86)+100</f>
        <v>100</v>
      </c>
      <c r="I23" s="430"/>
      <c r="J23" s="428">
        <f>SUMIF(85:85,I24,86:86)-SUMIF(85:85,C24,86:86)+100</f>
        <v>100</v>
      </c>
      <c r="K23" s="596"/>
      <c r="L23" s="1250"/>
      <c r="M23" s="1241"/>
      <c r="N23" s="1241"/>
      <c r="O23" s="1241"/>
      <c r="P23" s="3057"/>
      <c r="Q23" s="1889" t="str">
        <f>B23</f>
        <v>环境质量</v>
      </c>
      <c r="R23" s="751" t="s">
        <v>25</v>
      </c>
      <c r="S23" s="752">
        <f>F23</f>
        <v>100</v>
      </c>
      <c r="T23" s="751" t="s">
        <v>25</v>
      </c>
      <c r="U23" s="752">
        <f>H23</f>
        <v>100</v>
      </c>
      <c r="V23" s="751" t="s">
        <v>25</v>
      </c>
      <c r="W23" s="752">
        <f>J23</f>
        <v>100</v>
      </c>
      <c r="X23" s="1890"/>
      <c r="Y23" s="3027"/>
      <c r="Z23" s="1892" t="str">
        <f>Q23</f>
        <v>环境质量</v>
      </c>
      <c r="AA23" s="1893">
        <f t="shared" si="3"/>
        <v>1</v>
      </c>
      <c r="AB23" s="1893">
        <f t="shared" si="4"/>
        <v>1</v>
      </c>
      <c r="AC23" s="1893">
        <f t="shared" si="5"/>
        <v>1</v>
      </c>
    </row>
    <row r="24" spans="1:29" ht="15">
      <c r="A24" s="406"/>
      <c r="B24" s="615"/>
      <c r="C24" s="1463"/>
      <c r="D24" s="425"/>
      <c r="E24" s="2393"/>
      <c r="F24" s="425"/>
      <c r="G24" s="426"/>
      <c r="H24" s="425"/>
      <c r="I24" s="426"/>
      <c r="J24" s="425"/>
      <c r="K24" s="597"/>
      <c r="L24" s="1250"/>
      <c r="M24" s="1241"/>
      <c r="N24" s="1241"/>
      <c r="O24" s="1241"/>
      <c r="P24" s="3057"/>
      <c r="Q24" s="1889"/>
      <c r="R24" s="751"/>
      <c r="S24" s="752"/>
      <c r="T24" s="751"/>
      <c r="U24" s="752"/>
      <c r="V24" s="751"/>
      <c r="W24" s="752"/>
      <c r="X24" s="1890"/>
      <c r="Y24" s="3027"/>
      <c r="Z24" s="1892"/>
      <c r="AA24" s="1893">
        <v>1</v>
      </c>
      <c r="AB24" s="1893">
        <v>1</v>
      </c>
      <c r="AC24" s="1893">
        <v>1</v>
      </c>
    </row>
    <row r="25" spans="1:29" ht="27">
      <c r="A25" s="381"/>
      <c r="B25" s="613" t="s">
        <v>2482</v>
      </c>
      <c r="C25" s="2459"/>
      <c r="D25" s="413">
        <v>100</v>
      </c>
      <c r="E25" s="412"/>
      <c r="F25" s="413">
        <f>SUMIF(87:87,E26,88:88)-SUMIF(87:87,C26,88:88)+100</f>
        <v>100</v>
      </c>
      <c r="G25" s="2459"/>
      <c r="H25" s="413">
        <f>SUMIF(87:87,G26,88:88)-SUMIF(87:87,C26,88:88)+100</f>
        <v>100</v>
      </c>
      <c r="I25" s="412"/>
      <c r="J25" s="413">
        <f>SUMIF(87:87,I26,88:88)-SUMIF(87:87,C26,88:88)+100</f>
        <v>100</v>
      </c>
      <c r="K25" s="596"/>
      <c r="L25" s="1250"/>
      <c r="M25" s="1241"/>
      <c r="N25" s="1241"/>
      <c r="O25" s="1241"/>
      <c r="P25" s="3057"/>
      <c r="Q25" s="1889" t="str">
        <f>B25</f>
        <v>毗邻道路的类型与等级</v>
      </c>
      <c r="R25" s="751" t="s">
        <v>25</v>
      </c>
      <c r="S25" s="752">
        <f>F25</f>
        <v>100</v>
      </c>
      <c r="T25" s="751" t="s">
        <v>25</v>
      </c>
      <c r="U25" s="752">
        <f>H25</f>
        <v>100</v>
      </c>
      <c r="V25" s="751" t="s">
        <v>25</v>
      </c>
      <c r="W25" s="752">
        <f>J25</f>
        <v>100</v>
      </c>
      <c r="X25" s="1890"/>
      <c r="Y25" s="3027"/>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057"/>
      <c r="Q26" s="1889"/>
      <c r="R26" s="751"/>
      <c r="S26" s="752"/>
      <c r="T26" s="751"/>
      <c r="U26" s="752"/>
      <c r="V26" s="751"/>
      <c r="W26" s="752"/>
      <c r="X26" s="1890"/>
      <c r="Y26" s="3027"/>
      <c r="Z26" s="1892"/>
      <c r="AA26" s="1893">
        <v>1</v>
      </c>
      <c r="AB26" s="1893">
        <v>1</v>
      </c>
      <c r="AC26" s="1893">
        <v>1</v>
      </c>
    </row>
    <row r="27" spans="1:29" ht="15">
      <c r="A27" s="406"/>
      <c r="B27" s="614" t="s">
        <v>2455</v>
      </c>
      <c r="C27" s="616"/>
      <c r="D27" s="413">
        <v>100</v>
      </c>
      <c r="E27" s="598"/>
      <c r="F27" s="413">
        <f>SUMIF(89:89,E27,90:90)-SUMIF(89:89,C27,90:90)+100</f>
        <v>100</v>
      </c>
      <c r="G27" s="616"/>
      <c r="H27" s="413">
        <f>SUMIF(89:89,G27,90:90)-SUMIF(89:89,C27,90:90)+100</f>
        <v>100</v>
      </c>
      <c r="I27" s="598"/>
      <c r="J27" s="413">
        <f>SUMIF(89:89,I27,90:90)-SUMIF(89:89,C27,90:90)+100</f>
        <v>100</v>
      </c>
      <c r="K27" s="594"/>
      <c r="L27" s="1250"/>
      <c r="M27" s="1241"/>
      <c r="N27" s="1241"/>
      <c r="O27" s="1241"/>
      <c r="P27" s="3057"/>
      <c r="Q27" s="1889" t="str">
        <f t="shared" ref="Q27:Q47" si="11">B27</f>
        <v>楼层</v>
      </c>
      <c r="R27" s="751" t="s">
        <v>25</v>
      </c>
      <c r="S27" s="752">
        <f>F27</f>
        <v>100</v>
      </c>
      <c r="T27" s="751" t="s">
        <v>25</v>
      </c>
      <c r="U27" s="752">
        <f>H27</f>
        <v>100</v>
      </c>
      <c r="V27" s="751" t="s">
        <v>25</v>
      </c>
      <c r="W27" s="752">
        <f>J27</f>
        <v>100</v>
      </c>
      <c r="X27" s="1890"/>
      <c r="Y27" s="3027"/>
      <c r="Z27" s="1892" t="str">
        <f>Q27</f>
        <v>楼层</v>
      </c>
      <c r="AA27" s="1893">
        <f t="shared" si="3"/>
        <v>1</v>
      </c>
      <c r="AB27" s="1893">
        <f t="shared" si="4"/>
        <v>1</v>
      </c>
      <c r="AC27" s="1893">
        <f t="shared" si="5"/>
        <v>1</v>
      </c>
    </row>
    <row r="28" spans="1:29" s="35" customFormat="1" ht="15">
      <c r="A28" s="409"/>
      <c r="B28" s="613" t="s">
        <v>2483</v>
      </c>
      <c r="C28" s="2460"/>
      <c r="D28" s="441">
        <v>100</v>
      </c>
      <c r="E28" s="2447"/>
      <c r="F28" s="441">
        <f>SUMIF(91:91,E28,92:92)-SUMIF(91:91,C28,92:92)+100</f>
        <v>100</v>
      </c>
      <c r="G28" s="2460"/>
      <c r="H28" s="441">
        <f>SUMIF(91:91,G28,92:92)-SUMIF(91:91,C28,92:92)+100</f>
        <v>100</v>
      </c>
      <c r="I28" s="2447"/>
      <c r="J28" s="441">
        <f>SUMIF(91:91,I28,92:92)-SUMIF(91:91,C28,92:92)+100</f>
        <v>100</v>
      </c>
      <c r="K28" s="594"/>
      <c r="L28" s="1242"/>
      <c r="M28" s="1243"/>
      <c r="N28" s="1243"/>
      <c r="O28" s="1243"/>
      <c r="P28" s="3057"/>
      <c r="Q28" s="1877" t="str">
        <f t="shared" si="11"/>
        <v>朝向</v>
      </c>
      <c r="R28" s="747" t="s">
        <v>25</v>
      </c>
      <c r="S28" s="748">
        <f>F28</f>
        <v>100</v>
      </c>
      <c r="T28" s="747" t="s">
        <v>25</v>
      </c>
      <c r="U28" s="748">
        <f>H28</f>
        <v>100</v>
      </c>
      <c r="V28" s="747" t="s">
        <v>25</v>
      </c>
      <c r="W28" s="748">
        <f>J28</f>
        <v>100</v>
      </c>
      <c r="X28" s="749"/>
      <c r="Y28" s="3027"/>
      <c r="Z28" s="23" t="str">
        <f>Q28</f>
        <v>朝向</v>
      </c>
      <c r="AA28" s="1893">
        <f>D28/F28</f>
        <v>1</v>
      </c>
      <c r="AB28" s="1893">
        <f>D28/H28</f>
        <v>1</v>
      </c>
      <c r="AC28" s="1893">
        <f>D28/J28</f>
        <v>1</v>
      </c>
    </row>
    <row r="29" spans="1:29" ht="15">
      <c r="A29" s="406"/>
      <c r="B29" s="2461">
        <v>111</v>
      </c>
      <c r="C29" s="2459"/>
      <c r="D29" s="413">
        <v>100</v>
      </c>
      <c r="E29" s="410"/>
      <c r="F29" s="413">
        <f>SUMIF(93:93,E29,94:94)-SUMIF(93:93,C29,94:94)+100</f>
        <v>100</v>
      </c>
      <c r="G29" s="1464"/>
      <c r="H29" s="413">
        <f>SUMIF(93:93,G29,94:94)-SUMIF(93:93,C29,94:94)+100</f>
        <v>100</v>
      </c>
      <c r="I29" s="410"/>
      <c r="J29" s="413">
        <f>SUMIF(93:93,I29,94:94)-SUMIF(93:93,C29,94:94)+100</f>
        <v>100</v>
      </c>
      <c r="K29" s="595"/>
      <c r="L29" s="1250"/>
      <c r="M29" s="1241"/>
      <c r="N29" s="1241"/>
      <c r="O29" s="1241"/>
      <c r="P29" s="3057"/>
      <c r="Q29" s="1889">
        <f t="shared" si="11"/>
        <v>111</v>
      </c>
      <c r="R29" s="751" t="s">
        <v>25</v>
      </c>
      <c r="S29" s="752">
        <f t="shared" ref="S29:S47" si="12">F29</f>
        <v>100</v>
      </c>
      <c r="T29" s="751" t="s">
        <v>25</v>
      </c>
      <c r="U29" s="752">
        <f t="shared" ref="U29:U47" si="13">H29</f>
        <v>100</v>
      </c>
      <c r="V29" s="751" t="s">
        <v>25</v>
      </c>
      <c r="W29" s="752">
        <f t="shared" ref="W29:W47" si="14">J29</f>
        <v>100</v>
      </c>
      <c r="X29" s="1890"/>
      <c r="Y29" s="3027"/>
      <c r="Z29" s="1892">
        <f t="shared" ref="Z29:Z47" si="15">Q29</f>
        <v>111</v>
      </c>
      <c r="AA29" s="1893">
        <f t="shared" si="3"/>
        <v>1</v>
      </c>
      <c r="AB29" s="1893">
        <f t="shared" si="4"/>
        <v>1</v>
      </c>
      <c r="AC29" s="1893">
        <f t="shared" si="5"/>
        <v>1</v>
      </c>
    </row>
    <row r="30" spans="1:29" ht="15">
      <c r="A30" s="406"/>
      <c r="B30" s="2461">
        <v>111</v>
      </c>
      <c r="C30" s="2459"/>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057"/>
      <c r="Q30" s="1889">
        <f t="shared" si="11"/>
        <v>111</v>
      </c>
      <c r="R30" s="751" t="s">
        <v>25</v>
      </c>
      <c r="S30" s="752">
        <f t="shared" si="12"/>
        <v>100</v>
      </c>
      <c r="T30" s="751" t="s">
        <v>25</v>
      </c>
      <c r="U30" s="752">
        <f t="shared" si="13"/>
        <v>100</v>
      </c>
      <c r="V30" s="751" t="s">
        <v>25</v>
      </c>
      <c r="W30" s="752">
        <f t="shared" si="14"/>
        <v>100</v>
      </c>
      <c r="X30" s="1890"/>
      <c r="Y30" s="3027"/>
      <c r="Z30" s="1892">
        <f t="shared" si="15"/>
        <v>111</v>
      </c>
      <c r="AA30" s="1893">
        <f t="shared" si="3"/>
        <v>1</v>
      </c>
      <c r="AB30" s="1893">
        <f t="shared" si="4"/>
        <v>1</v>
      </c>
      <c r="AC30" s="1893">
        <f t="shared" si="5"/>
        <v>1</v>
      </c>
    </row>
    <row r="31" spans="1:29" ht="15">
      <c r="A31" s="406"/>
      <c r="B31" s="2461">
        <v>111</v>
      </c>
      <c r="C31" s="2459"/>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057"/>
      <c r="Q31" s="1889">
        <f t="shared" si="11"/>
        <v>111</v>
      </c>
      <c r="R31" s="751" t="s">
        <v>25</v>
      </c>
      <c r="S31" s="752">
        <f t="shared" si="12"/>
        <v>100</v>
      </c>
      <c r="T31" s="751" t="s">
        <v>25</v>
      </c>
      <c r="U31" s="752">
        <f t="shared" si="13"/>
        <v>100</v>
      </c>
      <c r="V31" s="751" t="s">
        <v>25</v>
      </c>
      <c r="W31" s="752">
        <f t="shared" si="14"/>
        <v>100</v>
      </c>
      <c r="X31" s="1890"/>
      <c r="Y31" s="3027"/>
      <c r="Z31" s="1892">
        <f t="shared" si="15"/>
        <v>111</v>
      </c>
      <c r="AA31" s="1893">
        <f t="shared" si="3"/>
        <v>1</v>
      </c>
      <c r="AB31" s="1893">
        <f t="shared" si="4"/>
        <v>1</v>
      </c>
      <c r="AC31" s="1893">
        <f t="shared" si="5"/>
        <v>1</v>
      </c>
    </row>
    <row r="32" spans="1:29" ht="15.75"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057"/>
      <c r="Q32" s="1889">
        <f t="shared" si="11"/>
        <v>111</v>
      </c>
      <c r="R32" s="751" t="s">
        <v>25</v>
      </c>
      <c r="S32" s="752">
        <f t="shared" si="12"/>
        <v>100</v>
      </c>
      <c r="T32" s="751" t="s">
        <v>25</v>
      </c>
      <c r="U32" s="752">
        <f t="shared" si="13"/>
        <v>100</v>
      </c>
      <c r="V32" s="751" t="s">
        <v>25</v>
      </c>
      <c r="W32" s="752">
        <f t="shared" si="14"/>
        <v>100</v>
      </c>
      <c r="X32" s="1890"/>
      <c r="Y32" s="3027"/>
      <c r="Z32" s="1892">
        <f t="shared" si="15"/>
        <v>111</v>
      </c>
      <c r="AA32" s="1893">
        <f t="shared" si="3"/>
        <v>1</v>
      </c>
      <c r="AB32" s="1893">
        <f t="shared" si="4"/>
        <v>1</v>
      </c>
      <c r="AC32" s="1893">
        <f t="shared" si="5"/>
        <v>1</v>
      </c>
    </row>
    <row r="33" spans="1:29" ht="15">
      <c r="A33" s="417" t="s">
        <v>2369</v>
      </c>
      <c r="B33" s="28" t="s">
        <v>2484</v>
      </c>
      <c r="C33" s="2462"/>
      <c r="D33" s="446">
        <v>100</v>
      </c>
      <c r="E33" s="2462"/>
      <c r="F33" s="440">
        <f>SUMIF(101:101,E33,102:102)-SUMIF(101:101,C33,102:102)+100</f>
        <v>100</v>
      </c>
      <c r="G33" s="2462"/>
      <c r="H33" s="413">
        <f>SUMIF(101:101,G33,102:102)-SUMIF(101:101,C33,102:102)+100</f>
        <v>100</v>
      </c>
      <c r="I33" s="2462"/>
      <c r="J33" s="446">
        <f>SUMIF(101:101,I33,102:102)-SUMIF(101:101,C33,102:102)+100</f>
        <v>100</v>
      </c>
      <c r="K33" s="594"/>
      <c r="L33" s="1250"/>
      <c r="M33" s="1241"/>
      <c r="N33" s="1241"/>
      <c r="O33" s="1241"/>
      <c r="P33" s="3068" t="s">
        <v>2371</v>
      </c>
      <c r="Q33" s="1889" t="str">
        <f t="shared" si="11"/>
        <v>建筑类型</v>
      </c>
      <c r="R33" s="751" t="s">
        <v>25</v>
      </c>
      <c r="S33" s="752">
        <f t="shared" si="12"/>
        <v>100</v>
      </c>
      <c r="T33" s="751" t="s">
        <v>25</v>
      </c>
      <c r="U33" s="752">
        <f t="shared" si="13"/>
        <v>100</v>
      </c>
      <c r="V33" s="751" t="s">
        <v>25</v>
      </c>
      <c r="W33" s="752">
        <f t="shared" si="14"/>
        <v>100</v>
      </c>
      <c r="X33" s="1890"/>
      <c r="Y33" s="3031" t="s">
        <v>2371</v>
      </c>
      <c r="Z33" s="1892" t="str">
        <f t="shared" si="15"/>
        <v>建筑类型</v>
      </c>
      <c r="AA33" s="1893">
        <f t="shared" si="3"/>
        <v>1</v>
      </c>
      <c r="AB33" s="1893">
        <f t="shared" si="4"/>
        <v>1</v>
      </c>
      <c r="AC33" s="1893">
        <f t="shared" si="5"/>
        <v>1</v>
      </c>
    </row>
    <row r="34" spans="1:29" s="450" customFormat="1" ht="15">
      <c r="A34" s="447"/>
      <c r="B34" s="400" t="s">
        <v>2372</v>
      </c>
      <c r="C34" s="448"/>
      <c r="D34" s="52">
        <v>100</v>
      </c>
      <c r="E34" s="408"/>
      <c r="F34" s="403" t="e">
        <f>LOOKUP(E34,104:104,105:105)-LOOKUP(C34,104:104,105:105)+100</f>
        <v>#N/A</v>
      </c>
      <c r="G34" s="407"/>
      <c r="H34" s="52" t="e">
        <f>LOOKUP(G34,104:104,105:105)-LOOKUP(C34,104:104,105:105)+100</f>
        <v>#N/A</v>
      </c>
      <c r="I34" s="407"/>
      <c r="J34" s="52" t="e">
        <f>LOOKUP(I34,104:104,105:105)-LOOKUP(C34,104:104,105:105)+100</f>
        <v>#N/A</v>
      </c>
      <c r="K34" s="595"/>
      <c r="L34" s="1248"/>
      <c r="M34" s="1251"/>
      <c r="N34" s="1251"/>
      <c r="O34" s="1251"/>
      <c r="P34" s="3069"/>
      <c r="Q34" s="753" t="str">
        <f t="shared" si="11"/>
        <v>项目建筑规模</v>
      </c>
      <c r="R34" s="754" t="s">
        <v>25</v>
      </c>
      <c r="S34" s="755" t="e">
        <f t="shared" si="12"/>
        <v>#N/A</v>
      </c>
      <c r="T34" s="754" t="s">
        <v>25</v>
      </c>
      <c r="U34" s="755" t="e">
        <f t="shared" si="13"/>
        <v>#N/A</v>
      </c>
      <c r="V34" s="754" t="s">
        <v>25</v>
      </c>
      <c r="W34" s="755" t="e">
        <f t="shared" si="14"/>
        <v>#N/A</v>
      </c>
      <c r="X34" s="756"/>
      <c r="Y34" s="3031"/>
      <c r="Z34" s="757" t="str">
        <f t="shared" si="15"/>
        <v>项目建筑规模</v>
      </c>
      <c r="AA34" s="1893" t="e">
        <f t="shared" si="3"/>
        <v>#N/A</v>
      </c>
      <c r="AB34" s="1893" t="e">
        <f t="shared" si="4"/>
        <v>#N/A</v>
      </c>
      <c r="AC34" s="1893" t="e">
        <f t="shared" si="5"/>
        <v>#N/A</v>
      </c>
    </row>
    <row r="35" spans="1:29" ht="15">
      <c r="A35" s="451"/>
      <c r="B35" s="400" t="s">
        <v>2373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50"/>
      <c r="M35" s="1241"/>
      <c r="N35" s="1241"/>
      <c r="O35" s="1241"/>
      <c r="P35" s="3069"/>
      <c r="Q35" s="1889" t="str">
        <f t="shared" si="11"/>
        <v>建筑结构</v>
      </c>
      <c r="R35" s="751" t="s">
        <v>25</v>
      </c>
      <c r="S35" s="752">
        <f t="shared" si="12"/>
        <v>100</v>
      </c>
      <c r="T35" s="751" t="s">
        <v>25</v>
      </c>
      <c r="U35" s="752">
        <f t="shared" si="13"/>
        <v>100</v>
      </c>
      <c r="V35" s="751" t="s">
        <v>25</v>
      </c>
      <c r="W35" s="752">
        <f t="shared" si="14"/>
        <v>100</v>
      </c>
      <c r="X35" s="1890"/>
      <c r="Y35" s="3031"/>
      <c r="Z35" s="1892" t="str">
        <f t="shared" si="15"/>
        <v>建筑结构</v>
      </c>
      <c r="AA35" s="1893">
        <f t="shared" si="3"/>
        <v>1</v>
      </c>
      <c r="AB35" s="1893">
        <f t="shared" si="4"/>
        <v>1</v>
      </c>
      <c r="AC35" s="1893">
        <f t="shared" si="5"/>
        <v>1</v>
      </c>
    </row>
    <row r="36" spans="1:29" ht="15">
      <c r="A36" s="451"/>
      <c r="B36" s="400" t="s">
        <v>2457</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50"/>
      <c r="M36" s="1241"/>
      <c r="N36" s="1241"/>
      <c r="O36" s="1241"/>
      <c r="P36" s="3069"/>
      <c r="Q36" s="1889" t="str">
        <f t="shared" si="11"/>
        <v>公共部分装修</v>
      </c>
      <c r="R36" s="751" t="s">
        <v>25</v>
      </c>
      <c r="S36" s="752">
        <f t="shared" si="12"/>
        <v>100</v>
      </c>
      <c r="T36" s="751" t="s">
        <v>25</v>
      </c>
      <c r="U36" s="752">
        <f t="shared" si="13"/>
        <v>100</v>
      </c>
      <c r="V36" s="751" t="s">
        <v>25</v>
      </c>
      <c r="W36" s="752">
        <f t="shared" si="14"/>
        <v>100</v>
      </c>
      <c r="X36" s="1890"/>
      <c r="Y36" s="3031"/>
      <c r="Z36" s="1892" t="str">
        <f t="shared" si="15"/>
        <v>公共部分装修</v>
      </c>
      <c r="AA36" s="1893">
        <f t="shared" si="3"/>
        <v>1</v>
      </c>
      <c r="AB36" s="1893">
        <f t="shared" si="4"/>
        <v>1</v>
      </c>
      <c r="AC36" s="1893">
        <f t="shared" si="5"/>
        <v>1</v>
      </c>
    </row>
    <row r="37" spans="1:29" ht="15">
      <c r="A37" s="451"/>
      <c r="B37" s="400" t="s">
        <v>2458</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50"/>
      <c r="M37" s="1241"/>
      <c r="N37" s="1241"/>
      <c r="O37" s="1241"/>
      <c r="P37" s="3069"/>
      <c r="Q37" s="1889" t="str">
        <f t="shared" si="11"/>
        <v>成新度</v>
      </c>
      <c r="R37" s="751" t="s">
        <v>25</v>
      </c>
      <c r="S37" s="752" t="e">
        <f t="shared" si="12"/>
        <v>#N/A</v>
      </c>
      <c r="T37" s="751" t="s">
        <v>25</v>
      </c>
      <c r="U37" s="752" t="e">
        <f t="shared" si="13"/>
        <v>#N/A</v>
      </c>
      <c r="V37" s="751" t="s">
        <v>25</v>
      </c>
      <c r="W37" s="752" t="e">
        <f t="shared" si="14"/>
        <v>#N/A</v>
      </c>
      <c r="X37" s="1890"/>
      <c r="Y37" s="3031"/>
      <c r="Z37" s="1892" t="str">
        <f t="shared" si="15"/>
        <v>成新度</v>
      </c>
      <c r="AA37" s="1893" t="e">
        <f t="shared" si="3"/>
        <v>#N/A</v>
      </c>
      <c r="AB37" s="1893" t="e">
        <f t="shared" si="4"/>
        <v>#N/A</v>
      </c>
      <c r="AC37" s="1893" t="e">
        <f t="shared" si="5"/>
        <v>#N/A</v>
      </c>
    </row>
    <row r="38" spans="1:29" s="35" customFormat="1" ht="15">
      <c r="A38" s="452"/>
      <c r="B38" s="400" t="s">
        <v>2485</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069"/>
      <c r="Q38" s="1877" t="str">
        <f t="shared" si="11"/>
        <v>写字楼等级</v>
      </c>
      <c r="R38" s="747" t="s">
        <v>25</v>
      </c>
      <c r="S38" s="748">
        <f t="shared" si="12"/>
        <v>100</v>
      </c>
      <c r="T38" s="747" t="s">
        <v>25</v>
      </c>
      <c r="U38" s="748">
        <f t="shared" si="13"/>
        <v>100</v>
      </c>
      <c r="V38" s="747" t="s">
        <v>25</v>
      </c>
      <c r="W38" s="748">
        <f t="shared" si="14"/>
        <v>100</v>
      </c>
      <c r="X38" s="749"/>
      <c r="Y38" s="3031"/>
      <c r="Z38" s="23" t="str">
        <f t="shared" si="15"/>
        <v>写字楼等级</v>
      </c>
      <c r="AA38" s="750">
        <f t="shared" si="3"/>
        <v>1</v>
      </c>
      <c r="AB38" s="750">
        <f t="shared" si="4"/>
        <v>1</v>
      </c>
      <c r="AC38" s="750">
        <f t="shared" si="5"/>
        <v>1</v>
      </c>
    </row>
    <row r="39" spans="1:29" ht="15">
      <c r="A39" s="451"/>
      <c r="B39" s="400" t="s">
        <v>2486</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50"/>
      <c r="M39" s="1241"/>
      <c r="N39" s="1241"/>
      <c r="O39" s="1241"/>
      <c r="P39" s="3069" t="s">
        <v>2371</v>
      </c>
      <c r="Q39" s="1889" t="str">
        <f t="shared" si="11"/>
        <v>物业管理</v>
      </c>
      <c r="R39" s="751" t="s">
        <v>25</v>
      </c>
      <c r="S39" s="752">
        <f t="shared" si="12"/>
        <v>100</v>
      </c>
      <c r="T39" s="751" t="s">
        <v>25</v>
      </c>
      <c r="U39" s="752">
        <f t="shared" si="13"/>
        <v>100</v>
      </c>
      <c r="V39" s="751" t="s">
        <v>25</v>
      </c>
      <c r="W39" s="752">
        <f t="shared" si="14"/>
        <v>100</v>
      </c>
      <c r="X39" s="1890"/>
      <c r="Y39" s="3031" t="s">
        <v>2371</v>
      </c>
      <c r="Z39" s="1892" t="str">
        <f t="shared" si="15"/>
        <v>物业管理</v>
      </c>
      <c r="AA39" s="1893">
        <f t="shared" si="3"/>
        <v>1</v>
      </c>
      <c r="AB39" s="1893">
        <f t="shared" si="4"/>
        <v>1</v>
      </c>
      <c r="AC39" s="1893">
        <f t="shared" si="5"/>
        <v>1</v>
      </c>
    </row>
    <row r="40" spans="1:29" ht="15">
      <c r="A40" s="451"/>
      <c r="B40" s="400" t="s">
        <v>2459</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50"/>
      <c r="M40" s="1241"/>
      <c r="N40" s="1241"/>
      <c r="O40" s="1241"/>
      <c r="P40" s="3069"/>
      <c r="Q40" s="1889" t="str">
        <f t="shared" si="11"/>
        <v>市政基础设施</v>
      </c>
      <c r="R40" s="751" t="s">
        <v>25</v>
      </c>
      <c r="S40" s="752">
        <f t="shared" si="12"/>
        <v>100</v>
      </c>
      <c r="T40" s="751" t="s">
        <v>25</v>
      </c>
      <c r="U40" s="752">
        <f t="shared" si="13"/>
        <v>100</v>
      </c>
      <c r="V40" s="751" t="s">
        <v>25</v>
      </c>
      <c r="W40" s="752">
        <f t="shared" si="14"/>
        <v>100</v>
      </c>
      <c r="X40" s="1890"/>
      <c r="Y40" s="3031"/>
      <c r="Z40" s="1892" t="str">
        <f t="shared" si="15"/>
        <v>市政基础设施</v>
      </c>
      <c r="AA40" s="1893">
        <f t="shared" si="3"/>
        <v>1</v>
      </c>
      <c r="AB40" s="1893">
        <f t="shared" si="4"/>
        <v>1</v>
      </c>
      <c r="AC40" s="1893">
        <f t="shared" si="5"/>
        <v>1</v>
      </c>
    </row>
    <row r="41" spans="1:29" ht="15">
      <c r="A41" s="451"/>
      <c r="B41" s="400" t="s">
        <v>2461</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50"/>
      <c r="M41" s="1241"/>
      <c r="N41" s="1241"/>
      <c r="O41" s="1241"/>
      <c r="P41" s="3069"/>
      <c r="Q41" s="1889" t="str">
        <f t="shared" si="11"/>
        <v>层高</v>
      </c>
      <c r="R41" s="751" t="s">
        <v>25</v>
      </c>
      <c r="S41" s="752">
        <f t="shared" si="12"/>
        <v>100</v>
      </c>
      <c r="T41" s="751" t="s">
        <v>25</v>
      </c>
      <c r="U41" s="752">
        <f t="shared" si="13"/>
        <v>100</v>
      </c>
      <c r="V41" s="751" t="s">
        <v>25</v>
      </c>
      <c r="W41" s="752">
        <f t="shared" si="14"/>
        <v>100</v>
      </c>
      <c r="X41" s="1890"/>
      <c r="Y41" s="3031"/>
      <c r="Z41" s="1892" t="str">
        <f t="shared" si="15"/>
        <v>层高</v>
      </c>
      <c r="AA41" s="1893">
        <f t="shared" si="3"/>
        <v>1</v>
      </c>
      <c r="AB41" s="1893">
        <f t="shared" si="4"/>
        <v>1</v>
      </c>
      <c r="AC41" s="1893">
        <f t="shared" si="5"/>
        <v>1</v>
      </c>
    </row>
    <row r="42" spans="1:29" s="450" customFormat="1" ht="15">
      <c r="A42" s="447"/>
      <c r="B42" s="1894" t="s">
        <v>2487</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8"/>
      <c r="M42" s="1251"/>
      <c r="N42" s="1251"/>
      <c r="O42" s="1251"/>
      <c r="P42" s="3069"/>
      <c r="Q42" s="753" t="str">
        <f t="shared" si="11"/>
        <v>单套建筑面积</v>
      </c>
      <c r="R42" s="754" t="s">
        <v>25</v>
      </c>
      <c r="S42" s="755">
        <f t="shared" si="12"/>
        <v>100</v>
      </c>
      <c r="T42" s="754" t="s">
        <v>25</v>
      </c>
      <c r="U42" s="755">
        <f t="shared" si="13"/>
        <v>100</v>
      </c>
      <c r="V42" s="754" t="s">
        <v>25</v>
      </c>
      <c r="W42" s="755">
        <f t="shared" si="14"/>
        <v>100</v>
      </c>
      <c r="X42" s="756"/>
      <c r="Y42" s="3031"/>
      <c r="Z42" s="757" t="str">
        <f t="shared" si="15"/>
        <v>单套建筑面积</v>
      </c>
      <c r="AA42" s="1893">
        <f t="shared" si="3"/>
        <v>1</v>
      </c>
      <c r="AB42" s="1893">
        <f t="shared" si="4"/>
        <v>1</v>
      </c>
      <c r="AC42" s="1893">
        <f t="shared" si="5"/>
        <v>1</v>
      </c>
    </row>
    <row r="43" spans="1:29" ht="15">
      <c r="A43" s="451"/>
      <c r="B43" s="400" t="s">
        <v>2464</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50"/>
      <c r="M43" s="1241"/>
      <c r="N43" s="1241"/>
      <c r="O43" s="1241"/>
      <c r="P43" s="3069"/>
      <c r="Q43" s="1889" t="str">
        <f t="shared" si="11"/>
        <v>内部装修</v>
      </c>
      <c r="R43" s="751" t="s">
        <v>25</v>
      </c>
      <c r="S43" s="752">
        <f t="shared" si="12"/>
        <v>100</v>
      </c>
      <c r="T43" s="751" t="s">
        <v>25</v>
      </c>
      <c r="U43" s="752">
        <f t="shared" si="13"/>
        <v>100</v>
      </c>
      <c r="V43" s="751" t="s">
        <v>25</v>
      </c>
      <c r="W43" s="752">
        <f t="shared" si="14"/>
        <v>100</v>
      </c>
      <c r="X43" s="1890"/>
      <c r="Y43" s="3031"/>
      <c r="Z43" s="1892" t="str">
        <f t="shared" si="15"/>
        <v>内部装修</v>
      </c>
      <c r="AA43" s="1893">
        <f t="shared" si="3"/>
        <v>1</v>
      </c>
      <c r="AB43" s="1893">
        <f t="shared" si="4"/>
        <v>1</v>
      </c>
      <c r="AC43" s="1893">
        <f t="shared" si="5"/>
        <v>1</v>
      </c>
    </row>
    <row r="44" spans="1:29" ht="15">
      <c r="A44" s="451"/>
      <c r="B44" s="400" t="s">
        <v>2382</v>
      </c>
      <c r="C44" s="439"/>
      <c r="D44" s="413">
        <v>100</v>
      </c>
      <c r="E44" s="2400"/>
      <c r="F44" s="440">
        <f>SUMIF(125:125,E44,126:126)-SUMIF(125:125,C44,126:126)+100</f>
        <v>100</v>
      </c>
      <c r="G44" s="2400"/>
      <c r="H44" s="413">
        <f>SUMIF(125:125,G44,126:126)-SUMIF(125:125,C44,126:126)+100</f>
        <v>100</v>
      </c>
      <c r="I44" s="2400"/>
      <c r="J44" s="413">
        <f>SUMIF(125:125,I44,126:126)-SUMIF(125:125,C44,126:126)+100</f>
        <v>100</v>
      </c>
      <c r="K44" s="594"/>
      <c r="L44" s="1250"/>
      <c r="M44" s="1241"/>
      <c r="N44" s="1241"/>
      <c r="O44" s="1241"/>
      <c r="P44" s="3069"/>
      <c r="Q44" s="1889" t="str">
        <f t="shared" si="11"/>
        <v>内部装修维护情况</v>
      </c>
      <c r="R44" s="751" t="s">
        <v>25</v>
      </c>
      <c r="S44" s="752">
        <f t="shared" si="12"/>
        <v>100</v>
      </c>
      <c r="T44" s="751" t="s">
        <v>25</v>
      </c>
      <c r="U44" s="752">
        <f t="shared" si="13"/>
        <v>100</v>
      </c>
      <c r="V44" s="751" t="s">
        <v>25</v>
      </c>
      <c r="W44" s="752">
        <f t="shared" si="14"/>
        <v>100</v>
      </c>
      <c r="X44" s="1890"/>
      <c r="Y44" s="3031"/>
      <c r="Z44" s="1892" t="str">
        <f t="shared" si="15"/>
        <v>内部装修维护情况</v>
      </c>
      <c r="AA44" s="1893">
        <f t="shared" si="3"/>
        <v>1</v>
      </c>
      <c r="AB44" s="1893">
        <f t="shared" si="4"/>
        <v>1</v>
      </c>
      <c r="AC44" s="1893">
        <f t="shared" si="5"/>
        <v>1</v>
      </c>
    </row>
    <row r="45" spans="1:29" s="35" customFormat="1" ht="15">
      <c r="A45" s="452"/>
      <c r="B45" s="2401">
        <v>111</v>
      </c>
      <c r="C45" s="448"/>
      <c r="D45" s="52">
        <v>100</v>
      </c>
      <c r="E45" s="410"/>
      <c r="F45" s="403">
        <f>SUMIF(127:127,E45,128:128)-SUMIF(127:127,C45,128:128)+100</f>
        <v>100</v>
      </c>
      <c r="G45" s="410"/>
      <c r="H45" s="52">
        <f>SUMIF(127:127,G45,128:128)-SUMIF(127:127,C45,128:128)+100</f>
        <v>100</v>
      </c>
      <c r="I45" s="410"/>
      <c r="J45" s="52">
        <f>SUMIF(127:127,I45,128:128)-SUMIF(127:127,C45,128:128)+100</f>
        <v>100</v>
      </c>
      <c r="K45" s="595"/>
      <c r="L45" s="1242"/>
      <c r="M45" s="1243"/>
      <c r="N45" s="1243"/>
      <c r="O45" s="1243"/>
      <c r="P45" s="3069"/>
      <c r="Q45" s="1877">
        <f t="shared" si="11"/>
        <v>111</v>
      </c>
      <c r="R45" s="747" t="s">
        <v>25</v>
      </c>
      <c r="S45" s="748">
        <f t="shared" si="12"/>
        <v>100</v>
      </c>
      <c r="T45" s="747" t="s">
        <v>25</v>
      </c>
      <c r="U45" s="748">
        <f t="shared" si="13"/>
        <v>100</v>
      </c>
      <c r="V45" s="747" t="s">
        <v>25</v>
      </c>
      <c r="W45" s="748">
        <f t="shared" si="14"/>
        <v>100</v>
      </c>
      <c r="X45" s="749"/>
      <c r="Y45" s="3031"/>
      <c r="Z45" s="23">
        <f t="shared" si="15"/>
        <v>111</v>
      </c>
      <c r="AA45" s="750">
        <f t="shared" si="3"/>
        <v>1</v>
      </c>
      <c r="AB45" s="750">
        <f t="shared" si="4"/>
        <v>1</v>
      </c>
      <c r="AC45" s="750">
        <f t="shared" si="5"/>
        <v>1</v>
      </c>
    </row>
    <row r="46" spans="1:29" ht="15">
      <c r="A46" s="451"/>
      <c r="B46" s="2401">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069"/>
      <c r="Q46" s="1889">
        <f t="shared" si="11"/>
        <v>111</v>
      </c>
      <c r="R46" s="751" t="s">
        <v>25</v>
      </c>
      <c r="S46" s="752">
        <f t="shared" si="12"/>
        <v>100</v>
      </c>
      <c r="T46" s="751" t="s">
        <v>25</v>
      </c>
      <c r="U46" s="752">
        <f t="shared" si="13"/>
        <v>100</v>
      </c>
      <c r="V46" s="751" t="s">
        <v>25</v>
      </c>
      <c r="W46" s="752">
        <f t="shared" si="14"/>
        <v>100</v>
      </c>
      <c r="X46" s="1890"/>
      <c r="Y46" s="3031"/>
      <c r="Z46" s="1892">
        <f t="shared" si="15"/>
        <v>111</v>
      </c>
      <c r="AA46" s="1893">
        <f t="shared" si="3"/>
        <v>1</v>
      </c>
      <c r="AB46" s="1893">
        <f t="shared" si="4"/>
        <v>1</v>
      </c>
      <c r="AC46" s="1893">
        <f t="shared" si="5"/>
        <v>1</v>
      </c>
    </row>
    <row r="47" spans="1:29" ht="15.75" thickBot="1">
      <c r="A47" s="457"/>
      <c r="B47" s="2390">
        <v>111</v>
      </c>
      <c r="C47" s="2391"/>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070"/>
      <c r="Q47" s="1889">
        <f t="shared" si="11"/>
        <v>111</v>
      </c>
      <c r="R47" s="751" t="s">
        <v>25</v>
      </c>
      <c r="S47" s="752">
        <f t="shared" si="12"/>
        <v>100</v>
      </c>
      <c r="T47" s="751" t="s">
        <v>25</v>
      </c>
      <c r="U47" s="752">
        <f t="shared" si="13"/>
        <v>100</v>
      </c>
      <c r="V47" s="751" t="s">
        <v>25</v>
      </c>
      <c r="W47" s="752">
        <f t="shared" si="14"/>
        <v>100</v>
      </c>
      <c r="X47" s="1890"/>
      <c r="Y47" s="3032"/>
      <c r="Z47" s="1892">
        <f t="shared" si="15"/>
        <v>111</v>
      </c>
      <c r="AA47" s="1893">
        <f t="shared" si="3"/>
        <v>1</v>
      </c>
      <c r="AB47" s="1893">
        <f t="shared" si="4"/>
        <v>1</v>
      </c>
      <c r="AC47" s="1893">
        <f t="shared" si="5"/>
        <v>1</v>
      </c>
    </row>
    <row r="48" spans="1:29" ht="15">
      <c r="A48" s="458" t="s">
        <v>2383</v>
      </c>
      <c r="B48" s="459"/>
      <c r="C48" s="1493" t="s">
        <v>1</v>
      </c>
      <c r="D48" s="1494"/>
      <c r="E48" s="1495"/>
      <c r="F48" s="1496"/>
      <c r="G48" s="1497"/>
      <c r="H48" s="1498"/>
      <c r="I48" s="1495"/>
      <c r="J48" s="1498"/>
      <c r="K48" s="760"/>
      <c r="L48" s="1253"/>
      <c r="M48" s="1241"/>
      <c r="N48" s="1241"/>
      <c r="O48" s="1241"/>
      <c r="P48" s="3021" t="str">
        <f>A48</f>
        <v>成交单价（元/平方米）</v>
      </c>
      <c r="Q48" s="3023"/>
      <c r="R48" s="3019">
        <f>E48</f>
        <v>0</v>
      </c>
      <c r="S48" s="3019"/>
      <c r="T48" s="3019">
        <f>G48</f>
        <v>0</v>
      </c>
      <c r="U48" s="3019"/>
      <c r="V48" s="3019">
        <f>I48</f>
        <v>0</v>
      </c>
      <c r="W48" s="3019"/>
      <c r="X48" s="736"/>
      <c r="Y48" s="758"/>
      <c r="Z48" s="736"/>
      <c r="AA48" s="736"/>
      <c r="AB48" s="736"/>
      <c r="AC48" s="736"/>
    </row>
    <row r="49" spans="1:29" ht="15.75" thickBot="1">
      <c r="A49" s="465" t="s">
        <v>2465</v>
      </c>
      <c r="B49" s="466"/>
      <c r="C49" s="1499" t="e">
        <f>R50</f>
        <v>#DIV/0!</v>
      </c>
      <c r="D49" s="1500"/>
      <c r="E49" s="1501" t="e">
        <f>R49</f>
        <v>#DIV/0!</v>
      </c>
      <c r="F49" s="1501"/>
      <c r="G49" s="1499" t="e">
        <f>T49</f>
        <v>#DIV/0!</v>
      </c>
      <c r="H49" s="1500"/>
      <c r="I49" s="1501" t="e">
        <f>V49</f>
        <v>#DIV/0!</v>
      </c>
      <c r="J49" s="1500"/>
      <c r="K49" s="761"/>
      <c r="L49" s="1253"/>
      <c r="M49" s="1241"/>
      <c r="N49" s="1241"/>
      <c r="O49" s="1241"/>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6"/>
      <c r="Y49" s="736"/>
      <c r="Z49" s="736"/>
      <c r="AA49" s="736"/>
      <c r="AB49" s="736"/>
      <c r="AC49" s="736"/>
    </row>
    <row r="50" spans="1:29" ht="15.75" thickBot="1">
      <c r="A50" s="471" t="s">
        <v>2488</v>
      </c>
      <c r="B50" s="472"/>
      <c r="C50" s="1503" t="e">
        <f>R50</f>
        <v>#DIV/0!</v>
      </c>
      <c r="D50" s="1503"/>
      <c r="E50" s="1503"/>
      <c r="F50" s="1503"/>
      <c r="G50" s="1503"/>
      <c r="H50" s="1503"/>
      <c r="I50" s="1503"/>
      <c r="J50" s="1503"/>
      <c r="K50" s="762"/>
      <c r="L50" s="1253"/>
      <c r="M50" s="1241"/>
      <c r="N50" s="1241"/>
      <c r="O50" s="1241"/>
      <c r="P50" s="3067" t="str">
        <f>A50</f>
        <v>估价对象XX用房的比较价值（楼面单价，元/平方米）</v>
      </c>
      <c r="Q50" s="3021"/>
      <c r="R50" s="3022" t="e">
        <f>IF(E1="售价",ROUND(AVERAGE(R49:V49),0),ROUND(AVERAGE(R49:V49),1))</f>
        <v>#DIV/0!</v>
      </c>
      <c r="S50" s="3022"/>
      <c r="T50" s="3022"/>
      <c r="U50" s="3022"/>
      <c r="V50" s="3022"/>
      <c r="W50" s="3022"/>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2467</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2468</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2469</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2470</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2018-8</v>
      </c>
      <c r="D59" s="1670">
        <f>EDATE(C59,-1)</f>
        <v>43282</v>
      </c>
      <c r="E59" s="1670">
        <f t="shared" ref="E59:O59" si="16">EDATE(D59,-1)</f>
        <v>43252</v>
      </c>
      <c r="F59" s="1670">
        <f t="shared" si="16"/>
        <v>43221</v>
      </c>
      <c r="G59" s="1670">
        <f t="shared" si="16"/>
        <v>43191</v>
      </c>
      <c r="H59" s="1670">
        <f t="shared" si="16"/>
        <v>43160</v>
      </c>
      <c r="I59" s="1670">
        <f t="shared" si="16"/>
        <v>43132</v>
      </c>
      <c r="J59" s="1670">
        <f t="shared" si="16"/>
        <v>43101</v>
      </c>
      <c r="K59" s="1670">
        <f t="shared" si="16"/>
        <v>43070</v>
      </c>
      <c r="L59" s="1670">
        <f t="shared" si="16"/>
        <v>43040</v>
      </c>
      <c r="M59" s="1670">
        <f t="shared" si="16"/>
        <v>43009</v>
      </c>
      <c r="N59" s="1670">
        <f t="shared" si="16"/>
        <v>42979</v>
      </c>
      <c r="O59" s="1670">
        <f t="shared" si="16"/>
        <v>42948</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2390</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502"/>
      <c r="E62" s="502"/>
      <c r="F62" s="502"/>
      <c r="G62" s="502"/>
      <c r="H62" s="502"/>
      <c r="I62" s="502"/>
      <c r="J62" s="502"/>
      <c r="K62" s="502"/>
      <c r="L62" s="503"/>
      <c r="M62" s="504"/>
      <c r="N62" s="1263"/>
      <c r="O62" s="1263"/>
      <c r="P62" s="505"/>
      <c r="Q62" s="483"/>
    </row>
    <row r="63" spans="1:29" s="35" customFormat="1" ht="15.75" thickBot="1">
      <c r="A63" s="500"/>
      <c r="B63" s="489"/>
      <c r="C63" s="490">
        <v>100</v>
      </c>
      <c r="D63" s="491"/>
      <c r="E63" s="491"/>
      <c r="F63" s="491"/>
      <c r="G63" s="491"/>
      <c r="H63" s="491"/>
      <c r="I63" s="491"/>
      <c r="J63" s="491"/>
      <c r="K63" s="491"/>
      <c r="L63" s="491"/>
      <c r="M63" s="493"/>
      <c r="N63" s="1263"/>
      <c r="O63" s="1263"/>
      <c r="P63" s="483"/>
      <c r="Q63" s="483"/>
    </row>
    <row r="64" spans="1:29">
      <c r="A64" s="506" t="s">
        <v>2393</v>
      </c>
      <c r="B64" s="507" t="s">
        <v>2359</v>
      </c>
      <c r="C64" s="508">
        <f>C9</f>
        <v>0</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2362</v>
      </c>
      <c r="C66" s="520" t="s">
        <v>2394</v>
      </c>
      <c r="D66" s="520" t="s">
        <v>2395</v>
      </c>
      <c r="E66" s="520" t="s">
        <v>2396</v>
      </c>
      <c r="F66" s="520" t="s">
        <v>2397</v>
      </c>
      <c r="G66" s="520" t="s">
        <v>2398</v>
      </c>
      <c r="H66" s="520" t="s">
        <v>2399</v>
      </c>
      <c r="I66" s="520" t="s">
        <v>2400</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2489</v>
      </c>
      <c r="C77" s="555" t="s">
        <v>2402</v>
      </c>
      <c r="D77" s="555" t="s">
        <v>2403</v>
      </c>
      <c r="E77" s="555" t="s">
        <v>2404</v>
      </c>
      <c r="F77" s="555" t="s">
        <v>2405</v>
      </c>
      <c r="G77" s="555" t="s">
        <v>2406</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2407</v>
      </c>
      <c r="C79" s="560" t="s">
        <v>2402</v>
      </c>
      <c r="D79" s="560" t="s">
        <v>2403</v>
      </c>
      <c r="E79" s="560" t="s">
        <v>2404</v>
      </c>
      <c r="F79" s="560" t="s">
        <v>2405</v>
      </c>
      <c r="G79" s="560" t="s">
        <v>2406</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2408</v>
      </c>
      <c r="C81" s="560" t="s">
        <v>2402</v>
      </c>
      <c r="D81" s="560" t="s">
        <v>2403</v>
      </c>
      <c r="E81" s="560" t="s">
        <v>2404</v>
      </c>
      <c r="F81" s="560" t="s">
        <v>2405</v>
      </c>
      <c r="G81" s="560" t="s">
        <v>2406</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2451</v>
      </c>
      <c r="C83" s="520" t="s">
        <v>2409</v>
      </c>
      <c r="D83" s="520" t="s">
        <v>2410</v>
      </c>
      <c r="E83" s="520" t="s">
        <v>2411</v>
      </c>
      <c r="F83" s="520" t="s">
        <v>2412</v>
      </c>
      <c r="G83" s="520" t="s">
        <v>2413</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2490</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2491</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65"/>
      <c r="O88" s="1265"/>
      <c r="P88" s="22"/>
      <c r="Q88" s="483"/>
    </row>
    <row r="89" spans="1:17" s="35" customFormat="1" ht="15.75" thickTop="1">
      <c r="A89" s="561"/>
      <c r="B89" s="519" t="str">
        <f>B27</f>
        <v>楼层</v>
      </c>
      <c r="C89" s="535"/>
      <c r="D89" s="535"/>
      <c r="E89" s="535"/>
      <c r="F89" s="2420"/>
      <c r="G89" s="535"/>
      <c r="H89" s="535"/>
      <c r="I89" s="535"/>
      <c r="J89" s="535"/>
      <c r="K89" s="535"/>
      <c r="L89" s="535"/>
      <c r="M89" s="563"/>
      <c r="N89" s="1263"/>
      <c r="O89" s="126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65"/>
      <c r="O90" s="1265"/>
      <c r="P90" s="22"/>
      <c r="Q90" s="483"/>
    </row>
    <row r="91" spans="1:17" s="450" customFormat="1" ht="15.75" thickTop="1">
      <c r="A91" s="534"/>
      <c r="B91" s="519" t="str">
        <f>B28</f>
        <v>朝向</v>
      </c>
      <c r="C91" s="535"/>
      <c r="D91" s="535"/>
      <c r="E91" s="535"/>
      <c r="F91" s="535"/>
      <c r="G91" s="535"/>
      <c r="H91" s="536"/>
      <c r="I91" s="536"/>
      <c r="J91" s="536"/>
      <c r="K91" s="53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f>B29</f>
        <v>111</v>
      </c>
      <c r="C93" s="535"/>
      <c r="D93" s="535"/>
      <c r="E93" s="535"/>
      <c r="F93" s="535"/>
      <c r="G93" s="535"/>
      <c r="H93" s="535"/>
      <c r="I93" s="535"/>
      <c r="J93" s="535"/>
      <c r="K93" s="535"/>
      <c r="L93" s="562"/>
      <c r="M93" s="563"/>
      <c r="N93" s="1264"/>
      <c r="O93" s="1264"/>
      <c r="P93" s="22"/>
      <c r="Q93" s="483"/>
    </row>
    <row r="94" spans="1:17" ht="15.75" thickBot="1">
      <c r="A94" s="514"/>
      <c r="B94" s="524"/>
      <c r="C94" s="542"/>
      <c r="D94" s="516"/>
      <c r="E94" s="516"/>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1"/>
      <c r="B100" s="551"/>
      <c r="C100" s="552"/>
      <c r="D100" s="552"/>
      <c r="E100" s="552"/>
      <c r="F100" s="552"/>
      <c r="G100" s="573"/>
      <c r="H100" s="573"/>
      <c r="I100" s="573"/>
      <c r="J100" s="573"/>
      <c r="K100" s="573"/>
      <c r="L100" s="573"/>
      <c r="M100" s="574"/>
      <c r="N100" s="1265"/>
      <c r="O100" s="1265"/>
      <c r="P100" s="22"/>
      <c r="Q100" s="483"/>
    </row>
    <row r="101" spans="1:17">
      <c r="A101" s="506" t="s">
        <v>2369</v>
      </c>
      <c r="B101" s="507" t="s">
        <v>2417</v>
      </c>
      <c r="C101" s="509"/>
      <c r="D101" s="509"/>
      <c r="E101" s="509"/>
      <c r="F101" s="509"/>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2418</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2419</v>
      </c>
      <c r="C106" s="535"/>
      <c r="D106" s="535"/>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2421</v>
      </c>
      <c r="C108" s="535"/>
      <c r="D108" s="535"/>
      <c r="E108" s="535"/>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2422</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2492</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15" thickTop="1">
      <c r="A115" s="581"/>
      <c r="B115" s="519" t="s">
        <v>2423</v>
      </c>
      <c r="C115" s="535"/>
      <c r="D115" s="535"/>
      <c r="E115" s="565"/>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2424</v>
      </c>
      <c r="C117" s="535"/>
      <c r="D117" s="535"/>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2493</v>
      </c>
      <c r="C119" s="565"/>
      <c r="D119" s="565"/>
      <c r="E119" s="565"/>
      <c r="F119" s="565"/>
      <c r="G119" s="565"/>
      <c r="H119" s="565"/>
      <c r="I119" s="565"/>
      <c r="J119" s="565"/>
      <c r="K119" s="565"/>
      <c r="L119" s="2463"/>
      <c r="M119" s="2464"/>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2475</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2426</v>
      </c>
      <c r="C123" s="535"/>
      <c r="D123" s="535"/>
      <c r="E123" s="535"/>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65"/>
      <c r="O124" s="1265"/>
      <c r="P124" s="22"/>
      <c r="Q124" s="483"/>
    </row>
    <row r="125" spans="1:17" ht="15" thickTop="1">
      <c r="A125" s="581"/>
      <c r="B125" s="519" t="s">
        <v>2427</v>
      </c>
      <c r="C125" s="560" t="s">
        <v>2402</v>
      </c>
      <c r="D125" s="560" t="s">
        <v>2403</v>
      </c>
      <c r="E125" s="560" t="s">
        <v>2404</v>
      </c>
      <c r="F125" s="560" t="s">
        <v>2405</v>
      </c>
      <c r="G125" s="560" t="s">
        <v>2406</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f>B45</f>
        <v>111</v>
      </c>
      <c r="C127" s="535"/>
      <c r="D127" s="535"/>
      <c r="E127" s="535"/>
      <c r="F127" s="535"/>
      <c r="G127" s="535"/>
      <c r="H127" s="536"/>
      <c r="I127" s="536"/>
      <c r="J127" s="536"/>
      <c r="K127" s="536"/>
      <c r="L127" s="537"/>
      <c r="M127" s="538"/>
      <c r="N127" s="1266"/>
      <c r="O127" s="1266"/>
      <c r="P127" s="540"/>
      <c r="Q127" s="541"/>
    </row>
    <row r="128" spans="1:17" s="450" customFormat="1" ht="15.75" thickBot="1">
      <c r="A128" s="534"/>
      <c r="B128" s="524"/>
      <c r="C128" s="542"/>
      <c r="D128" s="516"/>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5"/>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2494</v>
      </c>
      <c r="C1" s="1717"/>
      <c r="D1" s="1730"/>
      <c r="E1" s="2371"/>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3"/>
      <c r="E2" s="2466" t="e">
        <f ca="1">SUMIF(INDIRECT("'"&amp;G2&amp;"'"&amp;"!A:A"),"承租人权益价值",INDIRECT("'"&amp;G2&amp;"'"&amp;"!c:c"))</f>
        <v>#REF!</v>
      </c>
      <c r="F2" s="2374" t="str">
        <f>C2</f>
        <v>元</v>
      </c>
      <c r="G2" s="2375"/>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87.21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1"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5" t="s">
        <v>2351</v>
      </c>
      <c r="F6" s="3066"/>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389"/>
      <c r="F7" s="390">
        <f>SUMIF(52:52,YEAR(E7)&amp;"-"&amp;MONTH(E7),53:53)</f>
        <v>0</v>
      </c>
      <c r="G7" s="389"/>
      <c r="H7" s="388">
        <f>SUMIF(52:52,YEAR(G7)&amp;"-"&amp;MONTH(G7),53:53)</f>
        <v>0</v>
      </c>
      <c r="I7" s="389"/>
      <c r="J7" s="388">
        <f>SUMIF(52:52,YEAR(I7)&amp;"-"&amp;MONTH(I7),53:53)</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037" t="s">
        <v>2357</v>
      </c>
      <c r="Q8" s="3038"/>
      <c r="R8" s="747" t="s">
        <v>25</v>
      </c>
      <c r="S8" s="748">
        <f t="shared" si="0"/>
        <v>100</v>
      </c>
      <c r="T8" s="747" t="s">
        <v>25</v>
      </c>
      <c r="U8" s="748">
        <f t="shared" si="1"/>
        <v>100</v>
      </c>
      <c r="V8" s="747" t="s">
        <v>25</v>
      </c>
      <c r="W8" s="748">
        <f t="shared" si="2"/>
        <v>100</v>
      </c>
      <c r="X8" s="749"/>
      <c r="Y8" s="3037" t="s">
        <v>2357</v>
      </c>
      <c r="Z8" s="3038"/>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8">
        <v>111</v>
      </c>
      <c r="C12" s="410"/>
      <c r="D12" s="411">
        <v>100</v>
      </c>
      <c r="E12" s="412"/>
      <c r="F12" s="52">
        <f>SUMIF(64:64,E12,65:65)-SUMIF(64:64,C12,65:65)+100</f>
        <v>100</v>
      </c>
      <c r="G12" s="2467"/>
      <c r="H12" s="52">
        <f>SUMIF(64:64,G12,65:65)-SUMIF(64:64,C12,65:65)+100</f>
        <v>100</v>
      </c>
      <c r="I12" s="448"/>
      <c r="J12" s="52">
        <f>SUMIF(64:64,I12,65:65)-SUMIF(64:64,C12,65:65)+100</f>
        <v>100</v>
      </c>
      <c r="K12" s="595"/>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8">
        <v>111</v>
      </c>
      <c r="C13" s="412"/>
      <c r="D13" s="413">
        <v>100</v>
      </c>
      <c r="E13" s="412"/>
      <c r="F13" s="52">
        <f>SUMIF(66:66,E13,67:67)-SUMIF(66:66,C13,67:67)+100</f>
        <v>100</v>
      </c>
      <c r="G13" s="2467"/>
      <c r="H13" s="413">
        <f>SUMIF(66:66,G13,67:67)-SUMIF(66:66,C13,67:67)+100</f>
        <v>100</v>
      </c>
      <c r="I13" s="448"/>
      <c r="J13" s="413">
        <f>SUMIF(66:66,I13,67:67)-SUMIF(66:66,C13,67:67)+100</f>
        <v>100</v>
      </c>
      <c r="K13" s="595"/>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90">
        <v>111</v>
      </c>
      <c r="C14" s="2391"/>
      <c r="D14" s="415">
        <v>100</v>
      </c>
      <c r="E14" s="2391"/>
      <c r="F14" s="415">
        <f>SUMIF(68:68,E14,69:69)-SUMIF(68:68,C14,69:69)+100</f>
        <v>100</v>
      </c>
      <c r="G14" s="2467"/>
      <c r="H14" s="415">
        <f>SUMIF(68:68,G14,69:69)-SUMIF(68:68,C14,69:69)+100</f>
        <v>100</v>
      </c>
      <c r="I14" s="448"/>
      <c r="J14" s="415">
        <f>SUMIF(68:68,I14,69:69)-SUMIF(68:68,C14,69:69)+100</f>
        <v>100</v>
      </c>
      <c r="K14" s="595"/>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7" t="s">
        <v>2364</v>
      </c>
      <c r="B15" s="26" t="s">
        <v>2495</v>
      </c>
      <c r="C15" s="2468"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026" t="s">
        <v>2365</v>
      </c>
      <c r="Q15" s="1889" t="str">
        <f t="shared" si="6"/>
        <v>产业集聚程度</v>
      </c>
      <c r="R15" s="751" t="s">
        <v>25</v>
      </c>
      <c r="S15" s="752">
        <f t="shared" si="0"/>
        <v>100</v>
      </c>
      <c r="T15" s="751" t="s">
        <v>25</v>
      </c>
      <c r="U15" s="752">
        <f t="shared" si="1"/>
        <v>100</v>
      </c>
      <c r="V15" s="751" t="s">
        <v>25</v>
      </c>
      <c r="W15" s="752">
        <f t="shared" si="2"/>
        <v>100</v>
      </c>
      <c r="X15" s="1890"/>
      <c r="Y15" s="3026"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027"/>
      <c r="Q16" s="1889"/>
      <c r="R16" s="751"/>
      <c r="S16" s="752"/>
      <c r="T16" s="751"/>
      <c r="U16" s="752"/>
      <c r="V16" s="751"/>
      <c r="W16" s="752"/>
      <c r="X16" s="1890"/>
      <c r="Y16" s="3027"/>
      <c r="Z16" s="1892"/>
      <c r="AA16" s="1893">
        <v>1</v>
      </c>
      <c r="AB16" s="1893">
        <v>1</v>
      </c>
      <c r="AC16" s="1893">
        <v>1</v>
      </c>
    </row>
    <row r="17" spans="1:29" ht="85.5">
      <c r="A17" s="406"/>
      <c r="B17" s="429" t="s">
        <v>1750</v>
      </c>
      <c r="C17" s="2395"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02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434"/>
      <c r="C18" s="435"/>
      <c r="D18" s="428"/>
      <c r="E18" s="1459"/>
      <c r="F18" s="431"/>
      <c r="G18" s="2396"/>
      <c r="H18" s="425"/>
      <c r="I18" s="1459"/>
      <c r="J18" s="425"/>
      <c r="K18" s="597"/>
      <c r="L18" s="1250"/>
      <c r="M18" s="1241"/>
      <c r="N18" s="1241"/>
      <c r="O18" s="1249"/>
      <c r="P18" s="3027"/>
      <c r="Q18" s="1889"/>
      <c r="R18" s="751"/>
      <c r="S18" s="752"/>
      <c r="T18" s="751"/>
      <c r="U18" s="752"/>
      <c r="V18" s="751"/>
      <c r="W18" s="752"/>
      <c r="X18" s="1890"/>
      <c r="Y18" s="3027"/>
      <c r="Z18" s="1892"/>
      <c r="AA18" s="1893">
        <v>1</v>
      </c>
      <c r="AB18" s="1893">
        <v>1</v>
      </c>
      <c r="AC18" s="1893">
        <v>1</v>
      </c>
    </row>
    <row r="19" spans="1:29" ht="42.75">
      <c r="A19" s="406"/>
      <c r="B19" s="613" t="s">
        <v>2479</v>
      </c>
      <c r="C19" s="2395"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027"/>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614"/>
      <c r="C20" s="424"/>
      <c r="D20" s="425"/>
      <c r="E20" s="426"/>
      <c r="F20" s="427"/>
      <c r="G20" s="2393"/>
      <c r="H20" s="425"/>
      <c r="I20" s="426"/>
      <c r="J20" s="425"/>
      <c r="K20" s="597"/>
      <c r="L20" s="1250"/>
      <c r="M20" s="1241"/>
      <c r="N20" s="1241"/>
      <c r="O20" s="1249"/>
      <c r="P20" s="3027"/>
      <c r="Q20" s="1889"/>
      <c r="R20" s="751"/>
      <c r="S20" s="752"/>
      <c r="T20" s="751"/>
      <c r="U20" s="752"/>
      <c r="V20" s="751"/>
      <c r="W20" s="752"/>
      <c r="X20" s="1890"/>
      <c r="Y20" s="3027"/>
      <c r="Z20" s="1892"/>
      <c r="AA20" s="1893">
        <v>1</v>
      </c>
      <c r="AB20" s="1893">
        <v>1</v>
      </c>
      <c r="AC20" s="1893">
        <v>1</v>
      </c>
    </row>
    <row r="21" spans="1:29" ht="28.5">
      <c r="A21" s="406"/>
      <c r="B21" s="615" t="s">
        <v>2480</v>
      </c>
      <c r="C21" s="2395"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027"/>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7"/>
      <c r="C22" s="435"/>
      <c r="D22" s="425"/>
      <c r="E22" s="424"/>
      <c r="F22" s="427"/>
      <c r="G22" s="424"/>
      <c r="H22" s="425"/>
      <c r="I22" s="424"/>
      <c r="J22" s="425"/>
      <c r="K22" s="1460"/>
      <c r="L22" s="1250"/>
      <c r="M22" s="1241"/>
      <c r="N22" s="1241"/>
      <c r="O22" s="1249"/>
      <c r="P22" s="3027"/>
      <c r="Q22" s="1889"/>
      <c r="R22" s="751"/>
      <c r="S22" s="752"/>
      <c r="T22" s="751"/>
      <c r="U22" s="752"/>
      <c r="V22" s="751"/>
      <c r="W22" s="752"/>
      <c r="X22" s="1890"/>
      <c r="Y22" s="3027"/>
      <c r="Z22" s="1892"/>
      <c r="AA22" s="1893">
        <v>1</v>
      </c>
      <c r="AB22" s="1893">
        <v>1</v>
      </c>
      <c r="AC22" s="1893">
        <v>1</v>
      </c>
    </row>
    <row r="23" spans="1:29" ht="71.25">
      <c r="A23" s="406"/>
      <c r="B23" s="429" t="s">
        <v>2481</v>
      </c>
      <c r="C23" s="2395"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027"/>
      <c r="Q23" s="1889" t="str">
        <f>B23</f>
        <v>环境质量</v>
      </c>
      <c r="R23" s="751" t="s">
        <v>25</v>
      </c>
      <c r="S23" s="752">
        <f>F23</f>
        <v>100</v>
      </c>
      <c r="T23" s="751" t="s">
        <v>25</v>
      </c>
      <c r="U23" s="752">
        <f>H23</f>
        <v>100</v>
      </c>
      <c r="V23" s="751" t="s">
        <v>25</v>
      </c>
      <c r="W23" s="752">
        <f>J23</f>
        <v>100</v>
      </c>
      <c r="X23" s="1890"/>
      <c r="Y23" s="3027"/>
      <c r="Z23" s="1892" t="str">
        <f>Q23</f>
        <v>环境质量</v>
      </c>
      <c r="AA23" s="1893">
        <f t="shared" si="3"/>
        <v>1</v>
      </c>
      <c r="AB23" s="1893">
        <f t="shared" si="4"/>
        <v>1</v>
      </c>
      <c r="AC23" s="1893">
        <f t="shared" si="5"/>
        <v>1</v>
      </c>
    </row>
    <row r="24" spans="1:29" ht="15">
      <c r="A24" s="406"/>
      <c r="B24" s="2397"/>
      <c r="C24" s="424"/>
      <c r="D24" s="425"/>
      <c r="E24" s="426"/>
      <c r="F24" s="427"/>
      <c r="G24" s="2393"/>
      <c r="H24" s="425"/>
      <c r="I24" s="426"/>
      <c r="J24" s="425"/>
      <c r="K24" s="597"/>
      <c r="L24" s="1250"/>
      <c r="M24" s="1241"/>
      <c r="N24" s="1241"/>
      <c r="O24" s="1249"/>
      <c r="P24" s="3027"/>
      <c r="Q24" s="1889"/>
      <c r="R24" s="751"/>
      <c r="S24" s="752"/>
      <c r="T24" s="751"/>
      <c r="U24" s="752"/>
      <c r="V24" s="751"/>
      <c r="W24" s="752"/>
      <c r="X24" s="1890"/>
      <c r="Y24" s="3027"/>
      <c r="Z24" s="1892"/>
      <c r="AA24" s="1893">
        <v>1</v>
      </c>
      <c r="AB24" s="1893">
        <v>1</v>
      </c>
      <c r="AC24" s="1893">
        <v>1</v>
      </c>
    </row>
    <row r="25" spans="1:29" ht="15">
      <c r="A25" s="381"/>
      <c r="B25" s="2401">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027"/>
      <c r="Q25" s="1889">
        <f>B25</f>
        <v>111</v>
      </c>
      <c r="R25" s="751" t="s">
        <v>25</v>
      </c>
      <c r="S25" s="752">
        <f>F25</f>
        <v>100</v>
      </c>
      <c r="T25" s="751" t="s">
        <v>25</v>
      </c>
      <c r="U25" s="752">
        <f>H25</f>
        <v>100</v>
      </c>
      <c r="V25" s="751" t="s">
        <v>25</v>
      </c>
      <c r="W25" s="752">
        <f>J25</f>
        <v>100</v>
      </c>
      <c r="X25" s="1890"/>
      <c r="Y25" s="3027"/>
      <c r="Z25" s="1892">
        <f>Q25</f>
        <v>111</v>
      </c>
      <c r="AA25" s="1893">
        <f t="shared" si="3"/>
        <v>1</v>
      </c>
      <c r="AB25" s="1893">
        <f t="shared" si="4"/>
        <v>1</v>
      </c>
      <c r="AC25" s="1893">
        <f t="shared" si="5"/>
        <v>1</v>
      </c>
    </row>
    <row r="26" spans="1:29" ht="15">
      <c r="A26" s="406"/>
      <c r="B26" s="2401">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027"/>
      <c r="Q26" s="1889">
        <f t="shared" ref="Q26:Q40" si="11">B26</f>
        <v>111</v>
      </c>
      <c r="R26" s="751" t="s">
        <v>25</v>
      </c>
      <c r="S26" s="752">
        <f>F26</f>
        <v>100</v>
      </c>
      <c r="T26" s="751" t="s">
        <v>25</v>
      </c>
      <c r="U26" s="752">
        <f>H26</f>
        <v>100</v>
      </c>
      <c r="V26" s="751" t="s">
        <v>25</v>
      </c>
      <c r="W26" s="752">
        <f>J26</f>
        <v>100</v>
      </c>
      <c r="X26" s="1890"/>
      <c r="Y26" s="3027"/>
      <c r="Z26" s="1892">
        <f>Q26</f>
        <v>111</v>
      </c>
      <c r="AA26" s="1893">
        <f t="shared" si="3"/>
        <v>1</v>
      </c>
      <c r="AB26" s="1893">
        <f t="shared" si="4"/>
        <v>1</v>
      </c>
      <c r="AC26" s="1893">
        <f t="shared" si="5"/>
        <v>1</v>
      </c>
    </row>
    <row r="27" spans="1:29" s="35" customFormat="1" ht="15">
      <c r="A27" s="409"/>
      <c r="B27" s="2401">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027"/>
      <c r="Q27" s="1877">
        <f t="shared" si="11"/>
        <v>111</v>
      </c>
      <c r="R27" s="747" t="s">
        <v>25</v>
      </c>
      <c r="S27" s="748">
        <f>F27</f>
        <v>100</v>
      </c>
      <c r="T27" s="747" t="s">
        <v>25</v>
      </c>
      <c r="U27" s="748">
        <f>H27</f>
        <v>100</v>
      </c>
      <c r="V27" s="747" t="s">
        <v>25</v>
      </c>
      <c r="W27" s="748">
        <f>J27</f>
        <v>100</v>
      </c>
      <c r="X27" s="749"/>
      <c r="Y27" s="3027"/>
      <c r="Z27" s="23">
        <f>Q27</f>
        <v>111</v>
      </c>
      <c r="AA27" s="1893">
        <f>D27/F27</f>
        <v>1</v>
      </c>
      <c r="AB27" s="1893">
        <f>D27/H27</f>
        <v>1</v>
      </c>
      <c r="AC27" s="1893">
        <f>D27/J27</f>
        <v>1</v>
      </c>
    </row>
    <row r="28" spans="1:29" ht="15.75" thickBot="1">
      <c r="A28" s="414"/>
      <c r="B28" s="2401">
        <v>111</v>
      </c>
      <c r="C28" s="2391"/>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027"/>
      <c r="Q28" s="1889">
        <f t="shared" si="11"/>
        <v>111</v>
      </c>
      <c r="R28" s="751" t="s">
        <v>25</v>
      </c>
      <c r="S28" s="752">
        <f t="shared" ref="S28:S40" si="12">F28</f>
        <v>100</v>
      </c>
      <c r="T28" s="751" t="s">
        <v>25</v>
      </c>
      <c r="U28" s="752">
        <f t="shared" ref="U28:U40" si="13">H28</f>
        <v>100</v>
      </c>
      <c r="V28" s="751" t="s">
        <v>25</v>
      </c>
      <c r="W28" s="752">
        <f t="shared" ref="W28:W40" si="14">J28</f>
        <v>100</v>
      </c>
      <c r="X28" s="1890"/>
      <c r="Y28" s="3027"/>
      <c r="Z28" s="1892">
        <f t="shared" ref="Z28:Z40" si="15">Q28</f>
        <v>111</v>
      </c>
      <c r="AA28" s="1893">
        <f t="shared" si="3"/>
        <v>1</v>
      </c>
      <c r="AB28" s="1893">
        <f t="shared" si="4"/>
        <v>1</v>
      </c>
      <c r="AC28" s="1893">
        <f t="shared" si="5"/>
        <v>1</v>
      </c>
    </row>
    <row r="29" spans="1:29" ht="29.25">
      <c r="A29" s="445" t="s">
        <v>2369</v>
      </c>
      <c r="B29" s="28" t="s">
        <v>2484</v>
      </c>
      <c r="C29" s="2462" t="s">
        <v>2496</v>
      </c>
      <c r="D29" s="446">
        <v>100</v>
      </c>
      <c r="E29" s="2462"/>
      <c r="F29" s="440">
        <f>SUMIF(88:88,E29,89:89)-SUMIF(88:88,C29,89:89)+100</f>
        <v>100</v>
      </c>
      <c r="G29" s="2462"/>
      <c r="H29" s="413">
        <f>SUMIF(88:88,G29,89:89)-SUMIF(88:88,C29,89:89)+100</f>
        <v>100</v>
      </c>
      <c r="I29" s="2462"/>
      <c r="J29" s="446">
        <f>SUMIF(88:88,I29,89:89)-SUMIF(88:88,C29,89:89)+100</f>
        <v>100</v>
      </c>
      <c r="K29" s="594"/>
      <c r="L29" s="1250"/>
      <c r="M29" s="1241"/>
      <c r="N29" s="1241"/>
      <c r="O29" s="1249"/>
      <c r="P29" s="3074" t="s">
        <v>2371</v>
      </c>
      <c r="Q29" s="1889" t="str">
        <f t="shared" si="11"/>
        <v>建筑类型</v>
      </c>
      <c r="R29" s="751" t="s">
        <v>25</v>
      </c>
      <c r="S29" s="752">
        <f t="shared" si="12"/>
        <v>100</v>
      </c>
      <c r="T29" s="751" t="s">
        <v>25</v>
      </c>
      <c r="U29" s="752">
        <f t="shared" si="13"/>
        <v>100</v>
      </c>
      <c r="V29" s="751" t="s">
        <v>25</v>
      </c>
      <c r="W29" s="752">
        <f t="shared" si="14"/>
        <v>100</v>
      </c>
      <c r="X29" s="1890"/>
      <c r="Y29" s="3031"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031"/>
      <c r="Q30" s="753" t="str">
        <f t="shared" si="11"/>
        <v>项目建筑规模</v>
      </c>
      <c r="R30" s="754" t="s">
        <v>25</v>
      </c>
      <c r="S30" s="755" t="e">
        <f t="shared" si="12"/>
        <v>#N/A</v>
      </c>
      <c r="T30" s="754" t="s">
        <v>25</v>
      </c>
      <c r="U30" s="755" t="e">
        <f t="shared" si="13"/>
        <v>#N/A</v>
      </c>
      <c r="V30" s="754" t="s">
        <v>25</v>
      </c>
      <c r="W30" s="755" t="e">
        <f t="shared" si="14"/>
        <v>#N/A</v>
      </c>
      <c r="X30" s="756"/>
      <c r="Y30" s="3031"/>
      <c r="Z30" s="757" t="str">
        <f t="shared" si="15"/>
        <v>项目建筑规模</v>
      </c>
      <c r="AA30" s="1893" t="e">
        <f t="shared" si="3"/>
        <v>#N/A</v>
      </c>
      <c r="AB30" s="1893" t="e">
        <f t="shared" si="4"/>
        <v>#N/A</v>
      </c>
      <c r="AC30" s="1893" t="e">
        <f t="shared" si="5"/>
        <v>#N/A</v>
      </c>
    </row>
    <row r="31" spans="1:29" ht="15">
      <c r="A31" s="451"/>
      <c r="B31" s="400" t="s">
        <v>2373</v>
      </c>
      <c r="C31" s="439" t="s">
        <v>2497</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031"/>
      <c r="Q31" s="1889" t="str">
        <f t="shared" si="11"/>
        <v>建筑结构</v>
      </c>
      <c r="R31" s="751" t="s">
        <v>25</v>
      </c>
      <c r="S31" s="752">
        <f t="shared" si="12"/>
        <v>100</v>
      </c>
      <c r="T31" s="751" t="s">
        <v>25</v>
      </c>
      <c r="U31" s="752">
        <f t="shared" si="13"/>
        <v>100</v>
      </c>
      <c r="V31" s="751" t="s">
        <v>25</v>
      </c>
      <c r="W31" s="752">
        <f t="shared" si="14"/>
        <v>100</v>
      </c>
      <c r="X31" s="1890"/>
      <c r="Y31" s="3031"/>
      <c r="Z31" s="1892" t="str">
        <f t="shared" si="15"/>
        <v>建筑结构</v>
      </c>
      <c r="AA31" s="1893">
        <f t="shared" si="3"/>
        <v>1</v>
      </c>
      <c r="AB31" s="1893">
        <f t="shared" si="4"/>
        <v>1</v>
      </c>
      <c r="AC31" s="1893">
        <f t="shared" si="5"/>
        <v>1</v>
      </c>
    </row>
    <row r="32" spans="1:29" ht="15">
      <c r="A32" s="451"/>
      <c r="B32" s="400" t="s">
        <v>2457</v>
      </c>
      <c r="C32" s="439" t="s">
        <v>2498</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031"/>
      <c r="Q32" s="1889" t="str">
        <f t="shared" si="11"/>
        <v>公共部分装修</v>
      </c>
      <c r="R32" s="751" t="s">
        <v>25</v>
      </c>
      <c r="S32" s="752">
        <f t="shared" si="12"/>
        <v>100</v>
      </c>
      <c r="T32" s="751" t="s">
        <v>25</v>
      </c>
      <c r="U32" s="752">
        <f t="shared" si="13"/>
        <v>100</v>
      </c>
      <c r="V32" s="751" t="s">
        <v>25</v>
      </c>
      <c r="W32" s="752">
        <f t="shared" si="14"/>
        <v>100</v>
      </c>
      <c r="X32" s="1890"/>
      <c r="Y32" s="3031"/>
      <c r="Z32" s="1892" t="str">
        <f t="shared" si="15"/>
        <v>公共部分装修</v>
      </c>
      <c r="AA32" s="1893">
        <f t="shared" si="3"/>
        <v>1</v>
      </c>
      <c r="AB32" s="1893">
        <f t="shared" si="4"/>
        <v>1</v>
      </c>
      <c r="AC32" s="1893">
        <f t="shared" si="5"/>
        <v>1</v>
      </c>
    </row>
    <row r="33" spans="1:29" ht="15">
      <c r="A33" s="451"/>
      <c r="B33" s="400" t="s">
        <v>2458</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031"/>
      <c r="Q33" s="1889" t="str">
        <f t="shared" si="11"/>
        <v>成新度</v>
      </c>
      <c r="R33" s="751" t="s">
        <v>25</v>
      </c>
      <c r="S33" s="752" t="e">
        <f t="shared" si="12"/>
        <v>#N/A</v>
      </c>
      <c r="T33" s="751" t="s">
        <v>25</v>
      </c>
      <c r="U33" s="752" t="e">
        <f t="shared" si="13"/>
        <v>#N/A</v>
      </c>
      <c r="V33" s="751" t="s">
        <v>25</v>
      </c>
      <c r="W33" s="752" t="e">
        <f t="shared" si="14"/>
        <v>#N/A</v>
      </c>
      <c r="X33" s="1890"/>
      <c r="Y33" s="3031"/>
      <c r="Z33" s="1892" t="str">
        <f t="shared" si="15"/>
        <v>成新度</v>
      </c>
      <c r="AA33" s="1893" t="e">
        <f t="shared" si="3"/>
        <v>#N/A</v>
      </c>
      <c r="AB33" s="1893" t="e">
        <f t="shared" si="4"/>
        <v>#N/A</v>
      </c>
      <c r="AC33" s="1893" t="e">
        <f t="shared" si="5"/>
        <v>#N/A</v>
      </c>
    </row>
    <row r="34" spans="1:29" s="35" customFormat="1" ht="15">
      <c r="A34" s="452"/>
      <c r="B34" s="400" t="s">
        <v>2486</v>
      </c>
      <c r="C34" s="439" t="s">
        <v>2499</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031"/>
      <c r="Q34" s="1877" t="str">
        <f t="shared" si="11"/>
        <v>物业管理</v>
      </c>
      <c r="R34" s="747" t="s">
        <v>25</v>
      </c>
      <c r="S34" s="748">
        <f t="shared" si="12"/>
        <v>100</v>
      </c>
      <c r="T34" s="747" t="s">
        <v>25</v>
      </c>
      <c r="U34" s="748">
        <f t="shared" si="13"/>
        <v>100</v>
      </c>
      <c r="V34" s="747" t="s">
        <v>25</v>
      </c>
      <c r="W34" s="748">
        <f t="shared" si="14"/>
        <v>100</v>
      </c>
      <c r="X34" s="749"/>
      <c r="Y34" s="3031"/>
      <c r="Z34" s="23" t="str">
        <f t="shared" si="15"/>
        <v>物业管理</v>
      </c>
      <c r="AA34" s="750">
        <f t="shared" si="3"/>
        <v>1</v>
      </c>
      <c r="AB34" s="750">
        <f t="shared" si="4"/>
        <v>1</v>
      </c>
      <c r="AC34" s="750">
        <f t="shared" si="5"/>
        <v>1</v>
      </c>
    </row>
    <row r="35" spans="1:29" ht="15">
      <c r="A35" s="451"/>
      <c r="B35" s="400" t="s">
        <v>2459</v>
      </c>
      <c r="C35" s="439" t="s">
        <v>2500</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031" t="s">
        <v>2371</v>
      </c>
      <c r="Q35" s="1889" t="str">
        <f t="shared" si="11"/>
        <v>市政基础设施</v>
      </c>
      <c r="R35" s="751" t="s">
        <v>25</v>
      </c>
      <c r="S35" s="752">
        <f t="shared" si="12"/>
        <v>100</v>
      </c>
      <c r="T35" s="751" t="s">
        <v>25</v>
      </c>
      <c r="U35" s="752">
        <f t="shared" si="13"/>
        <v>100</v>
      </c>
      <c r="V35" s="751" t="s">
        <v>25</v>
      </c>
      <c r="W35" s="752">
        <f t="shared" si="14"/>
        <v>100</v>
      </c>
      <c r="X35" s="1890"/>
      <c r="Y35" s="3031" t="s">
        <v>2371</v>
      </c>
      <c r="Z35" s="1892" t="str">
        <f t="shared" si="15"/>
        <v>市政基础设施</v>
      </c>
      <c r="AA35" s="1893">
        <f t="shared" si="3"/>
        <v>1</v>
      </c>
      <c r="AB35" s="1893">
        <f t="shared" si="4"/>
        <v>1</v>
      </c>
      <c r="AC35" s="1893">
        <f t="shared" si="5"/>
        <v>1</v>
      </c>
    </row>
    <row r="36" spans="1:29" ht="15">
      <c r="A36" s="451"/>
      <c r="B36" s="400" t="s">
        <v>2464</v>
      </c>
      <c r="C36" s="439" t="s">
        <v>2498</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031"/>
      <c r="Q36" s="1889" t="str">
        <f t="shared" si="11"/>
        <v>内部装修</v>
      </c>
      <c r="R36" s="751" t="s">
        <v>25</v>
      </c>
      <c r="S36" s="752">
        <f t="shared" si="12"/>
        <v>100</v>
      </c>
      <c r="T36" s="751" t="s">
        <v>25</v>
      </c>
      <c r="U36" s="752">
        <f t="shared" si="13"/>
        <v>100</v>
      </c>
      <c r="V36" s="751" t="s">
        <v>25</v>
      </c>
      <c r="W36" s="752">
        <f t="shared" si="14"/>
        <v>100</v>
      </c>
      <c r="X36" s="1890"/>
      <c r="Y36" s="3031"/>
      <c r="Z36" s="1892" t="str">
        <f t="shared" si="15"/>
        <v>内部装修</v>
      </c>
      <c r="AA36" s="1893">
        <f t="shared" si="3"/>
        <v>1</v>
      </c>
      <c r="AB36" s="1893">
        <f t="shared" si="4"/>
        <v>1</v>
      </c>
      <c r="AC36" s="1893">
        <f t="shared" si="5"/>
        <v>1</v>
      </c>
    </row>
    <row r="37" spans="1:29" ht="15">
      <c r="A37" s="451"/>
      <c r="B37" s="400" t="s">
        <v>2501</v>
      </c>
      <c r="C37" s="598" t="s">
        <v>2502</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031"/>
      <c r="Q37" s="1889" t="str">
        <f t="shared" si="11"/>
        <v>内部装修状况</v>
      </c>
      <c r="R37" s="751" t="s">
        <v>25</v>
      </c>
      <c r="S37" s="752">
        <f t="shared" si="12"/>
        <v>0</v>
      </c>
      <c r="T37" s="751" t="s">
        <v>25</v>
      </c>
      <c r="U37" s="752">
        <f t="shared" si="13"/>
        <v>0</v>
      </c>
      <c r="V37" s="751" t="s">
        <v>25</v>
      </c>
      <c r="W37" s="752">
        <f t="shared" si="14"/>
        <v>0</v>
      </c>
      <c r="X37" s="1890"/>
      <c r="Y37" s="3031"/>
      <c r="Z37" s="1892" t="str">
        <f t="shared" si="15"/>
        <v>内部装修状况</v>
      </c>
      <c r="AA37" s="1893" t="e">
        <f t="shared" si="3"/>
        <v>#DIV/0!</v>
      </c>
      <c r="AB37" s="1893" t="e">
        <f t="shared" si="4"/>
        <v>#DIV/0!</v>
      </c>
      <c r="AC37" s="1893" t="e">
        <f t="shared" si="5"/>
        <v>#DIV/0!</v>
      </c>
    </row>
    <row r="38" spans="1:29" s="450" customFormat="1" ht="15">
      <c r="A38" s="447"/>
      <c r="B38" s="2401">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031"/>
      <c r="Q38" s="753">
        <f t="shared" si="11"/>
        <v>111</v>
      </c>
      <c r="R38" s="754" t="s">
        <v>25</v>
      </c>
      <c r="S38" s="755">
        <f t="shared" si="12"/>
        <v>100</v>
      </c>
      <c r="T38" s="754" t="s">
        <v>25</v>
      </c>
      <c r="U38" s="755">
        <f t="shared" si="13"/>
        <v>100</v>
      </c>
      <c r="V38" s="754" t="s">
        <v>25</v>
      </c>
      <c r="W38" s="755">
        <f t="shared" si="14"/>
        <v>100</v>
      </c>
      <c r="X38" s="756"/>
      <c r="Y38" s="3031"/>
      <c r="Z38" s="757">
        <f t="shared" si="15"/>
        <v>111</v>
      </c>
      <c r="AA38" s="1893">
        <f t="shared" si="3"/>
        <v>1</v>
      </c>
      <c r="AB38" s="1893">
        <f t="shared" si="4"/>
        <v>1</v>
      </c>
      <c r="AC38" s="1893">
        <f t="shared" si="5"/>
        <v>1</v>
      </c>
    </row>
    <row r="39" spans="1:29" ht="15">
      <c r="A39" s="451"/>
      <c r="B39" s="2401">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031"/>
      <c r="Q39" s="1889">
        <f t="shared" si="11"/>
        <v>111</v>
      </c>
      <c r="R39" s="751" t="s">
        <v>25</v>
      </c>
      <c r="S39" s="752">
        <f t="shared" si="12"/>
        <v>100</v>
      </c>
      <c r="T39" s="751" t="s">
        <v>25</v>
      </c>
      <c r="U39" s="752">
        <f t="shared" si="13"/>
        <v>100</v>
      </c>
      <c r="V39" s="751" t="s">
        <v>25</v>
      </c>
      <c r="W39" s="752">
        <f t="shared" si="14"/>
        <v>100</v>
      </c>
      <c r="X39" s="1890"/>
      <c r="Y39" s="3031"/>
      <c r="Z39" s="1892">
        <f t="shared" si="15"/>
        <v>111</v>
      </c>
      <c r="AA39" s="1893">
        <f t="shared" si="3"/>
        <v>1</v>
      </c>
      <c r="AB39" s="1893">
        <f t="shared" si="4"/>
        <v>1</v>
      </c>
      <c r="AC39" s="1893">
        <f t="shared" si="5"/>
        <v>1</v>
      </c>
    </row>
    <row r="40" spans="1:29" ht="15.75" thickBot="1">
      <c r="A40" s="457"/>
      <c r="B40" s="2390">
        <v>111</v>
      </c>
      <c r="C40" s="2391">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032"/>
      <c r="Q40" s="1889">
        <f t="shared" si="11"/>
        <v>111</v>
      </c>
      <c r="R40" s="751" t="s">
        <v>25</v>
      </c>
      <c r="S40" s="752">
        <f t="shared" si="12"/>
        <v>100</v>
      </c>
      <c r="T40" s="751" t="s">
        <v>25</v>
      </c>
      <c r="U40" s="752">
        <f t="shared" si="13"/>
        <v>100</v>
      </c>
      <c r="V40" s="751" t="s">
        <v>25</v>
      </c>
      <c r="W40" s="752">
        <f t="shared" si="14"/>
        <v>100</v>
      </c>
      <c r="X40" s="1890"/>
      <c r="Y40" s="3032"/>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023" t="str">
        <f>A41</f>
        <v>成交单价（元/平方米）</v>
      </c>
      <c r="Q41" s="3023"/>
      <c r="R41" s="3019">
        <f>E41</f>
        <v>0</v>
      </c>
      <c r="S41" s="3019"/>
      <c r="T41" s="3019">
        <f>G41</f>
        <v>0</v>
      </c>
      <c r="U41" s="3019"/>
      <c r="V41" s="3019">
        <f>I41</f>
        <v>0</v>
      </c>
      <c r="W41" s="3019"/>
      <c r="X41" s="736"/>
      <c r="Y41" s="758"/>
      <c r="Z41" s="736"/>
      <c r="AA41" s="736"/>
      <c r="AB41" s="736"/>
      <c r="AC41" s="736"/>
    </row>
    <row r="42" spans="1:29" ht="15.75" thickBot="1">
      <c r="A42" s="465" t="s">
        <v>2465</v>
      </c>
      <c r="B42" s="466"/>
      <c r="C42" s="1499" t="e">
        <f>R43</f>
        <v>#DIV/0!</v>
      </c>
      <c r="D42" s="1500"/>
      <c r="E42" s="1501" t="e">
        <f>R42</f>
        <v>#DIV/0!</v>
      </c>
      <c r="F42" s="1501"/>
      <c r="G42" s="1499" t="e">
        <f>T42</f>
        <v>#DIV/0!</v>
      </c>
      <c r="H42" s="1500"/>
      <c r="I42" s="1501" t="e">
        <f>V42</f>
        <v>#DIV/0!</v>
      </c>
      <c r="J42" s="1500"/>
      <c r="K42" s="761"/>
      <c r="L42" s="1253"/>
      <c r="M42" s="1254"/>
      <c r="N42" s="1241"/>
      <c r="O42" s="1254"/>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6"/>
      <c r="Y42" s="736"/>
      <c r="Z42" s="736"/>
      <c r="AA42" s="736"/>
      <c r="AB42" s="736"/>
      <c r="AC42" s="736"/>
    </row>
    <row r="43" spans="1:29" ht="15.75" thickBot="1">
      <c r="A43" s="471" t="s">
        <v>2488</v>
      </c>
      <c r="B43" s="472"/>
      <c r="C43" s="1503" t="e">
        <f>R43</f>
        <v>#DIV/0!</v>
      </c>
      <c r="D43" s="1503"/>
      <c r="E43" s="1503"/>
      <c r="F43" s="1503"/>
      <c r="G43" s="1503"/>
      <c r="H43" s="1503"/>
      <c r="I43" s="1503"/>
      <c r="J43" s="1503"/>
      <c r="K43" s="762"/>
      <c r="L43" s="1253"/>
      <c r="M43" s="1254"/>
      <c r="N43" s="1254"/>
      <c r="O43" s="1254"/>
      <c r="P43" s="3020" t="str">
        <f>A43</f>
        <v>估价对象XX用房的比较价值（楼面单价，元/平方米）</v>
      </c>
      <c r="Q43" s="3021"/>
      <c r="R43" s="3022" t="e">
        <f>IF(E1="售价",ROUND(AVERAGE(R42:V42),0),ROUND(AVERAGE(R42:V42),1))</f>
        <v>#DIV/0!</v>
      </c>
      <c r="S43" s="3022"/>
      <c r="T43" s="3022"/>
      <c r="U43" s="3022"/>
      <c r="V43" s="3022"/>
      <c r="W43" s="3022"/>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2470</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2018-8</v>
      </c>
      <c r="D52" s="1670">
        <f>EDATE(C52,-1)</f>
        <v>43282</v>
      </c>
      <c r="E52" s="1671">
        <f t="shared" ref="E52:O52" si="16">EDATE(D52,-1)</f>
        <v>43252</v>
      </c>
      <c r="F52" s="1671">
        <f t="shared" si="16"/>
        <v>43221</v>
      </c>
      <c r="G52" s="1671">
        <f t="shared" si="16"/>
        <v>43191</v>
      </c>
      <c r="H52" s="1671">
        <f t="shared" si="16"/>
        <v>43160</v>
      </c>
      <c r="I52" s="1671">
        <f t="shared" si="16"/>
        <v>43132</v>
      </c>
      <c r="J52" s="1671">
        <f t="shared" si="16"/>
        <v>43101</v>
      </c>
      <c r="K52" s="1671">
        <f t="shared" si="16"/>
        <v>43070</v>
      </c>
      <c r="L52" s="1671">
        <f t="shared" si="16"/>
        <v>43040</v>
      </c>
      <c r="M52" s="1671">
        <f t="shared" si="16"/>
        <v>43009</v>
      </c>
      <c r="N52" s="1671">
        <f t="shared" si="16"/>
        <v>42979</v>
      </c>
      <c r="O52" s="1671">
        <f t="shared" si="16"/>
        <v>42948</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2390</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2393</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2394</v>
      </c>
      <c r="D59" s="520" t="s">
        <v>2395</v>
      </c>
      <c r="E59" s="520" t="s">
        <v>2396</v>
      </c>
      <c r="F59" s="520" t="s">
        <v>2397</v>
      </c>
      <c r="G59" s="520" t="s">
        <v>2398</v>
      </c>
      <c r="H59" s="520" t="s">
        <v>2399</v>
      </c>
      <c r="I59" s="520" t="s">
        <v>2400</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2503</v>
      </c>
      <c r="C70" s="555" t="s">
        <v>2402</v>
      </c>
      <c r="D70" s="555" t="s">
        <v>2403</v>
      </c>
      <c r="E70" s="555" t="s">
        <v>2404</v>
      </c>
      <c r="F70" s="555" t="s">
        <v>2405</v>
      </c>
      <c r="G70" s="555" t="s">
        <v>2406</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2407</v>
      </c>
      <c r="C72" s="560" t="s">
        <v>2402</v>
      </c>
      <c r="D72" s="560" t="s">
        <v>2403</v>
      </c>
      <c r="E72" s="560" t="s">
        <v>2404</v>
      </c>
      <c r="F72" s="560" t="s">
        <v>2405</v>
      </c>
      <c r="G72" s="560" t="s">
        <v>2406</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2408</v>
      </c>
      <c r="C74" s="560" t="s">
        <v>2402</v>
      </c>
      <c r="D74" s="560" t="s">
        <v>2403</v>
      </c>
      <c r="E74" s="560" t="s">
        <v>2404</v>
      </c>
      <c r="F74" s="560" t="s">
        <v>2405</v>
      </c>
      <c r="G74" s="560" t="s">
        <v>2406</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2480</v>
      </c>
      <c r="C76" s="520" t="s">
        <v>2409</v>
      </c>
      <c r="D76" s="520" t="s">
        <v>2410</v>
      </c>
      <c r="E76" s="520" t="s">
        <v>2411</v>
      </c>
      <c r="F76" s="520" t="s">
        <v>2412</v>
      </c>
      <c r="G76" s="520" t="s">
        <v>2413</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2490</v>
      </c>
      <c r="C78" s="560" t="s">
        <v>2402</v>
      </c>
      <c r="D78" s="560" t="s">
        <v>2403</v>
      </c>
      <c r="E78" s="560" t="s">
        <v>2404</v>
      </c>
      <c r="F78" s="560" t="s">
        <v>2405</v>
      </c>
      <c r="G78" s="560" t="s">
        <v>2406</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1"/>
      <c r="B87" s="551"/>
      <c r="C87" s="552"/>
      <c r="D87" s="552"/>
      <c r="E87" s="552"/>
      <c r="F87" s="552"/>
      <c r="G87" s="573"/>
      <c r="H87" s="573"/>
      <c r="I87" s="573"/>
      <c r="J87" s="573"/>
      <c r="K87" s="573"/>
      <c r="L87" s="573"/>
      <c r="M87" s="574"/>
      <c r="N87" s="1265"/>
      <c r="O87" s="1265"/>
      <c r="P87" s="22"/>
      <c r="Q87" s="483"/>
    </row>
    <row r="88" spans="1:17">
      <c r="A88" s="506" t="s">
        <v>2369</v>
      </c>
      <c r="B88" s="507" t="s">
        <v>2417</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2418</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2419</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2421</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2422</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2423</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2424</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2426</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2504</v>
      </c>
      <c r="C106" s="560" t="s">
        <v>2402</v>
      </c>
      <c r="D106" s="560" t="s">
        <v>2403</v>
      </c>
      <c r="E106" s="560" t="s">
        <v>2404</v>
      </c>
      <c r="F106" s="560" t="s">
        <v>2405</v>
      </c>
      <c r="G106" s="560" t="s">
        <v>2406</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1"/>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9"/>
      <c r="C1" s="1720"/>
      <c r="D1" s="1721"/>
      <c r="E1" s="2371"/>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3"/>
      <c r="E2" s="1211" t="e">
        <f ca="1">SUMIF(INDIRECT("'"&amp;G2&amp;"'"&amp;"!A:A"),"承租人权益价值",INDIRECT("'"&amp;G2&amp;"'"&amp;"!c:c"))</f>
        <v>#REF!</v>
      </c>
      <c r="F2" s="2374" t="str">
        <f>C2</f>
        <v>元</v>
      </c>
      <c r="G2" s="2375"/>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87.21</v>
      </c>
      <c r="E3" s="1089" t="s">
        <v>2506</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505"/>
      <c r="M4" s="423"/>
      <c r="N4" s="423"/>
      <c r="O4" s="423"/>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1" t="s">
        <v>2348</v>
      </c>
      <c r="F5" s="3062"/>
      <c r="G5" s="3035" t="s">
        <v>2349</v>
      </c>
      <c r="H5" s="3036"/>
      <c r="I5" s="3035" t="s">
        <v>2350</v>
      </c>
      <c r="J5" s="3036"/>
      <c r="K5" s="592"/>
      <c r="L5" s="1505"/>
      <c r="M5" s="423"/>
      <c r="N5" s="423"/>
      <c r="O5" s="423"/>
      <c r="P5" s="3056"/>
      <c r="Q5" s="3057"/>
      <c r="R5" s="3041"/>
      <c r="S5" s="3042"/>
      <c r="T5" s="3041"/>
      <c r="U5" s="3042"/>
      <c r="V5" s="3060"/>
      <c r="W5" s="3060"/>
      <c r="X5" s="1890"/>
      <c r="Y5" s="3041"/>
      <c r="Z5" s="3042"/>
      <c r="AA5" s="3048"/>
      <c r="AB5" s="3048"/>
      <c r="AC5" s="3048"/>
    </row>
    <row r="6" spans="1:29" ht="15.75" thickBot="1">
      <c r="A6" s="383"/>
      <c r="B6" s="384"/>
      <c r="C6" s="3033" t="s">
        <v>2351</v>
      </c>
      <c r="D6" s="3034"/>
      <c r="E6" s="3065" t="s">
        <v>2351</v>
      </c>
      <c r="F6" s="3066"/>
      <c r="G6" s="3033" t="s">
        <v>2351</v>
      </c>
      <c r="H6" s="3034"/>
      <c r="I6" s="3033" t="s">
        <v>2351</v>
      </c>
      <c r="J6" s="3034"/>
      <c r="K6" s="592" t="s">
        <v>2352</v>
      </c>
      <c r="L6" s="1505"/>
      <c r="M6" s="423"/>
      <c r="N6" s="423"/>
      <c r="O6" s="423"/>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389"/>
      <c r="F7" s="390">
        <f>SUMIF(48:48,YEAR(E7)&amp;"-"&amp;MONTH(E7),49:49)</f>
        <v>0</v>
      </c>
      <c r="G7" s="389"/>
      <c r="H7" s="388">
        <f>SUMIF(48:48,YEAR(G7)&amp;"-"&amp;MONTH(G7),49:49)</f>
        <v>0</v>
      </c>
      <c r="I7" s="389"/>
      <c r="J7" s="388">
        <f>SUMIF(48:48,YEAR(I7)&amp;"-"&amp;MONTH(I7),49:49)</f>
        <v>0</v>
      </c>
      <c r="K7" s="593"/>
      <c r="L7" s="1506"/>
      <c r="M7" s="1507"/>
      <c r="N7" s="1507"/>
      <c r="O7" s="1507"/>
      <c r="P7" s="3037" t="s">
        <v>2354</v>
      </c>
      <c r="Q7" s="3045"/>
      <c r="R7" s="747" t="s">
        <v>25</v>
      </c>
      <c r="S7" s="748">
        <f t="shared" ref="S7:S14" si="0">F7</f>
        <v>0</v>
      </c>
      <c r="T7" s="747" t="s">
        <v>25</v>
      </c>
      <c r="U7" s="748">
        <f t="shared" ref="U7:U14" si="1">H7</f>
        <v>0</v>
      </c>
      <c r="V7" s="747" t="s">
        <v>25</v>
      </c>
      <c r="W7" s="748">
        <f t="shared" ref="W7:W14"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037" t="s">
        <v>2357</v>
      </c>
      <c r="Q8" s="3038"/>
      <c r="R8" s="747" t="s">
        <v>25</v>
      </c>
      <c r="S8" s="748">
        <f t="shared" si="0"/>
        <v>0</v>
      </c>
      <c r="T8" s="747" t="s">
        <v>25</v>
      </c>
      <c r="U8" s="748">
        <f t="shared" si="1"/>
        <v>0</v>
      </c>
      <c r="V8" s="747" t="s">
        <v>25</v>
      </c>
      <c r="W8" s="748">
        <f t="shared" si="2"/>
        <v>0</v>
      </c>
      <c r="X8" s="749"/>
      <c r="Y8" s="3037" t="s">
        <v>2357</v>
      </c>
      <c r="Z8" s="3038"/>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023" t="s">
        <v>2360</v>
      </c>
      <c r="Q9" s="1877" t="str">
        <f t="shared" ref="Q9:Q14" si="6">B9</f>
        <v>用途</v>
      </c>
      <c r="R9" s="747" t="s">
        <v>25</v>
      </c>
      <c r="S9" s="748">
        <f t="shared" si="0"/>
        <v>100</v>
      </c>
      <c r="T9" s="747" t="s">
        <v>25</v>
      </c>
      <c r="U9" s="748">
        <f t="shared" si="1"/>
        <v>100</v>
      </c>
      <c r="V9" s="747" t="s">
        <v>25</v>
      </c>
      <c r="W9" s="748">
        <f t="shared" si="2"/>
        <v>100</v>
      </c>
      <c r="X9" s="749"/>
      <c r="Y9" s="2849"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023"/>
      <c r="Q11" s="1877">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42.5">
      <c r="A14" s="378" t="s">
        <v>2364</v>
      </c>
      <c r="B14" s="611" t="s">
        <v>2507</v>
      </c>
      <c r="C14" s="1471" t="str">
        <f>IF(B1="工业",估价对象房地状况!G4,估价对象房地状况!C6)</f>
        <v>估价对象周边有350路、553路、571路、619路、640路、650路等多条公交线路，距最近的地铁站6号线（褡裢站）约3500米，综合评价交通便捷度一般</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026" t="s">
        <v>2365</v>
      </c>
      <c r="Q14" s="1889" t="str">
        <f t="shared" si="6"/>
        <v>交通便捷度</v>
      </c>
      <c r="R14" s="751" t="s">
        <v>25</v>
      </c>
      <c r="S14" s="752">
        <f t="shared" si="0"/>
        <v>100</v>
      </c>
      <c r="T14" s="751" t="s">
        <v>25</v>
      </c>
      <c r="U14" s="752">
        <f t="shared" si="1"/>
        <v>100</v>
      </c>
      <c r="V14" s="751" t="s">
        <v>25</v>
      </c>
      <c r="W14" s="752">
        <f t="shared" si="2"/>
        <v>100</v>
      </c>
      <c r="X14" s="1890"/>
      <c r="Y14" s="3026"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027"/>
      <c r="Q15" s="1889"/>
      <c r="R15" s="751"/>
      <c r="S15" s="752"/>
      <c r="T15" s="751"/>
      <c r="U15" s="752"/>
      <c r="V15" s="751"/>
      <c r="W15" s="752"/>
      <c r="X15" s="1890"/>
      <c r="Y15" s="3027"/>
      <c r="Z15" s="1892"/>
      <c r="AA15" s="1893">
        <v>1</v>
      </c>
      <c r="AB15" s="1893">
        <v>1</v>
      </c>
      <c r="AC15" s="1893">
        <v>1</v>
      </c>
    </row>
    <row r="16" spans="1:29" ht="42.75">
      <c r="A16" s="381"/>
      <c r="B16" s="613" t="s">
        <v>2479</v>
      </c>
      <c r="C16" s="1473" t="str">
        <f>IF(B1="工业",估价对象房地状况!G5,估价对象房地状况!C7)</f>
        <v>估价对象所在区域公共配套设施齐备情况较好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027"/>
      <c r="Q16" s="1889" t="str">
        <f>B16</f>
        <v>公共配套设施</v>
      </c>
      <c r="R16" s="751" t="s">
        <v>25</v>
      </c>
      <c r="S16" s="752">
        <f>F16</f>
        <v>100</v>
      </c>
      <c r="T16" s="751" t="s">
        <v>25</v>
      </c>
      <c r="U16" s="752">
        <f>H16</f>
        <v>100</v>
      </c>
      <c r="V16" s="751" t="s">
        <v>25</v>
      </c>
      <c r="W16" s="752">
        <f>J16</f>
        <v>100</v>
      </c>
      <c r="X16" s="1890"/>
      <c r="Y16" s="3027"/>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027"/>
      <c r="Q17" s="1889"/>
      <c r="R17" s="751"/>
      <c r="S17" s="752"/>
      <c r="T17" s="751"/>
      <c r="U17" s="752"/>
      <c r="V17" s="751"/>
      <c r="W17" s="752"/>
      <c r="X17" s="1890"/>
      <c r="Y17" s="3027"/>
      <c r="Z17" s="1892"/>
      <c r="AA17" s="1893">
        <v>1</v>
      </c>
      <c r="AB17" s="1893">
        <v>1</v>
      </c>
      <c r="AC17" s="1893">
        <v>1</v>
      </c>
    </row>
    <row r="18" spans="1:29" ht="15">
      <c r="A18" s="381"/>
      <c r="B18" s="615" t="s">
        <v>2480</v>
      </c>
      <c r="C18" s="1473" t="str">
        <f>IF(B1="工业",估价对象房地状况!G6,估价对象房地状况!C8)</f>
        <v>七通</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027"/>
      <c r="Q18" s="1889" t="str">
        <f>B18</f>
        <v>基础设施水平</v>
      </c>
      <c r="R18" s="751" t="s">
        <v>25</v>
      </c>
      <c r="S18" s="752">
        <f>F18</f>
        <v>100</v>
      </c>
      <c r="T18" s="751" t="s">
        <v>25</v>
      </c>
      <c r="U18" s="752">
        <f>H18</f>
        <v>100</v>
      </c>
      <c r="V18" s="751" t="s">
        <v>25</v>
      </c>
      <c r="W18" s="752">
        <f>J18</f>
        <v>100</v>
      </c>
      <c r="X18" s="1890"/>
      <c r="Y18" s="3027"/>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027"/>
      <c r="Q19" s="1889"/>
      <c r="R19" s="751"/>
      <c r="S19" s="752"/>
      <c r="T19" s="751"/>
      <c r="U19" s="752"/>
      <c r="V19" s="751"/>
      <c r="W19" s="752"/>
      <c r="X19" s="1890"/>
      <c r="Y19" s="3027"/>
      <c r="Z19" s="1892"/>
      <c r="AA19" s="1893">
        <v>1</v>
      </c>
      <c r="AB19" s="1893">
        <v>1</v>
      </c>
      <c r="AC19" s="1893">
        <v>1</v>
      </c>
    </row>
    <row r="20" spans="1:29" ht="99.75">
      <c r="A20" s="381"/>
      <c r="B20" s="613" t="s">
        <v>2508</v>
      </c>
      <c r="C20" s="1473" t="str">
        <f>IF(B1="工业",估价对象房地状况!G7,估价对象房地状况!C9)</f>
        <v>区域自然环境：东坝郊野公园；人文环境：京城体育休闲公园、北京市东郊殡仪馆；综合评价环境状况一般</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027"/>
      <c r="Q20" s="1889" t="str">
        <f>B20</f>
        <v>自然及人文环境</v>
      </c>
      <c r="R20" s="751" t="s">
        <v>25</v>
      </c>
      <c r="S20" s="752">
        <f>F20</f>
        <v>100</v>
      </c>
      <c r="T20" s="751" t="s">
        <v>25</v>
      </c>
      <c r="U20" s="752">
        <f>H20</f>
        <v>100</v>
      </c>
      <c r="V20" s="751" t="s">
        <v>25</v>
      </c>
      <c r="W20" s="752">
        <f>J20</f>
        <v>100</v>
      </c>
      <c r="X20" s="1890"/>
      <c r="Y20" s="3027"/>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027"/>
      <c r="Q21" s="1889"/>
      <c r="R21" s="751"/>
      <c r="S21" s="752"/>
      <c r="T21" s="751"/>
      <c r="U21" s="752"/>
      <c r="V21" s="751"/>
      <c r="W21" s="752"/>
      <c r="X21" s="1890"/>
      <c r="Y21" s="3027"/>
      <c r="Z21" s="1892"/>
      <c r="AA21" s="1893">
        <v>1</v>
      </c>
      <c r="AB21" s="1893">
        <v>1</v>
      </c>
      <c r="AC21" s="1893">
        <v>1</v>
      </c>
    </row>
    <row r="22" spans="1:29" ht="15">
      <c r="A22" s="381"/>
      <c r="B22" s="613" t="s">
        <v>2509</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027"/>
      <c r="Q22" s="1889" t="str">
        <f>B22</f>
        <v>楼层</v>
      </c>
      <c r="R22" s="751" t="s">
        <v>25</v>
      </c>
      <c r="S22" s="752">
        <f>F22</f>
        <v>100</v>
      </c>
      <c r="T22" s="751" t="s">
        <v>25</v>
      </c>
      <c r="U22" s="752">
        <f>H22</f>
        <v>100</v>
      </c>
      <c r="V22" s="751" t="s">
        <v>25</v>
      </c>
      <c r="W22" s="752">
        <f>J22</f>
        <v>100</v>
      </c>
      <c r="X22" s="1890"/>
      <c r="Y22" s="3027"/>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027"/>
      <c r="Q23" s="1889">
        <f>B23</f>
        <v>111</v>
      </c>
      <c r="R23" s="751" t="s">
        <v>25</v>
      </c>
      <c r="S23" s="752">
        <f>F23</f>
        <v>100</v>
      </c>
      <c r="T23" s="751" t="s">
        <v>25</v>
      </c>
      <c r="U23" s="752">
        <f>H23</f>
        <v>100</v>
      </c>
      <c r="V23" s="751" t="s">
        <v>25</v>
      </c>
      <c r="W23" s="752">
        <f>J23</f>
        <v>100</v>
      </c>
      <c r="X23" s="1890"/>
      <c r="Y23" s="3027"/>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027"/>
      <c r="Q24" s="1889">
        <f t="shared" ref="Q24:Q36" si="11">B24</f>
        <v>111</v>
      </c>
      <c r="R24" s="751" t="s">
        <v>25</v>
      </c>
      <c r="S24" s="752">
        <f>F24</f>
        <v>100</v>
      </c>
      <c r="T24" s="751" t="s">
        <v>25</v>
      </c>
      <c r="U24" s="752">
        <f>H24</f>
        <v>100</v>
      </c>
      <c r="V24" s="751" t="s">
        <v>25</v>
      </c>
      <c r="W24" s="752">
        <f>J24</f>
        <v>100</v>
      </c>
      <c r="X24" s="1890"/>
      <c r="Y24" s="3027"/>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027"/>
      <c r="Q25" s="1877">
        <f t="shared" si="11"/>
        <v>111</v>
      </c>
      <c r="R25" s="747" t="s">
        <v>25</v>
      </c>
      <c r="S25" s="748">
        <f>F25</f>
        <v>100</v>
      </c>
      <c r="T25" s="747" t="s">
        <v>25</v>
      </c>
      <c r="U25" s="748">
        <f>H25</f>
        <v>100</v>
      </c>
      <c r="V25" s="747" t="s">
        <v>25</v>
      </c>
      <c r="W25" s="748">
        <f>J25</f>
        <v>100</v>
      </c>
      <c r="X25" s="749"/>
      <c r="Y25" s="3027"/>
      <c r="Z25" s="23">
        <f>Q25</f>
        <v>111</v>
      </c>
      <c r="AA25" s="1893">
        <f>D25/F25</f>
        <v>1</v>
      </c>
      <c r="AB25" s="1893">
        <f>D25/H25</f>
        <v>1</v>
      </c>
      <c r="AC25" s="1893">
        <f>D25/J25</f>
        <v>1</v>
      </c>
    </row>
    <row r="26" spans="1:29" ht="29.25">
      <c r="A26" s="633" t="s">
        <v>2369</v>
      </c>
      <c r="B26" s="27" t="s">
        <v>2510</v>
      </c>
      <c r="C26" s="2470"/>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074"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031" t="s">
        <v>2371</v>
      </c>
      <c r="Z26" s="1892" t="str">
        <f t="shared" ref="Z26:Z36" si="15">Q26</f>
        <v>配套类型</v>
      </c>
      <c r="AA26" s="1893">
        <f t="shared" si="3"/>
        <v>1</v>
      </c>
      <c r="AB26" s="1893">
        <f t="shared" si="4"/>
        <v>1</v>
      </c>
      <c r="AC26" s="1893">
        <f t="shared" si="5"/>
        <v>1</v>
      </c>
    </row>
    <row r="27" spans="1:29" s="450" customFormat="1" ht="15">
      <c r="A27" s="634"/>
      <c r="B27" s="635" t="s">
        <v>2511</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031"/>
      <c r="Q27" s="753" t="str">
        <f t="shared" si="11"/>
        <v>项目停车位配比</v>
      </c>
      <c r="R27" s="754" t="s">
        <v>25</v>
      </c>
      <c r="S27" s="755">
        <f t="shared" si="12"/>
        <v>100</v>
      </c>
      <c r="T27" s="754" t="s">
        <v>25</v>
      </c>
      <c r="U27" s="755">
        <f t="shared" si="13"/>
        <v>100</v>
      </c>
      <c r="V27" s="754" t="s">
        <v>25</v>
      </c>
      <c r="W27" s="755">
        <f t="shared" si="14"/>
        <v>100</v>
      </c>
      <c r="X27" s="756"/>
      <c r="Y27" s="3031"/>
      <c r="Z27" s="757" t="str">
        <f t="shared" si="15"/>
        <v>项目停车位配比</v>
      </c>
      <c r="AA27" s="1893">
        <f t="shared" si="3"/>
        <v>1</v>
      </c>
      <c r="AB27" s="1893">
        <f t="shared" si="4"/>
        <v>1</v>
      </c>
      <c r="AC27" s="1893">
        <f t="shared" si="5"/>
        <v>1</v>
      </c>
    </row>
    <row r="28" spans="1:29" ht="15">
      <c r="A28" s="637"/>
      <c r="B28" s="635" t="s">
        <v>2512</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031"/>
      <c r="Q28" s="1889" t="str">
        <f t="shared" si="11"/>
        <v>公共部分装修</v>
      </c>
      <c r="R28" s="751" t="s">
        <v>25</v>
      </c>
      <c r="S28" s="752">
        <f t="shared" si="12"/>
        <v>100</v>
      </c>
      <c r="T28" s="751" t="s">
        <v>25</v>
      </c>
      <c r="U28" s="752">
        <f t="shared" si="13"/>
        <v>100</v>
      </c>
      <c r="V28" s="751" t="s">
        <v>25</v>
      </c>
      <c r="W28" s="752">
        <f t="shared" si="14"/>
        <v>100</v>
      </c>
      <c r="X28" s="1890"/>
      <c r="Y28" s="3031"/>
      <c r="Z28" s="1892" t="str">
        <f t="shared" si="15"/>
        <v>公共部分装修</v>
      </c>
      <c r="AA28" s="1893">
        <f t="shared" si="3"/>
        <v>1</v>
      </c>
      <c r="AB28" s="1893">
        <f t="shared" si="4"/>
        <v>1</v>
      </c>
      <c r="AC28" s="1893">
        <f t="shared" si="5"/>
        <v>1</v>
      </c>
    </row>
    <row r="29" spans="1:29" ht="15">
      <c r="A29" s="637"/>
      <c r="B29" s="635" t="s">
        <v>2513</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031"/>
      <c r="Q29" s="1889" t="str">
        <f t="shared" si="11"/>
        <v>成新率</v>
      </c>
      <c r="R29" s="751" t="s">
        <v>25</v>
      </c>
      <c r="S29" s="752" t="e">
        <f t="shared" si="12"/>
        <v>#N/A</v>
      </c>
      <c r="T29" s="751" t="s">
        <v>25</v>
      </c>
      <c r="U29" s="752" t="e">
        <f t="shared" si="13"/>
        <v>#N/A</v>
      </c>
      <c r="V29" s="751" t="s">
        <v>25</v>
      </c>
      <c r="W29" s="752" t="e">
        <f t="shared" si="14"/>
        <v>#N/A</v>
      </c>
      <c r="X29" s="1890"/>
      <c r="Y29" s="3031"/>
      <c r="Z29" s="1892" t="str">
        <f t="shared" si="15"/>
        <v>成新率</v>
      </c>
      <c r="AA29" s="1893" t="e">
        <f t="shared" si="3"/>
        <v>#N/A</v>
      </c>
      <c r="AB29" s="1893" t="e">
        <f t="shared" si="4"/>
        <v>#N/A</v>
      </c>
      <c r="AC29" s="1893" t="e">
        <f t="shared" si="5"/>
        <v>#N/A</v>
      </c>
    </row>
    <row r="30" spans="1:29" ht="15">
      <c r="A30" s="637"/>
      <c r="B30" s="635" t="s">
        <v>2514</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031"/>
      <c r="Q30" s="1889" t="str">
        <f t="shared" si="11"/>
        <v>物业等级</v>
      </c>
      <c r="R30" s="751" t="s">
        <v>25</v>
      </c>
      <c r="S30" s="752">
        <f t="shared" si="12"/>
        <v>100</v>
      </c>
      <c r="T30" s="751" t="s">
        <v>25</v>
      </c>
      <c r="U30" s="752">
        <f t="shared" si="13"/>
        <v>100</v>
      </c>
      <c r="V30" s="751" t="s">
        <v>25</v>
      </c>
      <c r="W30" s="752">
        <f t="shared" si="14"/>
        <v>100</v>
      </c>
      <c r="X30" s="1890"/>
      <c r="Y30" s="3031"/>
      <c r="Z30" s="1892" t="str">
        <f t="shared" si="15"/>
        <v>物业等级</v>
      </c>
      <c r="AA30" s="1893">
        <f t="shared" si="3"/>
        <v>1</v>
      </c>
      <c r="AB30" s="1893">
        <f t="shared" si="4"/>
        <v>1</v>
      </c>
      <c r="AC30" s="1893">
        <f t="shared" si="5"/>
        <v>1</v>
      </c>
    </row>
    <row r="31" spans="1:29" s="35" customFormat="1" ht="15">
      <c r="A31" s="639"/>
      <c r="B31" s="635" t="s">
        <v>2515</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031"/>
      <c r="Q31" s="1877" t="str">
        <f t="shared" si="11"/>
        <v>停车位面积</v>
      </c>
      <c r="R31" s="747" t="s">
        <v>25</v>
      </c>
      <c r="S31" s="748" t="e">
        <f t="shared" si="12"/>
        <v>#N/A</v>
      </c>
      <c r="T31" s="747" t="s">
        <v>25</v>
      </c>
      <c r="U31" s="748" t="e">
        <f t="shared" si="13"/>
        <v>#N/A</v>
      </c>
      <c r="V31" s="747" t="s">
        <v>25</v>
      </c>
      <c r="W31" s="748" t="e">
        <f t="shared" si="14"/>
        <v>#N/A</v>
      </c>
      <c r="X31" s="749"/>
      <c r="Y31" s="3031"/>
      <c r="Z31" s="23" t="str">
        <f t="shared" si="15"/>
        <v>停车位面积</v>
      </c>
      <c r="AA31" s="750" t="e">
        <f t="shared" si="3"/>
        <v>#N/A</v>
      </c>
      <c r="AB31" s="750" t="e">
        <f t="shared" si="4"/>
        <v>#N/A</v>
      </c>
      <c r="AC31" s="750" t="e">
        <f t="shared" si="5"/>
        <v>#N/A</v>
      </c>
    </row>
    <row r="32" spans="1:29" ht="15">
      <c r="A32" s="637"/>
      <c r="B32" s="635" t="s">
        <v>2516</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031" t="s">
        <v>2371</v>
      </c>
      <c r="Q32" s="1889" t="str">
        <f t="shared" si="11"/>
        <v>车位类型</v>
      </c>
      <c r="R32" s="751" t="s">
        <v>25</v>
      </c>
      <c r="S32" s="752">
        <f t="shared" si="12"/>
        <v>100</v>
      </c>
      <c r="T32" s="751" t="s">
        <v>25</v>
      </c>
      <c r="U32" s="752">
        <f t="shared" si="13"/>
        <v>100</v>
      </c>
      <c r="V32" s="751" t="s">
        <v>25</v>
      </c>
      <c r="W32" s="752">
        <f t="shared" si="14"/>
        <v>100</v>
      </c>
      <c r="X32" s="1890"/>
      <c r="Y32" s="3031" t="s">
        <v>2371</v>
      </c>
      <c r="Z32" s="1892" t="str">
        <f t="shared" si="15"/>
        <v>车位类型</v>
      </c>
      <c r="AA32" s="1893">
        <f t="shared" si="3"/>
        <v>1</v>
      </c>
      <c r="AB32" s="1893">
        <f t="shared" si="4"/>
        <v>1</v>
      </c>
      <c r="AC32" s="1893">
        <f t="shared" si="5"/>
        <v>1</v>
      </c>
    </row>
    <row r="33" spans="1:29" ht="15">
      <c r="A33" s="637"/>
      <c r="B33" s="635" t="s">
        <v>2517</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031"/>
      <c r="Q33" s="1889" t="str">
        <f t="shared" si="11"/>
        <v>是否直接入户</v>
      </c>
      <c r="R33" s="751" t="s">
        <v>25</v>
      </c>
      <c r="S33" s="752">
        <f t="shared" si="12"/>
        <v>100</v>
      </c>
      <c r="T33" s="751" t="s">
        <v>25</v>
      </c>
      <c r="U33" s="752">
        <f t="shared" si="13"/>
        <v>100</v>
      </c>
      <c r="V33" s="751" t="s">
        <v>25</v>
      </c>
      <c r="W33" s="752">
        <f t="shared" si="14"/>
        <v>100</v>
      </c>
      <c r="X33" s="1890"/>
      <c r="Y33" s="3031"/>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031"/>
      <c r="Q34" s="1889">
        <f t="shared" si="11"/>
        <v>111</v>
      </c>
      <c r="R34" s="751" t="s">
        <v>25</v>
      </c>
      <c r="S34" s="752">
        <f t="shared" si="12"/>
        <v>100</v>
      </c>
      <c r="T34" s="751" t="s">
        <v>25</v>
      </c>
      <c r="U34" s="752">
        <f t="shared" si="13"/>
        <v>100</v>
      </c>
      <c r="V34" s="751" t="s">
        <v>25</v>
      </c>
      <c r="W34" s="752">
        <f t="shared" si="14"/>
        <v>100</v>
      </c>
      <c r="X34" s="1890"/>
      <c r="Y34" s="3031"/>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031"/>
      <c r="Q35" s="753">
        <f t="shared" si="11"/>
        <v>111</v>
      </c>
      <c r="R35" s="754" t="s">
        <v>25</v>
      </c>
      <c r="S35" s="755">
        <f t="shared" si="12"/>
        <v>100</v>
      </c>
      <c r="T35" s="754" t="s">
        <v>25</v>
      </c>
      <c r="U35" s="755">
        <f t="shared" si="13"/>
        <v>100</v>
      </c>
      <c r="V35" s="754" t="s">
        <v>25</v>
      </c>
      <c r="W35" s="755">
        <f t="shared" si="14"/>
        <v>100</v>
      </c>
      <c r="X35" s="756"/>
      <c r="Y35" s="3031"/>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031"/>
      <c r="Q36" s="1889">
        <f t="shared" si="11"/>
        <v>111</v>
      </c>
      <c r="R36" s="751" t="s">
        <v>25</v>
      </c>
      <c r="S36" s="752">
        <f t="shared" si="12"/>
        <v>100</v>
      </c>
      <c r="T36" s="751" t="s">
        <v>25</v>
      </c>
      <c r="U36" s="752">
        <f t="shared" si="13"/>
        <v>100</v>
      </c>
      <c r="V36" s="751" t="s">
        <v>25</v>
      </c>
      <c r="W36" s="752">
        <f t="shared" si="14"/>
        <v>100</v>
      </c>
      <c r="X36" s="1890"/>
      <c r="Y36" s="3031"/>
      <c r="Z36" s="1892">
        <f t="shared" si="15"/>
        <v>111</v>
      </c>
      <c r="AA36" s="1893">
        <f t="shared" si="3"/>
        <v>1</v>
      </c>
      <c r="AB36" s="1893">
        <f t="shared" si="4"/>
        <v>1</v>
      </c>
      <c r="AC36" s="1893">
        <f t="shared" si="5"/>
        <v>1</v>
      </c>
    </row>
    <row r="37" spans="1:29" ht="15">
      <c r="A37" s="458" t="s">
        <v>2518</v>
      </c>
      <c r="B37" s="1090" t="s">
        <v>2519</v>
      </c>
      <c r="C37" s="1493" t="s">
        <v>1</v>
      </c>
      <c r="D37" s="1494"/>
      <c r="E37" s="1495"/>
      <c r="F37" s="1496"/>
      <c r="G37" s="1497"/>
      <c r="H37" s="1498"/>
      <c r="I37" s="1495"/>
      <c r="J37" s="1498"/>
      <c r="K37" s="601"/>
      <c r="L37" s="1516"/>
      <c r="M37" s="736"/>
      <c r="N37" s="423"/>
      <c r="O37" s="736"/>
      <c r="P37" s="3023" t="str">
        <f>A37</f>
        <v>成交单价</v>
      </c>
      <c r="Q37" s="3023"/>
      <c r="R37" s="3019">
        <f>E37</f>
        <v>0</v>
      </c>
      <c r="S37" s="3019"/>
      <c r="T37" s="3019">
        <f>G37</f>
        <v>0</v>
      </c>
      <c r="U37" s="3019"/>
      <c r="V37" s="3019">
        <f>I37</f>
        <v>0</v>
      </c>
      <c r="W37" s="3019"/>
      <c r="X37" s="736"/>
      <c r="Y37" s="758"/>
      <c r="Z37" s="736"/>
      <c r="AA37" s="736"/>
      <c r="AB37" s="736"/>
      <c r="AC37" s="736"/>
    </row>
    <row r="38" spans="1:29" ht="15.75" thickBot="1">
      <c r="A38" s="465" t="s">
        <v>2520</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6"/>
      <c r="Y38" s="736"/>
      <c r="Z38" s="736"/>
      <c r="AA38" s="736"/>
      <c r="AB38" s="736"/>
      <c r="AC38" s="736"/>
    </row>
    <row r="39" spans="1:29" ht="15.75" thickBot="1">
      <c r="A39" s="471" t="s">
        <v>2521</v>
      </c>
      <c r="B39" s="472"/>
      <c r="C39" s="1503" t="e">
        <f>R39</f>
        <v>#DIV/0!</v>
      </c>
      <c r="D39" s="1503"/>
      <c r="E39" s="1503"/>
      <c r="F39" s="1503"/>
      <c r="G39" s="1503"/>
      <c r="H39" s="1503"/>
      <c r="I39" s="1503"/>
      <c r="J39" s="1503"/>
      <c r="K39" s="603"/>
      <c r="L39" s="1516"/>
      <c r="M39" s="736"/>
      <c r="N39" s="736"/>
      <c r="O39" s="736"/>
      <c r="P39" s="3020" t="str">
        <f>A39</f>
        <v>估价对象XX用房的比较价值（楼面单价，元/平方米）</v>
      </c>
      <c r="Q39" s="3021"/>
      <c r="R39" s="3022" t="e">
        <f>IF(E1="售价",ROUND(AVERAGE(R38:V38),0),ROUND(AVERAGE(R38:V38),1))</f>
        <v>#DIV/0!</v>
      </c>
      <c r="S39" s="3022"/>
      <c r="T39" s="3022"/>
      <c r="U39" s="3022"/>
      <c r="V39" s="3022"/>
      <c r="W39" s="3022"/>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2522</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2523</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2524</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2525</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2526</v>
      </c>
      <c r="B48" s="485"/>
      <c r="C48" s="1669" t="str">
        <f>YEAR(C7)&amp;"-"&amp;MONTH(C7)</f>
        <v>2018-8</v>
      </c>
      <c r="D48" s="1670">
        <f>EDATE(C48,-1)</f>
        <v>43282</v>
      </c>
      <c r="E48" s="1670">
        <f t="shared" ref="E48:O48" si="16">EDATE(D48,-1)</f>
        <v>43252</v>
      </c>
      <c r="F48" s="1670">
        <f t="shared" si="16"/>
        <v>43221</v>
      </c>
      <c r="G48" s="1670">
        <f t="shared" si="16"/>
        <v>43191</v>
      </c>
      <c r="H48" s="1670">
        <f t="shared" si="16"/>
        <v>43160</v>
      </c>
      <c r="I48" s="1670">
        <f t="shared" si="16"/>
        <v>43132</v>
      </c>
      <c r="J48" s="1670">
        <f t="shared" si="16"/>
        <v>43101</v>
      </c>
      <c r="K48" s="1670">
        <f t="shared" si="16"/>
        <v>43070</v>
      </c>
      <c r="L48" s="1670">
        <f t="shared" si="16"/>
        <v>43040</v>
      </c>
      <c r="M48" s="1670">
        <f t="shared" si="16"/>
        <v>43009</v>
      </c>
      <c r="N48" s="1670">
        <f t="shared" si="16"/>
        <v>42979</v>
      </c>
      <c r="O48" s="1670">
        <f t="shared" si="16"/>
        <v>42948</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2390</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2393</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2394</v>
      </c>
      <c r="D55" s="520" t="s">
        <v>2395</v>
      </c>
      <c r="E55" s="520" t="s">
        <v>2396</v>
      </c>
      <c r="F55" s="520" t="s">
        <v>2397</v>
      </c>
      <c r="G55" s="520" t="s">
        <v>2398</v>
      </c>
      <c r="H55" s="520" t="s">
        <v>2399</v>
      </c>
      <c r="I55" s="520" t="s">
        <v>2400</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2407</v>
      </c>
      <c r="C63" s="555" t="s">
        <v>2402</v>
      </c>
      <c r="D63" s="555" t="s">
        <v>2403</v>
      </c>
      <c r="E63" s="555" t="s">
        <v>2404</v>
      </c>
      <c r="F63" s="555" t="s">
        <v>2405</v>
      </c>
      <c r="G63" s="555" t="s">
        <v>2406</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2408</v>
      </c>
      <c r="C65" s="560" t="s">
        <v>2402</v>
      </c>
      <c r="D65" s="560" t="s">
        <v>2403</v>
      </c>
      <c r="E65" s="560" t="s">
        <v>2404</v>
      </c>
      <c r="F65" s="560" t="s">
        <v>2405</v>
      </c>
      <c r="G65" s="560" t="s">
        <v>2406</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2480</v>
      </c>
      <c r="C67" s="520" t="s">
        <v>2409</v>
      </c>
      <c r="D67" s="520" t="s">
        <v>2410</v>
      </c>
      <c r="E67" s="520" t="s">
        <v>2411</v>
      </c>
      <c r="F67" s="520" t="s">
        <v>2412</v>
      </c>
      <c r="G67" s="520" t="s">
        <v>2413</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2414</v>
      </c>
      <c r="C69" s="560" t="s">
        <v>2402</v>
      </c>
      <c r="D69" s="560" t="s">
        <v>2403</v>
      </c>
      <c r="E69" s="560" t="s">
        <v>2404</v>
      </c>
      <c r="F69" s="560" t="s">
        <v>2405</v>
      </c>
      <c r="G69" s="560" t="s">
        <v>2406</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2527</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2528</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2529</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2421</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2530</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2531</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2532</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2533</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2534</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9"/>
      <c r="C1" s="1720"/>
      <c r="D1" s="1730"/>
      <c r="E1" s="2371"/>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3"/>
      <c r="E2" s="1729" t="e">
        <f ca="1">SUMIF(INDIRECT("'"&amp;G2&amp;"'"&amp;"!A:A"),"承租人权益价值",INDIRECT("'"&amp;G2&amp;"'"&amp;"!c:c"))</f>
        <v>#REF!</v>
      </c>
      <c r="F2" s="2374" t="str">
        <f>C2</f>
        <v>元</v>
      </c>
      <c r="G2" s="2375"/>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87.21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1"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5" t="s">
        <v>2351</v>
      </c>
      <c r="F6" s="3066"/>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2455"/>
      <c r="F7" s="388">
        <f>SUMIF(46:46,YEAR(E7)&amp;"-"&amp;MONTH(E7),47:47)</f>
        <v>0</v>
      </c>
      <c r="G7" s="389"/>
      <c r="H7" s="388">
        <f>SUMIF(46:46,YEAR(G7)&amp;"-"&amp;MONTH(G7),47:47)</f>
        <v>0</v>
      </c>
      <c r="I7" s="389"/>
      <c r="J7" s="388">
        <f>SUMIF(46:46,YEAR(I7)&amp;"-"&amp;MONTH(I7),47:47)</f>
        <v>0</v>
      </c>
      <c r="K7" s="593"/>
      <c r="L7" s="1242"/>
      <c r="M7" s="1243"/>
      <c r="N7" s="1243"/>
      <c r="O7" s="1243"/>
      <c r="P7" s="3037" t="s">
        <v>2354</v>
      </c>
      <c r="Q7" s="3045"/>
      <c r="R7" s="747" t="s">
        <v>25</v>
      </c>
      <c r="S7" s="748">
        <f t="shared" ref="S7:S14" si="0">F7</f>
        <v>0</v>
      </c>
      <c r="T7" s="747" t="s">
        <v>25</v>
      </c>
      <c r="U7" s="748">
        <f t="shared" ref="U7:U14" si="1">H7</f>
        <v>0</v>
      </c>
      <c r="V7" s="747" t="s">
        <v>25</v>
      </c>
      <c r="W7" s="748">
        <f t="shared" ref="W7:W14"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023" t="s">
        <v>2360</v>
      </c>
      <c r="Q9" s="1877" t="str">
        <f t="shared" ref="Q9:Q14" si="6">B9</f>
        <v>用途</v>
      </c>
      <c r="R9" s="747" t="s">
        <v>25</v>
      </c>
      <c r="S9" s="748">
        <f t="shared" si="0"/>
        <v>100</v>
      </c>
      <c r="T9" s="747" t="s">
        <v>25</v>
      </c>
      <c r="U9" s="748">
        <f t="shared" si="1"/>
        <v>100</v>
      </c>
      <c r="V9" s="747" t="s">
        <v>25</v>
      </c>
      <c r="W9" s="748">
        <f t="shared" si="2"/>
        <v>100</v>
      </c>
      <c r="X9" s="749"/>
      <c r="Y9" s="2849"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2388">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023"/>
      <c r="Q11" s="1877">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409"/>
      <c r="B12" s="2388">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406"/>
      <c r="B13" s="2388">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42.5">
      <c r="A14" s="417" t="s">
        <v>2364</v>
      </c>
      <c r="B14" s="26" t="s">
        <v>2507</v>
      </c>
      <c r="C14" s="2468" t="str">
        <f>IF(B1="工业",估价对象房地状况!G4,估价对象房地状况!C6)</f>
        <v>估价对象周边有350路、553路、571路、619路、640路、650路等多条公交线路，距最近的地铁站6号线（褡裢站）约3500米，综合评价交通便捷度一般</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026" t="s">
        <v>2365</v>
      </c>
      <c r="Q14" s="1889" t="str">
        <f t="shared" si="6"/>
        <v>交通便捷度</v>
      </c>
      <c r="R14" s="751" t="s">
        <v>25</v>
      </c>
      <c r="S14" s="752">
        <f t="shared" si="0"/>
        <v>100</v>
      </c>
      <c r="T14" s="751" t="s">
        <v>25</v>
      </c>
      <c r="U14" s="752">
        <f t="shared" si="1"/>
        <v>100</v>
      </c>
      <c r="V14" s="751" t="s">
        <v>25</v>
      </c>
      <c r="W14" s="752">
        <f t="shared" si="2"/>
        <v>100</v>
      </c>
      <c r="X14" s="1890"/>
      <c r="Y14" s="3026"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027"/>
      <c r="Q15" s="1889"/>
      <c r="R15" s="751"/>
      <c r="S15" s="752"/>
      <c r="T15" s="751"/>
      <c r="U15" s="752"/>
      <c r="V15" s="751"/>
      <c r="W15" s="752"/>
      <c r="X15" s="1890"/>
      <c r="Y15" s="3027"/>
      <c r="Z15" s="1892"/>
      <c r="AA15" s="1893">
        <v>1</v>
      </c>
      <c r="AB15" s="1893">
        <v>1</v>
      </c>
      <c r="AC15" s="1893">
        <v>1</v>
      </c>
    </row>
    <row r="16" spans="1:29" ht="42.75">
      <c r="A16" s="406"/>
      <c r="B16" s="613" t="s">
        <v>2479</v>
      </c>
      <c r="C16" s="2395" t="str">
        <f>IF(B1="工业",估价对象房地状况!G5,估价对象房地状况!C7)</f>
        <v>估价对象所在区域公共配套设施齐备情况较好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027"/>
      <c r="Q16" s="1889" t="str">
        <f>B16</f>
        <v>公共配套设施</v>
      </c>
      <c r="R16" s="751" t="s">
        <v>25</v>
      </c>
      <c r="S16" s="752">
        <f>F16</f>
        <v>100</v>
      </c>
      <c r="T16" s="751" t="s">
        <v>25</v>
      </c>
      <c r="U16" s="752">
        <f>H16</f>
        <v>100</v>
      </c>
      <c r="V16" s="751" t="s">
        <v>25</v>
      </c>
      <c r="W16" s="752">
        <f>J16</f>
        <v>100</v>
      </c>
      <c r="X16" s="1890"/>
      <c r="Y16" s="3027"/>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027"/>
      <c r="Q17" s="1889"/>
      <c r="R17" s="751"/>
      <c r="S17" s="752"/>
      <c r="T17" s="751"/>
      <c r="U17" s="752"/>
      <c r="V17" s="751"/>
      <c r="W17" s="752"/>
      <c r="X17" s="1890"/>
      <c r="Y17" s="3027"/>
      <c r="Z17" s="1892"/>
      <c r="AA17" s="1893">
        <v>1</v>
      </c>
      <c r="AB17" s="1893">
        <v>1</v>
      </c>
      <c r="AC17" s="1893">
        <v>1</v>
      </c>
    </row>
    <row r="18" spans="1:29" ht="15">
      <c r="A18" s="406"/>
      <c r="B18" s="615" t="s">
        <v>2480</v>
      </c>
      <c r="C18" s="2395" t="str">
        <f>IF(B1="工业",估价对象房地状况!G6,估价对象房地状况!C8)</f>
        <v>七通</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027"/>
      <c r="Q18" s="1889" t="str">
        <f>B18</f>
        <v>基础设施水平</v>
      </c>
      <c r="R18" s="751" t="s">
        <v>25</v>
      </c>
      <c r="S18" s="752">
        <f>F18</f>
        <v>100</v>
      </c>
      <c r="T18" s="751" t="s">
        <v>25</v>
      </c>
      <c r="U18" s="752">
        <f>H18</f>
        <v>100</v>
      </c>
      <c r="V18" s="751" t="s">
        <v>25</v>
      </c>
      <c r="W18" s="752">
        <f>J18</f>
        <v>100</v>
      </c>
      <c r="X18" s="1890"/>
      <c r="Y18" s="3027"/>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027"/>
      <c r="Q19" s="1889"/>
      <c r="R19" s="751"/>
      <c r="S19" s="752"/>
      <c r="T19" s="751"/>
      <c r="U19" s="752"/>
      <c r="V19" s="751"/>
      <c r="W19" s="752"/>
      <c r="X19" s="1890"/>
      <c r="Y19" s="3027"/>
      <c r="Z19" s="1892"/>
      <c r="AA19" s="1893">
        <v>1</v>
      </c>
      <c r="AB19" s="1893">
        <v>1</v>
      </c>
      <c r="AC19" s="1893">
        <v>1</v>
      </c>
    </row>
    <row r="20" spans="1:29" ht="99.75">
      <c r="A20" s="406"/>
      <c r="B20" s="429" t="s">
        <v>2508</v>
      </c>
      <c r="C20" s="2395" t="str">
        <f>IF(B1="工业",估价对象房地状况!G7,估价对象房地状况!C9)</f>
        <v>区域自然环境：东坝郊野公园；人文环境：京城体育休闲公园、北京市东郊殡仪馆；综合评价环境状况一般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027"/>
      <c r="Q20" s="1889" t="str">
        <f>B20</f>
        <v>自然及人文环境</v>
      </c>
      <c r="R20" s="751" t="s">
        <v>25</v>
      </c>
      <c r="S20" s="752">
        <f>F20</f>
        <v>100</v>
      </c>
      <c r="T20" s="751" t="s">
        <v>25</v>
      </c>
      <c r="U20" s="752">
        <f>H20</f>
        <v>100</v>
      </c>
      <c r="V20" s="751" t="s">
        <v>25</v>
      </c>
      <c r="W20" s="752">
        <f>J20</f>
        <v>100</v>
      </c>
      <c r="X20" s="1890"/>
      <c r="Y20" s="3027"/>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027"/>
      <c r="Q21" s="1889"/>
      <c r="R21" s="751"/>
      <c r="S21" s="752"/>
      <c r="T21" s="751"/>
      <c r="U21" s="752"/>
      <c r="V21" s="751"/>
      <c r="W21" s="752"/>
      <c r="X21" s="1890"/>
      <c r="Y21" s="3027"/>
      <c r="Z21" s="1892"/>
      <c r="AA21" s="1893">
        <v>1</v>
      </c>
      <c r="AB21" s="1893">
        <v>1</v>
      </c>
      <c r="AC21" s="1893">
        <v>1</v>
      </c>
    </row>
    <row r="22" spans="1:29" ht="15">
      <c r="A22" s="406"/>
      <c r="B22" s="429" t="s">
        <v>2509</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027"/>
      <c r="Q22" s="1889" t="str">
        <f>B22</f>
        <v>楼层</v>
      </c>
      <c r="R22" s="751" t="s">
        <v>25</v>
      </c>
      <c r="S22" s="752">
        <f>F22</f>
        <v>100</v>
      </c>
      <c r="T22" s="751" t="s">
        <v>25</v>
      </c>
      <c r="U22" s="752">
        <f>H22</f>
        <v>100</v>
      </c>
      <c r="V22" s="751" t="s">
        <v>25</v>
      </c>
      <c r="W22" s="752">
        <f>J22</f>
        <v>100</v>
      </c>
      <c r="X22" s="1890"/>
      <c r="Y22" s="3027"/>
      <c r="Z22" s="1892" t="str">
        <f>Q22</f>
        <v>楼层</v>
      </c>
      <c r="AA22" s="1893">
        <f t="shared" si="3"/>
        <v>1</v>
      </c>
      <c r="AB22" s="1893">
        <f t="shared" si="4"/>
        <v>1</v>
      </c>
      <c r="AC22" s="1893">
        <f t="shared" si="5"/>
        <v>1</v>
      </c>
    </row>
    <row r="23" spans="1:29" ht="15">
      <c r="A23" s="381"/>
      <c r="B23" s="2388">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027"/>
      <c r="Q23" s="1889">
        <f>B23</f>
        <v>111</v>
      </c>
      <c r="R23" s="751" t="s">
        <v>25</v>
      </c>
      <c r="S23" s="752">
        <f>F23</f>
        <v>100</v>
      </c>
      <c r="T23" s="751" t="s">
        <v>25</v>
      </c>
      <c r="U23" s="752">
        <f>H23</f>
        <v>100</v>
      </c>
      <c r="V23" s="751" t="s">
        <v>25</v>
      </c>
      <c r="W23" s="752">
        <f>J23</f>
        <v>100</v>
      </c>
      <c r="X23" s="1890"/>
      <c r="Y23" s="3027"/>
      <c r="Z23" s="1892">
        <f>Q23</f>
        <v>111</v>
      </c>
      <c r="AA23" s="1893">
        <f t="shared" si="3"/>
        <v>1</v>
      </c>
      <c r="AB23" s="1893">
        <f t="shared" si="4"/>
        <v>1</v>
      </c>
      <c r="AC23" s="1893">
        <f t="shared" si="5"/>
        <v>1</v>
      </c>
    </row>
    <row r="24" spans="1:29" ht="15">
      <c r="A24" s="406"/>
      <c r="B24" s="2388">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027"/>
      <c r="Q24" s="1889">
        <f t="shared" ref="Q24:Q34" si="11">B24</f>
        <v>111</v>
      </c>
      <c r="R24" s="751" t="s">
        <v>25</v>
      </c>
      <c r="S24" s="752">
        <f>F24</f>
        <v>100</v>
      </c>
      <c r="T24" s="751" t="s">
        <v>25</v>
      </c>
      <c r="U24" s="752">
        <f>H24</f>
        <v>100</v>
      </c>
      <c r="V24" s="751" t="s">
        <v>25</v>
      </c>
      <c r="W24" s="752">
        <f>J24</f>
        <v>100</v>
      </c>
      <c r="X24" s="1890"/>
      <c r="Y24" s="3027"/>
      <c r="Z24" s="1892">
        <f>Q24</f>
        <v>111</v>
      </c>
      <c r="AA24" s="1893">
        <f t="shared" si="3"/>
        <v>1</v>
      </c>
      <c r="AB24" s="1893">
        <f t="shared" si="4"/>
        <v>1</v>
      </c>
      <c r="AC24" s="1893">
        <f t="shared" si="5"/>
        <v>1</v>
      </c>
    </row>
    <row r="25" spans="1:29" s="35" customFormat="1" ht="15.75" thickBot="1">
      <c r="A25" s="409"/>
      <c r="B25" s="2388">
        <v>111</v>
      </c>
      <c r="C25" s="2471"/>
      <c r="D25" s="646">
        <v>100</v>
      </c>
      <c r="E25" s="2471"/>
      <c r="F25" s="647">
        <f>SUMIF(75:75,E25,76:76)-SUMIF(75:75,C25,76:76)+100</f>
        <v>100</v>
      </c>
      <c r="G25" s="2471"/>
      <c r="H25" s="646">
        <f>SUMIF(75:75,G25,76:76)-SUMIF(75:75,C25,76:76)+100</f>
        <v>100</v>
      </c>
      <c r="I25" s="2471"/>
      <c r="J25" s="646">
        <f>SUMIF(75:75,I25,76:76)-SUMIF(75:75,C25,76:76)+100</f>
        <v>100</v>
      </c>
      <c r="K25" s="595"/>
      <c r="L25" s="1242"/>
      <c r="M25" s="1243"/>
      <c r="N25" s="1243"/>
      <c r="O25" s="1244"/>
      <c r="P25" s="3027"/>
      <c r="Q25" s="1877">
        <f t="shared" si="11"/>
        <v>111</v>
      </c>
      <c r="R25" s="747" t="s">
        <v>25</v>
      </c>
      <c r="S25" s="748">
        <f>F25</f>
        <v>100</v>
      </c>
      <c r="T25" s="747" t="s">
        <v>25</v>
      </c>
      <c r="U25" s="748">
        <f>H25</f>
        <v>100</v>
      </c>
      <c r="V25" s="747" t="s">
        <v>25</v>
      </c>
      <c r="W25" s="748">
        <f>J25</f>
        <v>100</v>
      </c>
      <c r="X25" s="749"/>
      <c r="Y25" s="3027"/>
      <c r="Z25" s="23">
        <f>Q25</f>
        <v>111</v>
      </c>
      <c r="AA25" s="1893">
        <f>D25/F25</f>
        <v>1</v>
      </c>
      <c r="AB25" s="1893">
        <f>D25/H25</f>
        <v>1</v>
      </c>
      <c r="AC25" s="1893">
        <f>D25/J25</f>
        <v>1</v>
      </c>
    </row>
    <row r="26" spans="1:29" ht="29.25">
      <c r="A26" s="445" t="s">
        <v>2369</v>
      </c>
      <c r="B26" s="28" t="s">
        <v>2512</v>
      </c>
      <c r="C26" s="2462"/>
      <c r="D26" s="446">
        <v>100</v>
      </c>
      <c r="E26" s="2462"/>
      <c r="F26" s="648">
        <f>SUMIF(77:77,E26,78:78)-SUMIF(77:77,C26,78:78)+100</f>
        <v>100</v>
      </c>
      <c r="G26" s="2462"/>
      <c r="H26" s="446">
        <f>SUMIF(77:77,G26,78:78)-SUMIF(77:77,C26,78:78)+100</f>
        <v>100</v>
      </c>
      <c r="I26" s="2462"/>
      <c r="J26" s="446">
        <f>SUMIF(77:77,I26,78:78)-SUMIF(77:77,C26,78:78)+100</f>
        <v>100</v>
      </c>
      <c r="K26" s="594"/>
      <c r="L26" s="1250"/>
      <c r="M26" s="1241"/>
      <c r="N26" s="1241"/>
      <c r="O26" s="1249"/>
      <c r="P26" s="3074"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031" t="s">
        <v>2371</v>
      </c>
      <c r="Z26" s="1892" t="str">
        <f t="shared" ref="Z26:Z34" si="15">Q26</f>
        <v>公共部分装修</v>
      </c>
      <c r="AA26" s="1893">
        <f t="shared" si="3"/>
        <v>1</v>
      </c>
      <c r="AB26" s="1893">
        <f t="shared" si="4"/>
        <v>1</v>
      </c>
      <c r="AC26" s="1893">
        <f t="shared" si="5"/>
        <v>1</v>
      </c>
    </row>
    <row r="27" spans="1:29" s="450" customFormat="1" ht="15">
      <c r="A27" s="447"/>
      <c r="B27" s="400" t="s">
        <v>2513</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031"/>
      <c r="Q27" s="753" t="str">
        <f t="shared" si="11"/>
        <v>成新率</v>
      </c>
      <c r="R27" s="754" t="s">
        <v>25</v>
      </c>
      <c r="S27" s="755" t="e">
        <f t="shared" si="12"/>
        <v>#N/A</v>
      </c>
      <c r="T27" s="754" t="s">
        <v>25</v>
      </c>
      <c r="U27" s="755" t="e">
        <f t="shared" si="13"/>
        <v>#N/A</v>
      </c>
      <c r="V27" s="754" t="s">
        <v>25</v>
      </c>
      <c r="W27" s="755" t="e">
        <f t="shared" si="14"/>
        <v>#N/A</v>
      </c>
      <c r="X27" s="756"/>
      <c r="Y27" s="3031"/>
      <c r="Z27" s="757" t="str">
        <f t="shared" si="15"/>
        <v>成新率</v>
      </c>
      <c r="AA27" s="1893" t="e">
        <f t="shared" si="3"/>
        <v>#N/A</v>
      </c>
      <c r="AB27" s="1893" t="e">
        <f t="shared" si="4"/>
        <v>#N/A</v>
      </c>
      <c r="AC27" s="1893" t="e">
        <f t="shared" si="5"/>
        <v>#N/A</v>
      </c>
    </row>
    <row r="28" spans="1:29" ht="15">
      <c r="A28" s="451"/>
      <c r="B28" s="400" t="s">
        <v>2514</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031"/>
      <c r="Q28" s="1889" t="str">
        <f t="shared" si="11"/>
        <v>物业等级</v>
      </c>
      <c r="R28" s="751" t="s">
        <v>25</v>
      </c>
      <c r="S28" s="752">
        <f t="shared" si="12"/>
        <v>100</v>
      </c>
      <c r="T28" s="751" t="s">
        <v>25</v>
      </c>
      <c r="U28" s="752">
        <f t="shared" si="13"/>
        <v>100</v>
      </c>
      <c r="V28" s="751" t="s">
        <v>25</v>
      </c>
      <c r="W28" s="752">
        <f t="shared" si="14"/>
        <v>100</v>
      </c>
      <c r="X28" s="1890"/>
      <c r="Y28" s="3031"/>
      <c r="Z28" s="1892" t="str">
        <f t="shared" si="15"/>
        <v>物业等级</v>
      </c>
      <c r="AA28" s="1893">
        <f t="shared" si="3"/>
        <v>1</v>
      </c>
      <c r="AB28" s="1893">
        <f t="shared" si="4"/>
        <v>1</v>
      </c>
      <c r="AC28" s="1893">
        <f t="shared" si="5"/>
        <v>1</v>
      </c>
    </row>
    <row r="29" spans="1:29" ht="15">
      <c r="A29" s="451"/>
      <c r="B29" s="400" t="s">
        <v>2535</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031"/>
      <c r="Q29" s="1889" t="str">
        <f t="shared" si="11"/>
        <v>有无电梯</v>
      </c>
      <c r="R29" s="751" t="s">
        <v>25</v>
      </c>
      <c r="S29" s="752">
        <f t="shared" si="12"/>
        <v>100</v>
      </c>
      <c r="T29" s="751" t="s">
        <v>25</v>
      </c>
      <c r="U29" s="752">
        <f t="shared" si="13"/>
        <v>100</v>
      </c>
      <c r="V29" s="751" t="s">
        <v>25</v>
      </c>
      <c r="W29" s="752">
        <f t="shared" si="14"/>
        <v>100</v>
      </c>
      <c r="X29" s="1890"/>
      <c r="Y29" s="3031"/>
      <c r="Z29" s="1892" t="str">
        <f t="shared" si="15"/>
        <v>有无电梯</v>
      </c>
      <c r="AA29" s="1893">
        <f t="shared" si="3"/>
        <v>1</v>
      </c>
      <c r="AB29" s="1893">
        <f t="shared" si="4"/>
        <v>1</v>
      </c>
      <c r="AC29" s="1893">
        <f t="shared" si="5"/>
        <v>1</v>
      </c>
    </row>
    <row r="30" spans="1:29" ht="15">
      <c r="A30" s="451"/>
      <c r="B30" s="400" t="s">
        <v>2536</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031"/>
      <c r="Q30" s="1889" t="str">
        <f t="shared" si="11"/>
        <v>建筑面积</v>
      </c>
      <c r="R30" s="751" t="s">
        <v>25</v>
      </c>
      <c r="S30" s="752" t="e">
        <f t="shared" si="12"/>
        <v>#N/A</v>
      </c>
      <c r="T30" s="751" t="s">
        <v>25</v>
      </c>
      <c r="U30" s="752" t="e">
        <f t="shared" si="13"/>
        <v>#N/A</v>
      </c>
      <c r="V30" s="751" t="s">
        <v>25</v>
      </c>
      <c r="W30" s="752" t="e">
        <f t="shared" si="14"/>
        <v>#N/A</v>
      </c>
      <c r="X30" s="1890"/>
      <c r="Y30" s="3031"/>
      <c r="Z30" s="1892" t="str">
        <f t="shared" si="15"/>
        <v>建筑面积</v>
      </c>
      <c r="AA30" s="1893" t="e">
        <f t="shared" si="3"/>
        <v>#N/A</v>
      </c>
      <c r="AB30" s="1893" t="e">
        <f t="shared" si="4"/>
        <v>#N/A</v>
      </c>
      <c r="AC30" s="1893" t="e">
        <f t="shared" si="5"/>
        <v>#N/A</v>
      </c>
    </row>
    <row r="31" spans="1:29" s="35" customFormat="1" ht="15">
      <c r="A31" s="452"/>
      <c r="B31" s="400" t="s">
        <v>2537</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031"/>
      <c r="Q31" s="1877" t="str">
        <f t="shared" si="11"/>
        <v>是否封闭</v>
      </c>
      <c r="R31" s="747" t="s">
        <v>25</v>
      </c>
      <c r="S31" s="748">
        <f t="shared" si="12"/>
        <v>100</v>
      </c>
      <c r="T31" s="747" t="s">
        <v>25</v>
      </c>
      <c r="U31" s="748">
        <f t="shared" si="13"/>
        <v>100</v>
      </c>
      <c r="V31" s="747" t="s">
        <v>25</v>
      </c>
      <c r="W31" s="748">
        <f t="shared" si="14"/>
        <v>100</v>
      </c>
      <c r="X31" s="749"/>
      <c r="Y31" s="3031"/>
      <c r="Z31" s="23" t="str">
        <f t="shared" si="15"/>
        <v>是否封闭</v>
      </c>
      <c r="AA31" s="750">
        <f t="shared" si="3"/>
        <v>1</v>
      </c>
      <c r="AB31" s="750">
        <f t="shared" si="4"/>
        <v>1</v>
      </c>
      <c r="AC31" s="750">
        <f t="shared" si="5"/>
        <v>1</v>
      </c>
    </row>
    <row r="32" spans="1:29" ht="15">
      <c r="A32" s="451"/>
      <c r="B32" s="2388">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031" t="s">
        <v>2371</v>
      </c>
      <c r="Q32" s="1889">
        <f t="shared" si="11"/>
        <v>111</v>
      </c>
      <c r="R32" s="751" t="s">
        <v>25</v>
      </c>
      <c r="S32" s="752">
        <f t="shared" si="12"/>
        <v>100</v>
      </c>
      <c r="T32" s="751" t="s">
        <v>25</v>
      </c>
      <c r="U32" s="752">
        <f t="shared" si="13"/>
        <v>100</v>
      </c>
      <c r="V32" s="751" t="s">
        <v>25</v>
      </c>
      <c r="W32" s="752">
        <f t="shared" si="14"/>
        <v>100</v>
      </c>
      <c r="X32" s="1890"/>
      <c r="Y32" s="3031" t="s">
        <v>2371</v>
      </c>
      <c r="Z32" s="1892">
        <f t="shared" si="15"/>
        <v>111</v>
      </c>
      <c r="AA32" s="1893">
        <f t="shared" si="3"/>
        <v>1</v>
      </c>
      <c r="AB32" s="1893">
        <f t="shared" si="4"/>
        <v>1</v>
      </c>
      <c r="AC32" s="1893">
        <f t="shared" si="5"/>
        <v>1</v>
      </c>
    </row>
    <row r="33" spans="1:29" ht="15">
      <c r="A33" s="451"/>
      <c r="B33" s="2388">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031"/>
      <c r="Q33" s="1889">
        <f t="shared" si="11"/>
        <v>111</v>
      </c>
      <c r="R33" s="751" t="s">
        <v>25</v>
      </c>
      <c r="S33" s="752">
        <f t="shared" si="12"/>
        <v>100</v>
      </c>
      <c r="T33" s="751" t="s">
        <v>25</v>
      </c>
      <c r="U33" s="752">
        <f t="shared" si="13"/>
        <v>100</v>
      </c>
      <c r="V33" s="751" t="s">
        <v>25</v>
      </c>
      <c r="W33" s="752">
        <f t="shared" si="14"/>
        <v>100</v>
      </c>
      <c r="X33" s="1890"/>
      <c r="Y33" s="3031"/>
      <c r="Z33" s="1892">
        <f t="shared" si="15"/>
        <v>111</v>
      </c>
      <c r="AA33" s="1893">
        <f t="shared" si="3"/>
        <v>1</v>
      </c>
      <c r="AB33" s="1893">
        <f t="shared" si="4"/>
        <v>1</v>
      </c>
      <c r="AC33" s="1893">
        <f t="shared" si="5"/>
        <v>1</v>
      </c>
    </row>
    <row r="34" spans="1:29" ht="15.75" thickBot="1">
      <c r="A34" s="457"/>
      <c r="B34" s="2390">
        <v>111</v>
      </c>
      <c r="C34" s="2391"/>
      <c r="D34" s="415">
        <v>100</v>
      </c>
      <c r="E34" s="2472"/>
      <c r="F34" s="416">
        <f>SUMIF(95:95,E34,96:96)-SUMIF(95:95,C34,96:96)+100</f>
        <v>100</v>
      </c>
      <c r="G34" s="2472"/>
      <c r="H34" s="415">
        <f>SUMIF(95:95,G34,96:96)-SUMIF(95:95,C34,96:96)+100</f>
        <v>100</v>
      </c>
      <c r="I34" s="2472"/>
      <c r="J34" s="415">
        <f>SUMIF(95:95,I34,96:96)-SUMIF(95:95,C34,96:96)+100</f>
        <v>100</v>
      </c>
      <c r="K34" s="595"/>
      <c r="L34" s="1250"/>
      <c r="M34" s="1241"/>
      <c r="N34" s="1241"/>
      <c r="O34" s="1249"/>
      <c r="P34" s="3031"/>
      <c r="Q34" s="1889">
        <f t="shared" si="11"/>
        <v>111</v>
      </c>
      <c r="R34" s="751" t="s">
        <v>25</v>
      </c>
      <c r="S34" s="752">
        <f t="shared" si="12"/>
        <v>100</v>
      </c>
      <c r="T34" s="751" t="s">
        <v>25</v>
      </c>
      <c r="U34" s="752">
        <f t="shared" si="13"/>
        <v>100</v>
      </c>
      <c r="V34" s="751" t="s">
        <v>25</v>
      </c>
      <c r="W34" s="752">
        <f t="shared" si="14"/>
        <v>100</v>
      </c>
      <c r="X34" s="1890"/>
      <c r="Y34" s="3031"/>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023" t="str">
        <f>A35</f>
        <v>成交单价（元/平方米）</v>
      </c>
      <c r="Q35" s="3023"/>
      <c r="R35" s="3019">
        <f>E35</f>
        <v>0</v>
      </c>
      <c r="S35" s="3019"/>
      <c r="T35" s="3019">
        <f>G35</f>
        <v>0</v>
      </c>
      <c r="U35" s="3019"/>
      <c r="V35" s="3019">
        <f>I35</f>
        <v>0</v>
      </c>
      <c r="W35" s="3019"/>
      <c r="X35" s="736"/>
      <c r="Y35" s="758"/>
      <c r="Z35" s="736"/>
      <c r="AA35" s="736"/>
      <c r="AB35" s="736"/>
      <c r="AC35" s="736"/>
    </row>
    <row r="36" spans="1:29" ht="15.75" thickBot="1">
      <c r="A36" s="465" t="s">
        <v>2465</v>
      </c>
      <c r="B36" s="466"/>
      <c r="C36" s="1499" t="e">
        <f>R37</f>
        <v>#DIV/0!</v>
      </c>
      <c r="D36" s="1500"/>
      <c r="E36" s="1501" t="e">
        <f>R36</f>
        <v>#DIV/0!</v>
      </c>
      <c r="F36" s="1501"/>
      <c r="G36" s="1499" t="e">
        <f>T36</f>
        <v>#DIV/0!</v>
      </c>
      <c r="H36" s="1500"/>
      <c r="I36" s="1501" t="e">
        <f>V36</f>
        <v>#DIV/0!</v>
      </c>
      <c r="J36" s="1500"/>
      <c r="K36" s="761"/>
      <c r="L36" s="1253"/>
      <c r="M36" s="1254"/>
      <c r="N36" s="1241"/>
      <c r="O36" s="1254"/>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6"/>
      <c r="Y36" s="736"/>
      <c r="Z36" s="736"/>
      <c r="AA36" s="736"/>
      <c r="AB36" s="736"/>
      <c r="AC36" s="736"/>
    </row>
    <row r="37" spans="1:29" ht="15.75" thickBot="1">
      <c r="A37" s="471" t="s">
        <v>2488</v>
      </c>
      <c r="B37" s="472"/>
      <c r="C37" s="1503" t="e">
        <f>R37</f>
        <v>#DIV/0!</v>
      </c>
      <c r="D37" s="1503"/>
      <c r="E37" s="1503"/>
      <c r="F37" s="1503"/>
      <c r="G37" s="1503"/>
      <c r="H37" s="1503"/>
      <c r="I37" s="1503"/>
      <c r="J37" s="1503"/>
      <c r="K37" s="762"/>
      <c r="L37" s="1253"/>
      <c r="M37" s="1254"/>
      <c r="N37" s="1254"/>
      <c r="O37" s="1254"/>
      <c r="P37" s="3020" t="str">
        <f>A37</f>
        <v>估价对象XX用房的比较价值（楼面单价，元/平方米）</v>
      </c>
      <c r="Q37" s="3021"/>
      <c r="R37" s="3022" t="e">
        <f>IF(E1="售价",ROUND(AVERAGE(R36:V36),0),ROUND(AVERAGE(R36:V36),1))</f>
        <v>#DIV/0!</v>
      </c>
      <c r="S37" s="3022"/>
      <c r="T37" s="3022"/>
      <c r="U37" s="3022"/>
      <c r="V37" s="3022"/>
      <c r="W37" s="3022"/>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2467</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2468</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2469</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2470</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2018-8</v>
      </c>
      <c r="D46" s="1670">
        <f>EDATE(C46,-1)</f>
        <v>43282</v>
      </c>
      <c r="E46" s="1670">
        <f t="shared" ref="E46:O46" si="16">EDATE(D46,-1)</f>
        <v>43252</v>
      </c>
      <c r="F46" s="1670">
        <f t="shared" si="16"/>
        <v>43221</v>
      </c>
      <c r="G46" s="1670">
        <f t="shared" si="16"/>
        <v>43191</v>
      </c>
      <c r="H46" s="1670">
        <f t="shared" si="16"/>
        <v>43160</v>
      </c>
      <c r="I46" s="1670">
        <f t="shared" si="16"/>
        <v>43132</v>
      </c>
      <c r="J46" s="1670">
        <f t="shared" si="16"/>
        <v>43101</v>
      </c>
      <c r="K46" s="1670">
        <f t="shared" si="16"/>
        <v>43070</v>
      </c>
      <c r="L46" s="1670">
        <f t="shared" si="16"/>
        <v>43040</v>
      </c>
      <c r="M46" s="1670">
        <f t="shared" si="16"/>
        <v>43009</v>
      </c>
      <c r="N46" s="1670">
        <f t="shared" si="16"/>
        <v>42979</v>
      </c>
      <c r="O46" s="1670">
        <f t="shared" si="16"/>
        <v>42948</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2390</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2393</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2394</v>
      </c>
      <c r="D53" s="520" t="s">
        <v>2395</v>
      </c>
      <c r="E53" s="520" t="s">
        <v>2396</v>
      </c>
      <c r="F53" s="520" t="s">
        <v>2397</v>
      </c>
      <c r="G53" s="520" t="s">
        <v>2398</v>
      </c>
      <c r="H53" s="520" t="s">
        <v>2399</v>
      </c>
      <c r="I53" s="520" t="s">
        <v>2400</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2407</v>
      </c>
      <c r="C61" s="555" t="s">
        <v>2402</v>
      </c>
      <c r="D61" s="555" t="s">
        <v>2403</v>
      </c>
      <c r="E61" s="555" t="s">
        <v>2404</v>
      </c>
      <c r="F61" s="555" t="s">
        <v>2405</v>
      </c>
      <c r="G61" s="555" t="s">
        <v>2406</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2408</v>
      </c>
      <c r="C63" s="560" t="s">
        <v>2402</v>
      </c>
      <c r="D63" s="560" t="s">
        <v>2403</v>
      </c>
      <c r="E63" s="560" t="s">
        <v>2404</v>
      </c>
      <c r="F63" s="560" t="s">
        <v>2405</v>
      </c>
      <c r="G63" s="560" t="s">
        <v>2406</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2480</v>
      </c>
      <c r="C65" s="520" t="s">
        <v>2409</v>
      </c>
      <c r="D65" s="520" t="s">
        <v>2410</v>
      </c>
      <c r="E65" s="520" t="s">
        <v>2411</v>
      </c>
      <c r="F65" s="520" t="s">
        <v>2412</v>
      </c>
      <c r="G65" s="520" t="s">
        <v>2413</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2414</v>
      </c>
      <c r="C67" s="560" t="s">
        <v>2402</v>
      </c>
      <c r="D67" s="560" t="s">
        <v>2403</v>
      </c>
      <c r="E67" s="560" t="s">
        <v>2404</v>
      </c>
      <c r="F67" s="560" t="s">
        <v>2405</v>
      </c>
      <c r="G67" s="560" t="s">
        <v>2406</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2527</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2421</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2530</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2531</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2538</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2539</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2540</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2541</v>
      </c>
      <c r="B1" s="372"/>
      <c r="C1" s="373" t="s">
        <v>2542</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2543</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30" ht="15">
      <c r="A5" s="381"/>
      <c r="B5" s="382"/>
      <c r="C5" s="3035" t="s">
        <v>2347</v>
      </c>
      <c r="D5" s="3036"/>
      <c r="E5" s="3061"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30" ht="15.75" thickBot="1">
      <c r="A6" s="383"/>
      <c r="B6" s="384"/>
      <c r="C6" s="3033" t="s">
        <v>2351</v>
      </c>
      <c r="D6" s="3034"/>
      <c r="E6" s="3065" t="s">
        <v>2351</v>
      </c>
      <c r="F6" s="3066"/>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30" s="35" customFormat="1" ht="15.75" thickBot="1">
      <c r="A7" s="385" t="s">
        <v>2353</v>
      </c>
      <c r="B7" s="386"/>
      <c r="C7" s="387">
        <f>'数据-取费表'!B2</f>
        <v>43328</v>
      </c>
      <c r="D7" s="388">
        <v>100</v>
      </c>
      <c r="E7" s="389"/>
      <c r="F7" s="390">
        <f>SUMIF(70:70,YEAR(E7)&amp;"-"&amp;INT((MONTH(E7)+2)/3),71:71)</f>
        <v>0</v>
      </c>
      <c r="G7" s="2455"/>
      <c r="H7" s="388">
        <f>SUMIF(70:70,YEAR(G7)&amp;"-"&amp;INT((MONTH(G7)+2)/3),71:71)</f>
        <v>0</v>
      </c>
      <c r="I7" s="2455"/>
      <c r="J7" s="388">
        <f>SUMIF(70:70,YEAR(I7)&amp;"-"&amp;INT((MONTH(I7)+2)/3),71:71)</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30" s="35" customFormat="1" ht="15.75" thickBot="1">
      <c r="A8" s="385" t="s">
        <v>2355</v>
      </c>
      <c r="B8" s="386"/>
      <c r="C8" s="392" t="s">
        <v>2545</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5" si="3">D8/F8</f>
        <v>#DIV/0!</v>
      </c>
      <c r="AB8" s="750" t="e">
        <f t="shared" ref="AB8:AB45" si="4">D8/H8</f>
        <v>#DIV/0!</v>
      </c>
      <c r="AC8" s="750" t="e">
        <f t="shared" ref="AC8:AC45" si="5">D8/J8</f>
        <v>#DIV/0!</v>
      </c>
    </row>
    <row r="9" spans="1:30" s="35" customFormat="1">
      <c r="A9" s="393" t="s">
        <v>2358</v>
      </c>
      <c r="B9" s="28" t="s">
        <v>2359</v>
      </c>
      <c r="C9" s="2473"/>
      <c r="D9" s="51">
        <v>100</v>
      </c>
      <c r="E9" s="2473"/>
      <c r="F9" s="51">
        <f>SUMIF(75:75,E9,76:76)-SUMIF(75:75,C9,76:76)+100</f>
        <v>100</v>
      </c>
      <c r="G9" s="2473"/>
      <c r="H9" s="51">
        <f>SUMIF(75:75,G9,76:76)-SUMIF(75:75,C9,76:76)+100</f>
        <v>100</v>
      </c>
      <c r="I9" s="2473"/>
      <c r="J9" s="51">
        <f>SUMIF(75:75,I9,76:76)-SUMIF(75:75,C9,76:76)+100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104</v>
      </c>
      <c r="G10" s="442"/>
      <c r="H10" s="52">
        <f>ROUND(100/'数据-取费表'!B14,0)</f>
        <v>104</v>
      </c>
      <c r="I10" s="442"/>
      <c r="J10" s="52">
        <f>ROUND(100/'数据-取费表'!B14,0)</f>
        <v>104</v>
      </c>
      <c r="K10" s="653"/>
      <c r="L10" s="1245"/>
      <c r="M10" s="1246"/>
      <c r="N10" s="1246"/>
      <c r="O10" s="1247"/>
      <c r="P10" s="3023"/>
      <c r="Q10" s="1877" t="str">
        <f t="shared" si="6"/>
        <v>土地使用年限（年）</v>
      </c>
      <c r="R10" s="747" t="s">
        <v>25</v>
      </c>
      <c r="S10" s="748">
        <f t="shared" si="0"/>
        <v>104</v>
      </c>
      <c r="T10" s="747" t="s">
        <v>25</v>
      </c>
      <c r="U10" s="748">
        <f t="shared" si="1"/>
        <v>104</v>
      </c>
      <c r="V10" s="747" t="s">
        <v>25</v>
      </c>
      <c r="W10" s="748">
        <f t="shared" si="2"/>
        <v>104</v>
      </c>
      <c r="X10" s="749"/>
      <c r="Y10" s="2849"/>
      <c r="Z10" s="23" t="str">
        <f t="shared" si="7"/>
        <v>土地使用年限（年）</v>
      </c>
      <c r="AA10" s="750">
        <f t="shared" si="3"/>
        <v>0.96153846153846156</v>
      </c>
      <c r="AB10" s="750">
        <f t="shared" si="4"/>
        <v>0.96153846153846156</v>
      </c>
      <c r="AC10" s="750">
        <f t="shared" si="5"/>
        <v>0.96153846153846156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30" s="35" customFormat="1" ht="15">
      <c r="A12" s="409"/>
      <c r="B12" s="2388" t="s">
        <v>2546</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023"/>
      <c r="Q12" s="1877" t="str">
        <f t="shared" si="6"/>
        <v>配建</v>
      </c>
      <c r="R12" s="747" t="s">
        <v>25</v>
      </c>
      <c r="S12" s="748">
        <f t="shared" si="0"/>
        <v>100</v>
      </c>
      <c r="T12" s="747" t="s">
        <v>25</v>
      </c>
      <c r="U12" s="748">
        <f t="shared" si="1"/>
        <v>100</v>
      </c>
      <c r="V12" s="747" t="s">
        <v>25</v>
      </c>
      <c r="W12" s="748">
        <f t="shared" si="2"/>
        <v>100</v>
      </c>
      <c r="X12" s="749"/>
      <c r="Y12" s="2849"/>
      <c r="Z12" s="23" t="str">
        <f t="shared" si="7"/>
        <v>配建</v>
      </c>
      <c r="AA12" s="750">
        <f>D12/F12</f>
        <v>1</v>
      </c>
      <c r="AB12" s="750">
        <f>D12/H12</f>
        <v>1</v>
      </c>
      <c r="AC12" s="750">
        <f>D12/J12</f>
        <v>1</v>
      </c>
    </row>
    <row r="13" spans="1:30" ht="15">
      <c r="A13" s="406"/>
      <c r="B13" s="2388">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D13/F13</f>
        <v>1</v>
      </c>
      <c r="AB13" s="750">
        <f>D13/H13</f>
        <v>1</v>
      </c>
      <c r="AC13" s="750">
        <f>D13/J13</f>
        <v>1</v>
      </c>
    </row>
    <row r="14" spans="1:30" ht="15.75" thickBot="1">
      <c r="A14" s="414"/>
      <c r="B14" s="2390">
        <v>111</v>
      </c>
      <c r="C14" s="2391"/>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D14/F14</f>
        <v>1</v>
      </c>
      <c r="AB14" s="750">
        <f>D14/H14</f>
        <v>1</v>
      </c>
      <c r="AC14" s="750">
        <f>D14/J14</f>
        <v>1</v>
      </c>
    </row>
    <row r="15" spans="1:30" ht="99.75">
      <c r="A15" s="378" t="s">
        <v>2364</v>
      </c>
      <c r="B15" s="1478" t="s">
        <v>1739</v>
      </c>
      <c r="C15" s="2456" t="str">
        <f>估价对象房地状况!C15</f>
        <v>估价对象周边有泓鑫家园、富北嘉园、金泽家园、金泰丽富嘉园等，综合评价居住社区成熟度较好</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026" t="s">
        <v>2365</v>
      </c>
      <c r="Q15" s="1889" t="str">
        <f t="shared" si="6"/>
        <v>居住社区成熟度</v>
      </c>
      <c r="R15" s="751" t="s">
        <v>25</v>
      </c>
      <c r="S15" s="752">
        <f t="shared" si="0"/>
        <v>100</v>
      </c>
      <c r="T15" s="751" t="s">
        <v>25</v>
      </c>
      <c r="U15" s="752">
        <f t="shared" si="1"/>
        <v>100</v>
      </c>
      <c r="V15" s="751" t="s">
        <v>25</v>
      </c>
      <c r="W15" s="752">
        <f t="shared" si="2"/>
        <v>100</v>
      </c>
      <c r="X15" s="1890"/>
      <c r="Y15" s="3026"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3"/>
      <c r="J16" s="425"/>
      <c r="K16" s="653"/>
      <c r="L16" s="1250"/>
      <c r="M16" s="1241"/>
      <c r="N16" s="1241"/>
      <c r="O16" s="1249"/>
      <c r="P16" s="3027"/>
      <c r="Q16" s="1889"/>
      <c r="R16" s="751"/>
      <c r="S16" s="752"/>
      <c r="T16" s="751"/>
      <c r="U16" s="752"/>
      <c r="V16" s="751"/>
      <c r="W16" s="752"/>
      <c r="X16" s="1890"/>
      <c r="Y16" s="3027"/>
      <c r="Z16" s="1892"/>
      <c r="AA16" s="1893">
        <v>1</v>
      </c>
      <c r="AB16" s="1893">
        <v>1</v>
      </c>
      <c r="AC16" s="1893">
        <v>1</v>
      </c>
    </row>
    <row r="17" spans="1:29" ht="71.25">
      <c r="A17" s="381"/>
      <c r="B17" s="1480" t="s">
        <v>2449</v>
      </c>
      <c r="C17" s="2474"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027"/>
      <c r="Q17" s="1889" t="str">
        <f>B17</f>
        <v>商业繁华度</v>
      </c>
      <c r="R17" s="751" t="s">
        <v>25</v>
      </c>
      <c r="S17" s="752">
        <f>F17</f>
        <v>100</v>
      </c>
      <c r="T17" s="751" t="s">
        <v>25</v>
      </c>
      <c r="U17" s="752">
        <f>H17</f>
        <v>100</v>
      </c>
      <c r="V17" s="751" t="s">
        <v>25</v>
      </c>
      <c r="W17" s="752">
        <f>J17</f>
        <v>100</v>
      </c>
      <c r="X17" s="1890"/>
      <c r="Y17" s="3027"/>
      <c r="Z17" s="1892" t="str">
        <f>Q17</f>
        <v>商业繁华度</v>
      </c>
      <c r="AA17" s="1893">
        <f t="shared" si="3"/>
        <v>1</v>
      </c>
      <c r="AB17" s="1893">
        <f t="shared" si="4"/>
        <v>1</v>
      </c>
      <c r="AC17" s="1893">
        <f t="shared" si="5"/>
        <v>1</v>
      </c>
    </row>
    <row r="18" spans="1:29" ht="15">
      <c r="A18" s="381"/>
      <c r="B18" s="1481"/>
      <c r="C18" s="2458"/>
      <c r="D18" s="428"/>
      <c r="E18" s="1459"/>
      <c r="F18" s="428"/>
      <c r="G18" s="1459"/>
      <c r="H18" s="425"/>
      <c r="I18" s="2396"/>
      <c r="J18" s="425"/>
      <c r="K18" s="653"/>
      <c r="L18" s="1250"/>
      <c r="M18" s="1241"/>
      <c r="N18" s="1241"/>
      <c r="O18" s="1249"/>
      <c r="P18" s="3027"/>
      <c r="Q18" s="1889"/>
      <c r="R18" s="751"/>
      <c r="S18" s="752"/>
      <c r="T18" s="751"/>
      <c r="U18" s="752"/>
      <c r="V18" s="751"/>
      <c r="W18" s="752"/>
      <c r="X18" s="1890"/>
      <c r="Y18" s="3027"/>
      <c r="Z18" s="1892"/>
      <c r="AA18" s="1893">
        <v>1</v>
      </c>
      <c r="AB18" s="1893">
        <v>1</v>
      </c>
      <c r="AC18" s="1893">
        <v>1</v>
      </c>
    </row>
    <row r="19" spans="1:29" ht="71.25">
      <c r="A19" s="381"/>
      <c r="B19" s="1480" t="s">
        <v>2478</v>
      </c>
      <c r="C19" s="2474"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027"/>
      <c r="Q19" s="1889" t="str">
        <f>B19</f>
        <v>办公集聚程度</v>
      </c>
      <c r="R19" s="751" t="s">
        <v>25</v>
      </c>
      <c r="S19" s="752">
        <f>F19</f>
        <v>100</v>
      </c>
      <c r="T19" s="751" t="s">
        <v>25</v>
      </c>
      <c r="U19" s="752">
        <f>H19</f>
        <v>100</v>
      </c>
      <c r="V19" s="751" t="s">
        <v>25</v>
      </c>
      <c r="W19" s="752">
        <f>J19</f>
        <v>100</v>
      </c>
      <c r="X19" s="1890"/>
      <c r="Y19" s="3027"/>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3"/>
      <c r="J20" s="425"/>
      <c r="K20" s="653"/>
      <c r="L20" s="1250"/>
      <c r="M20" s="1241"/>
      <c r="N20" s="1241"/>
      <c r="O20" s="1249"/>
      <c r="P20" s="3027"/>
      <c r="Q20" s="1889"/>
      <c r="R20" s="751"/>
      <c r="S20" s="752"/>
      <c r="T20" s="751"/>
      <c r="U20" s="752"/>
      <c r="V20" s="751"/>
      <c r="W20" s="752"/>
      <c r="X20" s="1890"/>
      <c r="Y20" s="3027"/>
      <c r="Z20" s="1892"/>
      <c r="AA20" s="1893">
        <v>1</v>
      </c>
      <c r="AB20" s="1893">
        <v>1</v>
      </c>
      <c r="AC20" s="1893">
        <v>1</v>
      </c>
    </row>
    <row r="21" spans="1:29" ht="142.5">
      <c r="A21" s="381"/>
      <c r="B21" s="1480" t="s">
        <v>2507</v>
      </c>
      <c r="C21" s="2457" t="str">
        <f>估价对象房地状况!C18</f>
        <v>估价对象周边有350路、553路、571路、619路、640路、650路等多条公交线路，距最近的地铁站6号线（褡裢站）约3500米，综合评价交通便捷度一般</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027"/>
      <c r="Q21" s="1889" t="str">
        <f>B21</f>
        <v>交通便捷度</v>
      </c>
      <c r="R21" s="751" t="s">
        <v>25</v>
      </c>
      <c r="S21" s="752">
        <f>F21</f>
        <v>100</v>
      </c>
      <c r="T21" s="751" t="s">
        <v>25</v>
      </c>
      <c r="U21" s="752">
        <f>H21</f>
        <v>100</v>
      </c>
      <c r="V21" s="751" t="s">
        <v>25</v>
      </c>
      <c r="W21" s="752">
        <f>J21</f>
        <v>100</v>
      </c>
      <c r="X21" s="1890"/>
      <c r="Y21" s="3027"/>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3"/>
      <c r="J22" s="425"/>
      <c r="K22" s="653"/>
      <c r="L22" s="1250"/>
      <c r="M22" s="1241"/>
      <c r="N22" s="1241"/>
      <c r="O22" s="1249"/>
      <c r="P22" s="3027"/>
      <c r="Q22" s="1889"/>
      <c r="R22" s="751"/>
      <c r="S22" s="752"/>
      <c r="T22" s="751"/>
      <c r="U22" s="752"/>
      <c r="V22" s="751"/>
      <c r="W22" s="752"/>
      <c r="X22" s="1890"/>
      <c r="Y22" s="3027"/>
      <c r="Z22" s="1892"/>
      <c r="AA22" s="1893">
        <v>1</v>
      </c>
      <c r="AB22" s="1893">
        <v>1</v>
      </c>
      <c r="AC22" s="1893">
        <v>1</v>
      </c>
    </row>
    <row r="23" spans="1:29" ht="15">
      <c r="A23" s="381"/>
      <c r="B23" s="1483" t="s">
        <v>2547</v>
      </c>
      <c r="C23" s="2475">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027"/>
      <c r="Q23" s="1889" t="str">
        <f t="shared" ref="Q23:Q37" si="8">B23</f>
        <v>区域土地利用方向</v>
      </c>
      <c r="R23" s="751" t="s">
        <v>25</v>
      </c>
      <c r="S23" s="752">
        <f>F23</f>
        <v>100</v>
      </c>
      <c r="T23" s="751" t="s">
        <v>25</v>
      </c>
      <c r="U23" s="752">
        <f>H23</f>
        <v>100</v>
      </c>
      <c r="V23" s="751" t="s">
        <v>25</v>
      </c>
      <c r="W23" s="752">
        <f>J23</f>
        <v>100</v>
      </c>
      <c r="X23" s="1890"/>
      <c r="Y23" s="3027"/>
      <c r="Z23" s="1892" t="str">
        <f>Q23</f>
        <v>区域土地利用方向</v>
      </c>
      <c r="AA23" s="1893">
        <f t="shared" si="3"/>
        <v>1</v>
      </c>
      <c r="AB23" s="1893">
        <f t="shared" si="4"/>
        <v>1</v>
      </c>
      <c r="AC23" s="1893">
        <f t="shared" si="5"/>
        <v>1</v>
      </c>
    </row>
    <row r="24" spans="1:29" ht="15">
      <c r="A24" s="381"/>
      <c r="B24" s="1484"/>
      <c r="C24" s="616"/>
      <c r="D24" s="425"/>
      <c r="E24" s="426"/>
      <c r="F24" s="425"/>
      <c r="G24" s="2393"/>
      <c r="H24" s="425"/>
      <c r="I24" s="2393"/>
      <c r="J24" s="425"/>
      <c r="K24" s="802"/>
      <c r="L24" s="1250"/>
      <c r="M24" s="1241"/>
      <c r="N24" s="1241"/>
      <c r="O24" s="1249"/>
      <c r="P24" s="3027"/>
      <c r="Q24" s="1889"/>
      <c r="R24" s="751"/>
      <c r="S24" s="752"/>
      <c r="T24" s="751"/>
      <c r="U24" s="752"/>
      <c r="V24" s="751"/>
      <c r="W24" s="752"/>
      <c r="X24" s="1890"/>
      <c r="Y24" s="3027"/>
      <c r="Z24" s="1892"/>
      <c r="AA24" s="1893"/>
      <c r="AB24" s="1893"/>
      <c r="AC24" s="1893"/>
    </row>
    <row r="25" spans="1:29" ht="99.75">
      <c r="A25" s="381"/>
      <c r="B25" s="1482" t="s">
        <v>2548</v>
      </c>
      <c r="C25" s="2474" t="str">
        <f>估价对象房地状况!C20</f>
        <v>区域自然环境：东坝郊野公园；人文环境：京城体育休闲公园、北京市东郊殡仪馆；综合评价环境状况一般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027"/>
      <c r="Q25" s="1889" t="str">
        <f t="shared" si="8"/>
        <v>自然及人文环境状况</v>
      </c>
      <c r="R25" s="751" t="s">
        <v>25</v>
      </c>
      <c r="S25" s="752">
        <f>F25</f>
        <v>100</v>
      </c>
      <c r="T25" s="751" t="s">
        <v>25</v>
      </c>
      <c r="U25" s="752">
        <f>H25</f>
        <v>100</v>
      </c>
      <c r="V25" s="751" t="s">
        <v>25</v>
      </c>
      <c r="W25" s="752">
        <f>J25</f>
        <v>100</v>
      </c>
      <c r="X25" s="1890"/>
      <c r="Y25" s="3027"/>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027"/>
      <c r="Q26" s="1889"/>
      <c r="R26" s="751"/>
      <c r="S26" s="752"/>
      <c r="T26" s="751"/>
      <c r="U26" s="752"/>
      <c r="V26" s="751"/>
      <c r="W26" s="752"/>
      <c r="X26" s="1890"/>
      <c r="Y26" s="3027"/>
      <c r="Z26" s="1892"/>
      <c r="AA26" s="1893">
        <v>1</v>
      </c>
      <c r="AB26" s="1893">
        <v>1</v>
      </c>
      <c r="AC26" s="1893">
        <v>1</v>
      </c>
    </row>
    <row r="27" spans="1:29" ht="42.75">
      <c r="A27" s="381"/>
      <c r="B27" s="1482" t="s">
        <v>2450</v>
      </c>
      <c r="C27" s="2457" t="str">
        <f>估价对象房地状况!C21</f>
        <v>估价对象所在区域公共配套设施齐备情况较好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027"/>
      <c r="Q27" s="1877" t="str">
        <f t="shared" ref="Q27" si="9">B27</f>
        <v>公共配套设施</v>
      </c>
      <c r="R27" s="747" t="s">
        <v>25</v>
      </c>
      <c r="S27" s="748">
        <f>F27</f>
        <v>100</v>
      </c>
      <c r="T27" s="747" t="s">
        <v>25</v>
      </c>
      <c r="U27" s="748">
        <f>H27</f>
        <v>100</v>
      </c>
      <c r="V27" s="747" t="s">
        <v>25</v>
      </c>
      <c r="W27" s="748">
        <f>J27</f>
        <v>100</v>
      </c>
      <c r="X27" s="1890"/>
      <c r="Y27" s="3027"/>
      <c r="Z27" s="23" t="str">
        <f>Q27</f>
        <v>公共配套设施</v>
      </c>
      <c r="AA27" s="1893">
        <f>D27/F27</f>
        <v>1</v>
      </c>
      <c r="AB27" s="1893">
        <f>D27/H27</f>
        <v>1</v>
      </c>
      <c r="AC27" s="1893">
        <f>D27/J27</f>
        <v>1</v>
      </c>
    </row>
    <row r="28" spans="1:29" ht="15">
      <c r="A28" s="381"/>
      <c r="B28" s="1481"/>
      <c r="C28" s="2476"/>
      <c r="D28" s="425"/>
      <c r="E28" s="2476"/>
      <c r="F28" s="425"/>
      <c r="G28" s="2476"/>
      <c r="H28" s="425"/>
      <c r="I28" s="2476"/>
      <c r="J28" s="425"/>
      <c r="K28" s="653"/>
      <c r="L28" s="1250"/>
      <c r="M28" s="1241"/>
      <c r="N28" s="1241"/>
      <c r="O28" s="1249"/>
      <c r="P28" s="3027"/>
      <c r="Q28" s="1889"/>
      <c r="R28" s="751"/>
      <c r="S28" s="752"/>
      <c r="T28" s="751"/>
      <c r="U28" s="752"/>
      <c r="V28" s="751"/>
      <c r="W28" s="752"/>
      <c r="X28" s="1890"/>
      <c r="Y28" s="3027"/>
      <c r="Z28" s="23"/>
      <c r="AA28" s="1893">
        <v>1</v>
      </c>
      <c r="AB28" s="1893">
        <v>1</v>
      </c>
      <c r="AC28" s="1893">
        <v>1</v>
      </c>
    </row>
    <row r="29" spans="1:29" s="35" customFormat="1" ht="15">
      <c r="A29" s="631"/>
      <c r="B29" s="1482" t="s">
        <v>2451</v>
      </c>
      <c r="C29" s="2477" t="str">
        <f>估价对象房地状况!C22</f>
        <v>七通</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027"/>
      <c r="Q29" s="1877" t="str">
        <f t="shared" si="8"/>
        <v>基础设施水平</v>
      </c>
      <c r="R29" s="747" t="s">
        <v>25</v>
      </c>
      <c r="S29" s="748">
        <f>F29</f>
        <v>100</v>
      </c>
      <c r="T29" s="747" t="s">
        <v>25</v>
      </c>
      <c r="U29" s="748">
        <f>H29</f>
        <v>100</v>
      </c>
      <c r="V29" s="747" t="s">
        <v>25</v>
      </c>
      <c r="W29" s="748">
        <f>J29</f>
        <v>100</v>
      </c>
      <c r="X29" s="749"/>
      <c r="Y29" s="3027"/>
      <c r="Z29" s="23" t="str">
        <f>Q29</f>
        <v>基础设施水平</v>
      </c>
      <c r="AA29" s="1893">
        <f>D29/F29</f>
        <v>1</v>
      </c>
      <c r="AB29" s="1893">
        <f>D29/H29</f>
        <v>1</v>
      </c>
      <c r="AC29" s="1893">
        <f>D29/J29</f>
        <v>1</v>
      </c>
    </row>
    <row r="30" spans="1:29" s="35" customFormat="1" ht="15">
      <c r="A30" s="631"/>
      <c r="B30" s="1481"/>
      <c r="C30" s="2476"/>
      <c r="D30" s="425"/>
      <c r="E30" s="2476"/>
      <c r="F30" s="425"/>
      <c r="G30" s="2476"/>
      <c r="H30" s="425"/>
      <c r="I30" s="2476"/>
      <c r="J30" s="425"/>
      <c r="K30" s="653"/>
      <c r="L30" s="1242"/>
      <c r="M30" s="1243"/>
      <c r="N30" s="1243"/>
      <c r="O30" s="1244"/>
      <c r="P30" s="3027"/>
      <c r="Q30" s="1877"/>
      <c r="R30" s="747"/>
      <c r="S30" s="748"/>
      <c r="T30" s="747"/>
      <c r="U30" s="748"/>
      <c r="V30" s="747"/>
      <c r="W30" s="748"/>
      <c r="X30" s="749"/>
      <c r="Y30" s="3027"/>
      <c r="Z30" s="23"/>
      <c r="AA30" s="1893">
        <v>1</v>
      </c>
      <c r="AB30" s="1893">
        <v>1</v>
      </c>
      <c r="AC30" s="1893">
        <v>1</v>
      </c>
    </row>
    <row r="31" spans="1:29" ht="15">
      <c r="A31" s="381"/>
      <c r="B31" s="1481" t="s">
        <v>2452</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027"/>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027"/>
      <c r="Z31" s="1892" t="str">
        <f t="shared" ref="Z31:Z45" si="13">Q31</f>
        <v>临街状况</v>
      </c>
      <c r="AA31" s="1893">
        <f t="shared" si="3"/>
        <v>1</v>
      </c>
      <c r="AB31" s="1893">
        <f t="shared" si="4"/>
        <v>1</v>
      </c>
      <c r="AC31" s="1893">
        <f t="shared" si="5"/>
        <v>1</v>
      </c>
    </row>
    <row r="32" spans="1:29" ht="27">
      <c r="A32" s="381"/>
      <c r="B32" s="1482" t="s">
        <v>2482</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027"/>
      <c r="Q32" s="1889" t="str">
        <f t="shared" si="8"/>
        <v>毗邻道路的类型与等级</v>
      </c>
      <c r="R32" s="751" t="s">
        <v>25</v>
      </c>
      <c r="S32" s="752">
        <f t="shared" si="10"/>
        <v>100</v>
      </c>
      <c r="T32" s="751" t="s">
        <v>25</v>
      </c>
      <c r="U32" s="752">
        <f t="shared" si="11"/>
        <v>100</v>
      </c>
      <c r="V32" s="751" t="s">
        <v>25</v>
      </c>
      <c r="W32" s="752">
        <f t="shared" si="12"/>
        <v>100</v>
      </c>
      <c r="X32" s="1890"/>
      <c r="Y32" s="3027"/>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027"/>
      <c r="Q33" s="1889"/>
      <c r="R33" s="751"/>
      <c r="S33" s="752"/>
      <c r="T33" s="751"/>
      <c r="U33" s="752"/>
      <c r="V33" s="751"/>
      <c r="W33" s="752"/>
      <c r="X33" s="1890"/>
      <c r="Y33" s="3027"/>
      <c r="Z33" s="1892"/>
      <c r="AA33" s="1893">
        <v>1</v>
      </c>
      <c r="AB33" s="1893">
        <v>1</v>
      </c>
      <c r="AC33" s="1893">
        <v>1</v>
      </c>
    </row>
    <row r="34" spans="1:29" ht="15">
      <c r="A34" s="381"/>
      <c r="B34" s="1485" t="s">
        <v>2549</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027"/>
      <c r="Q34" s="1889" t="str">
        <f t="shared" si="8"/>
        <v>土地级别</v>
      </c>
      <c r="R34" s="751" t="s">
        <v>25</v>
      </c>
      <c r="S34" s="752">
        <f t="shared" si="10"/>
        <v>100</v>
      </c>
      <c r="T34" s="751" t="s">
        <v>25</v>
      </c>
      <c r="U34" s="752">
        <f t="shared" si="11"/>
        <v>100</v>
      </c>
      <c r="V34" s="751" t="s">
        <v>25</v>
      </c>
      <c r="W34" s="752">
        <f t="shared" si="12"/>
        <v>100</v>
      </c>
      <c r="X34" s="1890"/>
      <c r="Y34" s="3027"/>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027"/>
      <c r="Q35" s="1889">
        <f t="shared" si="8"/>
        <v>111</v>
      </c>
      <c r="R35" s="751" t="s">
        <v>25</v>
      </c>
      <c r="S35" s="752">
        <f t="shared" si="10"/>
        <v>100</v>
      </c>
      <c r="T35" s="751" t="s">
        <v>25</v>
      </c>
      <c r="U35" s="752">
        <f t="shared" si="11"/>
        <v>100</v>
      </c>
      <c r="V35" s="751" t="s">
        <v>25</v>
      </c>
      <c r="W35" s="752">
        <f t="shared" si="12"/>
        <v>100</v>
      </c>
      <c r="X35" s="1890"/>
      <c r="Y35" s="3027"/>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074" t="s">
        <v>2371</v>
      </c>
      <c r="Q36" s="1889">
        <f t="shared" si="8"/>
        <v>111</v>
      </c>
      <c r="R36" s="751" t="s">
        <v>25</v>
      </c>
      <c r="S36" s="752">
        <f t="shared" si="10"/>
        <v>100</v>
      </c>
      <c r="T36" s="751" t="s">
        <v>25</v>
      </c>
      <c r="U36" s="752">
        <f t="shared" si="11"/>
        <v>100</v>
      </c>
      <c r="V36" s="751" t="s">
        <v>25</v>
      </c>
      <c r="W36" s="752">
        <f t="shared" si="12"/>
        <v>100</v>
      </c>
      <c r="X36" s="1890"/>
      <c r="Y36" s="3031"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031"/>
      <c r="Q37" s="1889">
        <f t="shared" si="8"/>
        <v>111</v>
      </c>
      <c r="R37" s="754" t="s">
        <v>25</v>
      </c>
      <c r="S37" s="755">
        <f t="shared" si="10"/>
        <v>100</v>
      </c>
      <c r="T37" s="754" t="s">
        <v>25</v>
      </c>
      <c r="U37" s="755">
        <f t="shared" si="11"/>
        <v>100</v>
      </c>
      <c r="V37" s="754" t="s">
        <v>25</v>
      </c>
      <c r="W37" s="755">
        <f t="shared" si="12"/>
        <v>100</v>
      </c>
      <c r="X37" s="756"/>
      <c r="Y37" s="3031"/>
      <c r="Z37" s="757">
        <f t="shared" si="13"/>
        <v>111</v>
      </c>
      <c r="AA37" s="1893">
        <f t="shared" si="3"/>
        <v>1</v>
      </c>
      <c r="AB37" s="1893">
        <f t="shared" si="4"/>
        <v>1</v>
      </c>
      <c r="AC37" s="1893">
        <f t="shared" si="5"/>
        <v>1</v>
      </c>
    </row>
    <row r="38" spans="1:29" ht="15">
      <c r="A38" s="378" t="s">
        <v>2369</v>
      </c>
      <c r="B38" s="434" t="s">
        <v>2550</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031"/>
      <c r="Q38" s="1889" t="str">
        <f>B38</f>
        <v>宗地面积</v>
      </c>
      <c r="R38" s="751" t="s">
        <v>25</v>
      </c>
      <c r="S38" s="752" t="e">
        <f t="shared" si="10"/>
        <v>#N/A</v>
      </c>
      <c r="T38" s="751" t="s">
        <v>25</v>
      </c>
      <c r="U38" s="752" t="e">
        <f t="shared" si="11"/>
        <v>#N/A</v>
      </c>
      <c r="V38" s="751" t="s">
        <v>25</v>
      </c>
      <c r="W38" s="752" t="e">
        <f t="shared" si="12"/>
        <v>#N/A</v>
      </c>
      <c r="X38" s="1890"/>
      <c r="Y38" s="3031"/>
      <c r="Z38" s="1892" t="str">
        <f t="shared" si="13"/>
        <v>宗地面积</v>
      </c>
      <c r="AA38" s="1893" t="e">
        <f t="shared" si="3"/>
        <v>#N/A</v>
      </c>
      <c r="AB38" s="1893" t="e">
        <f t="shared" si="4"/>
        <v>#N/A</v>
      </c>
      <c r="AC38" s="1893" t="e">
        <f t="shared" si="5"/>
        <v>#N/A</v>
      </c>
    </row>
    <row r="39" spans="1:29" ht="15">
      <c r="A39" s="451"/>
      <c r="B39" s="400" t="s">
        <v>2551</v>
      </c>
      <c r="C39" s="2400"/>
      <c r="D39" s="413">
        <v>100</v>
      </c>
      <c r="E39" s="2400"/>
      <c r="F39" s="413">
        <f>SUMIF(119:119,E39,120:120)-SUMIF(119:119,C39,120:120)+100</f>
        <v>100</v>
      </c>
      <c r="G39" s="2400"/>
      <c r="H39" s="413">
        <f>SUMIF(119:119,G39,120:120)-SUMIF(119:119,C39,120:120)+100</f>
        <v>100</v>
      </c>
      <c r="I39" s="2400"/>
      <c r="J39" s="413">
        <f>SUMIF(119:119,I39,120:120)-SUMIF(119:119,C39,120:120)+100</f>
        <v>100</v>
      </c>
      <c r="K39" s="594"/>
      <c r="L39" s="1250"/>
      <c r="M39" s="1241"/>
      <c r="N39" s="1241"/>
      <c r="O39" s="1249"/>
      <c r="P39" s="3031"/>
      <c r="Q39" s="1889" t="str">
        <f t="shared" ref="Q39:Q45" si="14">B39</f>
        <v>宗地形状</v>
      </c>
      <c r="R39" s="751" t="s">
        <v>25</v>
      </c>
      <c r="S39" s="752">
        <f t="shared" si="10"/>
        <v>100</v>
      </c>
      <c r="T39" s="751" t="s">
        <v>25</v>
      </c>
      <c r="U39" s="752">
        <f t="shared" si="11"/>
        <v>100</v>
      </c>
      <c r="V39" s="751" t="s">
        <v>25</v>
      </c>
      <c r="W39" s="752">
        <f t="shared" si="12"/>
        <v>100</v>
      </c>
      <c r="X39" s="1890"/>
      <c r="Y39" s="3031"/>
      <c r="Z39" s="1892" t="str">
        <f t="shared" si="13"/>
        <v>宗地形状</v>
      </c>
      <c r="AA39" s="1893">
        <f t="shared" si="3"/>
        <v>1</v>
      </c>
      <c r="AB39" s="1893">
        <f t="shared" si="4"/>
        <v>1</v>
      </c>
      <c r="AC39" s="1893">
        <f t="shared" si="5"/>
        <v>1</v>
      </c>
    </row>
    <row r="40" spans="1:29" ht="15">
      <c r="A40" s="451"/>
      <c r="B40" s="400" t="s">
        <v>2552</v>
      </c>
      <c r="C40" s="2400"/>
      <c r="D40" s="413">
        <v>100</v>
      </c>
      <c r="E40" s="2400"/>
      <c r="F40" s="413">
        <f>SUMIF(121:121,E40,122:122)-SUMIF(121:121,C40,122:122)+100</f>
        <v>100</v>
      </c>
      <c r="G40" s="2400"/>
      <c r="H40" s="413">
        <f>SUMIF(121:121,G40,122:122)-SUMIF(121:121,C40,122:122)+100</f>
        <v>100</v>
      </c>
      <c r="I40" s="2400"/>
      <c r="J40" s="413">
        <f>SUMIF(121:121,I40,122:122)-SUMIF(121:121,C40,122:122)+100</f>
        <v>100</v>
      </c>
      <c r="K40" s="594"/>
      <c r="L40" s="1250"/>
      <c r="M40" s="1241"/>
      <c r="N40" s="1241"/>
      <c r="O40" s="1249"/>
      <c r="P40" s="3031"/>
      <c r="Q40" s="1889" t="str">
        <f t="shared" si="14"/>
        <v>临街宽度及深度</v>
      </c>
      <c r="R40" s="751" t="s">
        <v>25</v>
      </c>
      <c r="S40" s="752">
        <f t="shared" si="10"/>
        <v>100</v>
      </c>
      <c r="T40" s="751" t="s">
        <v>25</v>
      </c>
      <c r="U40" s="752">
        <f t="shared" si="11"/>
        <v>100</v>
      </c>
      <c r="V40" s="751" t="s">
        <v>25</v>
      </c>
      <c r="W40" s="752">
        <f t="shared" si="12"/>
        <v>100</v>
      </c>
      <c r="X40" s="1890"/>
      <c r="Y40" s="3031"/>
      <c r="Z40" s="1892" t="str">
        <f t="shared" si="13"/>
        <v>临街宽度及深度</v>
      </c>
      <c r="AA40" s="1893">
        <f t="shared" si="3"/>
        <v>1</v>
      </c>
      <c r="AB40" s="1893">
        <f t="shared" si="4"/>
        <v>1</v>
      </c>
      <c r="AC40" s="1893">
        <f t="shared" si="5"/>
        <v>1</v>
      </c>
    </row>
    <row r="41" spans="1:29" s="35" customFormat="1" ht="15">
      <c r="A41" s="452"/>
      <c r="B41" s="400" t="s">
        <v>2553</v>
      </c>
      <c r="C41" s="2478"/>
      <c r="D41" s="52">
        <v>100</v>
      </c>
      <c r="E41" s="2478"/>
      <c r="F41" s="413">
        <f>SUMIF(123:123,E41,124:124)-SUMIF(123:123,C41,124:124)+100</f>
        <v>100</v>
      </c>
      <c r="G41" s="2478"/>
      <c r="H41" s="413">
        <f>SUMIF(123:123,G41,124:124)-SUMIF(123:123,C41,124:124)+100</f>
        <v>100</v>
      </c>
      <c r="I41" s="2478"/>
      <c r="J41" s="413">
        <f>SUMIF(123:123,I41,124:124)-SUMIF(123:123,C41,124:124)+100</f>
        <v>100</v>
      </c>
      <c r="K41" s="594"/>
      <c r="L41" s="1242"/>
      <c r="M41" s="1243"/>
      <c r="N41" s="1243"/>
      <c r="O41" s="1244"/>
      <c r="P41" s="3031"/>
      <c r="Q41" s="1889" t="str">
        <f t="shared" si="14"/>
        <v>宗地开发程度</v>
      </c>
      <c r="R41" s="747" t="s">
        <v>25</v>
      </c>
      <c r="S41" s="748">
        <f t="shared" si="10"/>
        <v>100</v>
      </c>
      <c r="T41" s="747" t="s">
        <v>25</v>
      </c>
      <c r="U41" s="748">
        <f t="shared" si="11"/>
        <v>100</v>
      </c>
      <c r="V41" s="747" t="s">
        <v>25</v>
      </c>
      <c r="W41" s="748">
        <f t="shared" si="12"/>
        <v>100</v>
      </c>
      <c r="X41" s="749"/>
      <c r="Y41" s="3031"/>
      <c r="Z41" s="23" t="str">
        <f t="shared" si="13"/>
        <v>宗地开发程度</v>
      </c>
      <c r="AA41" s="750">
        <f t="shared" si="3"/>
        <v>1</v>
      </c>
      <c r="AB41" s="750">
        <f t="shared" si="4"/>
        <v>1</v>
      </c>
      <c r="AC41" s="750">
        <f t="shared" si="5"/>
        <v>1</v>
      </c>
    </row>
    <row r="42" spans="1:29" ht="15">
      <c r="A42" s="451"/>
      <c r="B42" s="400" t="s">
        <v>2554</v>
      </c>
      <c r="C42" s="2400"/>
      <c r="D42" s="413">
        <v>100</v>
      </c>
      <c r="E42" s="2400"/>
      <c r="F42" s="413">
        <f>SUMIF(125:125,E42,126:126)-SUMIF(125:125,C42,126:126)+100</f>
        <v>100</v>
      </c>
      <c r="G42" s="2400"/>
      <c r="H42" s="413">
        <f>SUMIF(125:125,G42,126:126)-SUMIF(125:125,C42,126:126)+100</f>
        <v>100</v>
      </c>
      <c r="I42" s="2400"/>
      <c r="J42" s="413">
        <f>SUMIF(125:125,I42,126:126)-SUMIF(125:125,C42,126:126)+100</f>
        <v>100</v>
      </c>
      <c r="K42" s="594"/>
      <c r="L42" s="1250"/>
      <c r="M42" s="1241"/>
      <c r="N42" s="1241"/>
      <c r="O42" s="1249"/>
      <c r="P42" s="3031" t="s">
        <v>2371</v>
      </c>
      <c r="Q42" s="1889" t="str">
        <f t="shared" si="14"/>
        <v>工程地质条件</v>
      </c>
      <c r="R42" s="751" t="s">
        <v>25</v>
      </c>
      <c r="S42" s="752">
        <f t="shared" si="10"/>
        <v>100</v>
      </c>
      <c r="T42" s="751" t="s">
        <v>25</v>
      </c>
      <c r="U42" s="752">
        <f t="shared" si="11"/>
        <v>100</v>
      </c>
      <c r="V42" s="751" t="s">
        <v>25</v>
      </c>
      <c r="W42" s="752">
        <f t="shared" si="12"/>
        <v>100</v>
      </c>
      <c r="X42" s="1890"/>
      <c r="Y42" s="3031" t="s">
        <v>2371</v>
      </c>
      <c r="Z42" s="1892" t="str">
        <f t="shared" si="13"/>
        <v>工程地质条件</v>
      </c>
      <c r="AA42" s="1893">
        <f t="shared" si="3"/>
        <v>1</v>
      </c>
      <c r="AB42" s="1893">
        <f t="shared" si="4"/>
        <v>1</v>
      </c>
      <c r="AC42" s="1893">
        <f t="shared" si="5"/>
        <v>1</v>
      </c>
    </row>
    <row r="43" spans="1:29" ht="15">
      <c r="A43" s="451"/>
      <c r="B43" s="2479">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031"/>
      <c r="Q43" s="1889">
        <f t="shared" si="14"/>
        <v>111</v>
      </c>
      <c r="R43" s="751" t="s">
        <v>25</v>
      </c>
      <c r="S43" s="752">
        <f t="shared" si="10"/>
        <v>100</v>
      </c>
      <c r="T43" s="751" t="s">
        <v>25</v>
      </c>
      <c r="U43" s="752">
        <f t="shared" si="11"/>
        <v>100</v>
      </c>
      <c r="V43" s="751" t="s">
        <v>25</v>
      </c>
      <c r="W43" s="752">
        <f t="shared" si="12"/>
        <v>100</v>
      </c>
      <c r="X43" s="1890"/>
      <c r="Y43" s="3031"/>
      <c r="Z43" s="1892">
        <f t="shared" si="13"/>
        <v>111</v>
      </c>
      <c r="AA43" s="1893">
        <f t="shared" si="3"/>
        <v>1</v>
      </c>
      <c r="AB43" s="1893">
        <f t="shared" si="4"/>
        <v>1</v>
      </c>
      <c r="AC43" s="1893">
        <f t="shared" si="5"/>
        <v>1</v>
      </c>
    </row>
    <row r="44" spans="1:29" ht="15">
      <c r="A44" s="451"/>
      <c r="B44" s="2479">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031"/>
      <c r="Q44" s="1889">
        <f t="shared" si="14"/>
        <v>111</v>
      </c>
      <c r="R44" s="751" t="s">
        <v>25</v>
      </c>
      <c r="S44" s="752">
        <f t="shared" si="10"/>
        <v>100</v>
      </c>
      <c r="T44" s="751" t="s">
        <v>25</v>
      </c>
      <c r="U44" s="752">
        <f t="shared" si="11"/>
        <v>100</v>
      </c>
      <c r="V44" s="751" t="s">
        <v>25</v>
      </c>
      <c r="W44" s="752">
        <f t="shared" si="12"/>
        <v>100</v>
      </c>
      <c r="X44" s="1890"/>
      <c r="Y44" s="3031"/>
      <c r="Z44" s="1892">
        <f t="shared" si="13"/>
        <v>111</v>
      </c>
      <c r="AA44" s="1893">
        <f t="shared" si="3"/>
        <v>1</v>
      </c>
      <c r="AB44" s="1893">
        <f t="shared" si="4"/>
        <v>1</v>
      </c>
      <c r="AC44" s="1893">
        <f t="shared" si="5"/>
        <v>1</v>
      </c>
    </row>
    <row r="45" spans="1:29" s="450" customFormat="1" ht="15.75" thickBot="1">
      <c r="A45" s="447"/>
      <c r="B45" s="2479">
        <v>111</v>
      </c>
      <c r="C45" s="2480"/>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031"/>
      <c r="Q45" s="1889">
        <f t="shared" si="14"/>
        <v>111</v>
      </c>
      <c r="R45" s="754" t="s">
        <v>25</v>
      </c>
      <c r="S45" s="755">
        <f t="shared" si="10"/>
        <v>100</v>
      </c>
      <c r="T45" s="754" t="s">
        <v>25</v>
      </c>
      <c r="U45" s="755">
        <f t="shared" si="11"/>
        <v>100</v>
      </c>
      <c r="V45" s="754" t="s">
        <v>25</v>
      </c>
      <c r="W45" s="755">
        <f t="shared" si="12"/>
        <v>100</v>
      </c>
      <c r="X45" s="756"/>
      <c r="Y45" s="3031"/>
      <c r="Z45" s="757">
        <f t="shared" si="13"/>
        <v>111</v>
      </c>
      <c r="AA45" s="1893">
        <f t="shared" si="3"/>
        <v>1</v>
      </c>
      <c r="AB45" s="1893">
        <f t="shared" si="4"/>
        <v>1</v>
      </c>
      <c r="AC45" s="1893">
        <f t="shared" si="5"/>
        <v>1</v>
      </c>
    </row>
    <row r="46" spans="1:29" ht="15">
      <c r="A46" s="458" t="s">
        <v>2518</v>
      </c>
      <c r="B46" s="2481" t="s">
        <v>2555</v>
      </c>
      <c r="C46" s="663" t="s">
        <v>1</v>
      </c>
      <c r="D46" s="460"/>
      <c r="E46" s="461"/>
      <c r="F46" s="462"/>
      <c r="G46" s="463"/>
      <c r="H46" s="464"/>
      <c r="I46" s="461"/>
      <c r="J46" s="464"/>
      <c r="K46" s="760"/>
      <c r="L46" s="1253"/>
      <c r="M46" s="1254"/>
      <c r="N46" s="1241"/>
      <c r="O46" s="1254"/>
      <c r="P46" s="3023" t="str">
        <f>A46</f>
        <v>成交单价</v>
      </c>
      <c r="Q46" s="3023"/>
      <c r="R46" s="3060">
        <f>E46</f>
        <v>0</v>
      </c>
      <c r="S46" s="3060"/>
      <c r="T46" s="3060">
        <f>G46</f>
        <v>0</v>
      </c>
      <c r="U46" s="3060"/>
      <c r="V46" s="3060">
        <f>I46</f>
        <v>0</v>
      </c>
      <c r="W46" s="3060"/>
      <c r="X46" s="736"/>
      <c r="Y46" s="758"/>
      <c r="Z46" s="736"/>
      <c r="AA46" s="736"/>
      <c r="AB46" s="736"/>
      <c r="AC46" s="736"/>
    </row>
    <row r="47" spans="1:29" ht="15.75" thickBot="1">
      <c r="A47" s="465" t="s">
        <v>2465</v>
      </c>
      <c r="B47" s="664"/>
      <c r="C47" s="469" t="e">
        <f>R48</f>
        <v>#DIV/0!</v>
      </c>
      <c r="D47" s="468"/>
      <c r="E47" s="469" t="e">
        <f>R47</f>
        <v>#DIV/0!</v>
      </c>
      <c r="F47" s="470"/>
      <c r="G47" s="467" t="e">
        <f>T47</f>
        <v>#DIV/0!</v>
      </c>
      <c r="H47" s="468"/>
      <c r="I47" s="469" t="e">
        <f>V47</f>
        <v>#DIV/0!</v>
      </c>
      <c r="J47" s="468"/>
      <c r="K47" s="761"/>
      <c r="L47" s="1253"/>
      <c r="M47" s="1254"/>
      <c r="N47" s="1254"/>
      <c r="O47" s="1254"/>
      <c r="P47" s="3023" t="str">
        <f>A47</f>
        <v>比较价值（元/平方米）</v>
      </c>
      <c r="Q47" s="3023"/>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1" t="s">
        <v>2488</v>
      </c>
      <c r="B48" s="472"/>
      <c r="C48" s="473" t="e">
        <f>R48</f>
        <v>#DIV/0!</v>
      </c>
      <c r="D48" s="473"/>
      <c r="E48" s="473"/>
      <c r="F48" s="473"/>
      <c r="G48" s="473"/>
      <c r="H48" s="473"/>
      <c r="I48" s="473"/>
      <c r="J48" s="473"/>
      <c r="K48" s="762"/>
      <c r="L48" s="1253"/>
      <c r="M48" s="1254"/>
      <c r="N48" s="1254"/>
      <c r="O48" s="1254"/>
      <c r="P48" s="3020" t="str">
        <f>A48</f>
        <v>估价对象XX用房的比较价值（楼面单价，元/平方米）</v>
      </c>
      <c r="Q48" s="3021"/>
      <c r="R48" s="3076" t="e">
        <f>ROUND(AVERAGE(R47:V47),0)</f>
        <v>#DIV/0!</v>
      </c>
      <c r="S48" s="3076"/>
      <c r="T48" s="3076"/>
      <c r="U48" s="3076"/>
      <c r="V48" s="3076"/>
      <c r="W48" s="307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2467</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2468</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2469</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2556</v>
      </c>
      <c r="B55" s="666" t="s">
        <v>2557</v>
      </c>
      <c r="C55" s="2482" t="s">
        <v>2558</v>
      </c>
      <c r="D55" s="2483" t="s">
        <v>2559</v>
      </c>
      <c r="E55" s="667" t="s">
        <v>2560</v>
      </c>
      <c r="F55" s="668" t="s">
        <v>2561</v>
      </c>
      <c r="G55" s="62" t="s">
        <v>2562</v>
      </c>
      <c r="H55" s="62" t="str">
        <f>项目基本情况!G8</f>
        <v>朝阳区朝新嘉园东里七区12号楼3层2单元302</v>
      </c>
      <c r="I55" s="2484" t="s">
        <v>2563</v>
      </c>
      <c r="J55" s="737"/>
      <c r="K55" s="1255"/>
      <c r="L55" s="1255"/>
      <c r="M55" s="1254"/>
      <c r="N55" s="1254"/>
      <c r="O55" s="1254"/>
    </row>
    <row r="56" spans="1:15" s="673" customFormat="1">
      <c r="A56" s="669" t="s">
        <v>2564</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2565</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2566</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2567</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2568</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2569</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2570</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2571</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2572</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2573</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2574</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2018-8-1</v>
      </c>
      <c r="D68" s="1661">
        <f>EDATE(C68,-3)</f>
        <v>43221</v>
      </c>
      <c r="E68" s="1661">
        <f t="shared" ref="E68:O68" si="18">EDATE(D68,-3)</f>
        <v>43132</v>
      </c>
      <c r="F68" s="1661">
        <f t="shared" si="18"/>
        <v>43040</v>
      </c>
      <c r="G68" s="1661">
        <f t="shared" si="18"/>
        <v>42948</v>
      </c>
      <c r="H68" s="1661">
        <f t="shared" si="18"/>
        <v>42856</v>
      </c>
      <c r="I68" s="1661">
        <f t="shared" si="18"/>
        <v>42767</v>
      </c>
      <c r="J68" s="1661">
        <f t="shared" si="18"/>
        <v>42675</v>
      </c>
      <c r="K68" s="1661">
        <f t="shared" si="18"/>
        <v>42583</v>
      </c>
      <c r="L68" s="1661">
        <f t="shared" si="18"/>
        <v>42491</v>
      </c>
      <c r="M68" s="1661">
        <f t="shared" si="18"/>
        <v>42401</v>
      </c>
      <c r="N68" s="1661">
        <f t="shared" si="18"/>
        <v>42309</v>
      </c>
      <c r="O68" s="1661">
        <f t="shared" si="18"/>
        <v>42217</v>
      </c>
    </row>
    <row r="69" spans="1:17" ht="21.75" thickBot="1">
      <c r="A69" s="740" t="s">
        <v>2470</v>
      </c>
      <c r="B69" s="736"/>
      <c r="C69" s="741"/>
      <c r="D69" s="741"/>
      <c r="E69" s="741"/>
      <c r="F69" s="742"/>
      <c r="G69" s="742"/>
      <c r="H69" s="741"/>
      <c r="I69" s="1270"/>
      <c r="J69" s="1270"/>
      <c r="K69" s="1268"/>
      <c r="L69" s="1269"/>
      <c r="M69" s="1270"/>
      <c r="N69" s="1270"/>
      <c r="O69" s="1270"/>
      <c r="P69" s="482"/>
      <c r="Q69" s="483"/>
    </row>
    <row r="70" spans="1:17" s="1665" customFormat="1" ht="15">
      <c r="A70" s="2485" t="s">
        <v>2575</v>
      </c>
      <c r="B70" s="1447"/>
      <c r="C70" s="1662" t="str">
        <f>YEAR(C68)&amp;"-"&amp;ROUNDUP(MONTH(C68)/3,0)</f>
        <v>2018-3</v>
      </c>
      <c r="D70" s="1662" t="str">
        <f>YEAR(D68)&amp;"-"&amp;ROUNDUP(MONTH(D68)/3,0)</f>
        <v>2018-2</v>
      </c>
      <c r="E70" s="1662" t="str">
        <f t="shared" ref="E70:O70" si="19">YEAR(E68)&amp;"-"&amp;ROUNDUP(MONTH(E68)/3,0)</f>
        <v>2018-1</v>
      </c>
      <c r="F70" s="1662" t="str">
        <f t="shared" si="19"/>
        <v>2017-4</v>
      </c>
      <c r="G70" s="1662" t="str">
        <f t="shared" si="19"/>
        <v>2017-3</v>
      </c>
      <c r="H70" s="1662" t="str">
        <f t="shared" si="19"/>
        <v>2017-2</v>
      </c>
      <c r="I70" s="1662" t="str">
        <f t="shared" si="19"/>
        <v>2017-1</v>
      </c>
      <c r="J70" s="1662" t="str">
        <f t="shared" si="19"/>
        <v>2016-4</v>
      </c>
      <c r="K70" s="1662" t="str">
        <f t="shared" si="19"/>
        <v>2016-3</v>
      </c>
      <c r="L70" s="1662" t="str">
        <f t="shared" si="19"/>
        <v>2016-2</v>
      </c>
      <c r="M70" s="1662" t="str">
        <f t="shared" si="19"/>
        <v>2016-1</v>
      </c>
      <c r="N70" s="1662" t="str">
        <f t="shared" si="19"/>
        <v>2015-4</v>
      </c>
      <c r="O70" s="1662" t="str">
        <f t="shared" si="19"/>
        <v>2015-3</v>
      </c>
      <c r="P70" s="1664"/>
    </row>
    <row r="71" spans="1:17" s="35" customFormat="1" ht="29.25" customHeight="1">
      <c r="A71" s="2486" t="s">
        <v>2576</v>
      </c>
      <c r="B71" s="284" t="str">
        <f>"北京市平均增长率"&amp;TEXT(SUMIF(基准地价修正!N21:N25,A71,基准地价修正!P21:P25),"0.00%")</f>
        <v>北京市平均增长率1.54%</v>
      </c>
      <c r="C71" s="585">
        <v>100</v>
      </c>
      <c r="D71" s="577"/>
      <c r="E71" s="577"/>
      <c r="F71" s="577"/>
      <c r="G71" s="577"/>
      <c r="H71" s="577"/>
      <c r="I71" s="577"/>
      <c r="J71" s="577"/>
      <c r="K71" s="577"/>
      <c r="L71" s="577"/>
      <c r="M71" s="1660"/>
      <c r="N71" s="577"/>
      <c r="O71" s="1666"/>
      <c r="P71" s="483"/>
    </row>
    <row r="72" spans="1:17" s="35" customFormat="1" ht="15.75" thickBot="1">
      <c r="A72" s="494" t="s">
        <v>2390</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2393</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2401</v>
      </c>
      <c r="C88" s="555" t="s">
        <v>2402</v>
      </c>
      <c r="D88" s="555" t="s">
        <v>2403</v>
      </c>
      <c r="E88" s="555" t="s">
        <v>2404</v>
      </c>
      <c r="F88" s="555" t="s">
        <v>2405</v>
      </c>
      <c r="G88" s="555" t="s">
        <v>2406</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2577</v>
      </c>
      <c r="C90" s="560" t="s">
        <v>2402</v>
      </c>
      <c r="D90" s="560" t="s">
        <v>2403</v>
      </c>
      <c r="E90" s="560" t="s">
        <v>2404</v>
      </c>
      <c r="F90" s="560" t="s">
        <v>2405</v>
      </c>
      <c r="G90" s="560" t="s">
        <v>2406</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2489</v>
      </c>
      <c r="C92" s="560" t="s">
        <v>2402</v>
      </c>
      <c r="D92" s="560" t="s">
        <v>2403</v>
      </c>
      <c r="E92" s="560" t="s">
        <v>2404</v>
      </c>
      <c r="F92" s="560" t="s">
        <v>2405</v>
      </c>
      <c r="G92" s="560" t="s">
        <v>2406</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2407</v>
      </c>
      <c r="C94" s="560" t="s">
        <v>2402</v>
      </c>
      <c r="D94" s="560" t="s">
        <v>2403</v>
      </c>
      <c r="E94" s="560" t="s">
        <v>2404</v>
      </c>
      <c r="F94" s="560" t="s">
        <v>2405</v>
      </c>
      <c r="G94" s="560" t="s">
        <v>2406</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2578</v>
      </c>
      <c r="C96" s="560" t="s">
        <v>2402</v>
      </c>
      <c r="D96" s="560" t="s">
        <v>2403</v>
      </c>
      <c r="E96" s="560" t="s">
        <v>2404</v>
      </c>
      <c r="F96" s="560" t="s">
        <v>2405</v>
      </c>
      <c r="G96" s="560" t="s">
        <v>2406</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2579</v>
      </c>
      <c r="C98" s="555" t="s">
        <v>2402</v>
      </c>
      <c r="D98" s="555" t="s">
        <v>2403</v>
      </c>
      <c r="E98" s="555" t="s">
        <v>2404</v>
      </c>
      <c r="F98" s="555" t="s">
        <v>2405</v>
      </c>
      <c r="G98" s="555" t="s">
        <v>2406</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2450</v>
      </c>
      <c r="C100" s="555" t="s">
        <v>2402</v>
      </c>
      <c r="D100" s="555" t="s">
        <v>2403</v>
      </c>
      <c r="E100" s="555" t="s">
        <v>2404</v>
      </c>
      <c r="F100" s="555" t="s">
        <v>2405</v>
      </c>
      <c r="G100" s="555" t="s">
        <v>2406</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2451</v>
      </c>
      <c r="C102" s="520" t="s">
        <v>2409</v>
      </c>
      <c r="D102" s="520" t="s">
        <v>2410</v>
      </c>
      <c r="E102" s="520" t="s">
        <v>2411</v>
      </c>
      <c r="F102" s="520" t="s">
        <v>2412</v>
      </c>
      <c r="G102" s="520" t="s">
        <v>2413</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2580</v>
      </c>
      <c r="D104" s="520" t="s">
        <v>2581</v>
      </c>
      <c r="E104" s="520" t="s">
        <v>2582</v>
      </c>
      <c r="F104" s="520" t="s">
        <v>2583</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2482</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2549</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2584</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2585</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2586</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2587</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2588</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2541</v>
      </c>
      <c r="B1" s="372"/>
      <c r="C1" s="373" t="s">
        <v>2589</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2543</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1"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5" t="s">
        <v>2351</v>
      </c>
      <c r="F6" s="3066"/>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43328</v>
      </c>
      <c r="D7" s="388">
        <v>100</v>
      </c>
      <c r="E7" s="389"/>
      <c r="F7" s="390">
        <f>SUMIF(65:65,YEAR(E7)&amp;"-"&amp;INT((MONTH(E7)+2)/3),66:66)</f>
        <v>0</v>
      </c>
      <c r="G7" s="2455"/>
      <c r="H7" s="388">
        <f>SUMIF(65:65,YEAR(G7)&amp;"-"&amp;INT((MONTH(G7)+2)/3),66:66)</f>
        <v>0</v>
      </c>
      <c r="I7" s="2455"/>
      <c r="J7" s="388">
        <f>SUMIF(65:65,YEAR(I7)&amp;"-"&amp;INT((MONTH(I7)+2)/3),66:66)</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2545</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0" si="3">D8/F8</f>
        <v>#DIV/0!</v>
      </c>
      <c r="AB8" s="750" t="e">
        <f t="shared" ref="AB8:AB40" si="4">D8/H8</f>
        <v>#DIV/0!</v>
      </c>
      <c r="AC8" s="750" t="e">
        <f t="shared" ref="AC8:AC40" si="5">D8/J8</f>
        <v>#DIV/0!</v>
      </c>
    </row>
    <row r="9" spans="1:29" s="35" customFormat="1">
      <c r="A9" s="393" t="s">
        <v>2358</v>
      </c>
      <c r="B9" s="28" t="s">
        <v>2359</v>
      </c>
      <c r="C9" s="2473" t="s">
        <v>2590</v>
      </c>
      <c r="D9" s="51">
        <v>100</v>
      </c>
      <c r="E9" s="2473"/>
      <c r="F9" s="51">
        <f>SUMIF(70:70,E9,71:71)-SUMIF(70:70,C9,71:71)+100</f>
        <v>100</v>
      </c>
      <c r="G9" s="2473"/>
      <c r="H9" s="51">
        <f>SUMIF(70:70,G9,71:71)-SUMIF(70:70,C9,71:71)+100</f>
        <v>100</v>
      </c>
      <c r="I9" s="2473"/>
      <c r="J9" s="51">
        <f>SUMIF(70:70,I9,71:71)-SUMIF(70:70,C9,71:71)+100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104</v>
      </c>
      <c r="G10" s="410"/>
      <c r="H10" s="52">
        <f>ROUND(100/'数据-取费表'!B14,0)</f>
        <v>104</v>
      </c>
      <c r="I10" s="410"/>
      <c r="J10" s="52">
        <f>ROUND(100/'数据-取费表'!B14,0)</f>
        <v>104</v>
      </c>
      <c r="K10" s="653"/>
      <c r="L10" s="1245"/>
      <c r="M10" s="1246"/>
      <c r="N10" s="1246"/>
      <c r="O10" s="1247"/>
      <c r="P10" s="3023"/>
      <c r="Q10" s="1877" t="str">
        <f t="shared" si="6"/>
        <v>土地使用年限（年）</v>
      </c>
      <c r="R10" s="747" t="s">
        <v>25</v>
      </c>
      <c r="S10" s="748">
        <f t="shared" si="0"/>
        <v>104</v>
      </c>
      <c r="T10" s="747" t="s">
        <v>25</v>
      </c>
      <c r="U10" s="748">
        <f t="shared" si="1"/>
        <v>104</v>
      </c>
      <c r="V10" s="747" t="s">
        <v>25</v>
      </c>
      <c r="W10" s="748">
        <f t="shared" si="2"/>
        <v>104</v>
      </c>
      <c r="X10" s="749"/>
      <c r="Y10" s="2849"/>
      <c r="Z10" s="23" t="str">
        <f t="shared" si="7"/>
        <v>土地使用年限（年）</v>
      </c>
      <c r="AA10" s="750">
        <f t="shared" si="3"/>
        <v>0.96153846153846156</v>
      </c>
      <c r="AB10" s="750">
        <f t="shared" si="4"/>
        <v>0.96153846153846156</v>
      </c>
      <c r="AC10" s="750">
        <f t="shared" si="5"/>
        <v>0.96153846153846156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8">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8">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90">
        <v>111</v>
      </c>
      <c r="C14" s="2391">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7" t="s">
        <v>2364</v>
      </c>
      <c r="B15" s="611" t="s">
        <v>2591</v>
      </c>
      <c r="C15" s="2468"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026" t="s">
        <v>2365</v>
      </c>
      <c r="Q15" s="1889" t="str">
        <f t="shared" si="6"/>
        <v>产业集聚程度</v>
      </c>
      <c r="R15" s="751" t="s">
        <v>25</v>
      </c>
      <c r="S15" s="752">
        <f t="shared" si="0"/>
        <v>100</v>
      </c>
      <c r="T15" s="751" t="s">
        <v>25</v>
      </c>
      <c r="U15" s="752">
        <f t="shared" si="1"/>
        <v>100</v>
      </c>
      <c r="V15" s="751" t="s">
        <v>25</v>
      </c>
      <c r="W15" s="752">
        <f t="shared" si="2"/>
        <v>100</v>
      </c>
      <c r="X15" s="1890"/>
      <c r="Y15" s="3026"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027"/>
      <c r="Q16" s="1889"/>
      <c r="R16" s="751"/>
      <c r="S16" s="752"/>
      <c r="T16" s="751"/>
      <c r="U16" s="752"/>
      <c r="V16" s="751"/>
      <c r="W16" s="752"/>
      <c r="X16" s="1890"/>
      <c r="Y16" s="3027"/>
      <c r="Z16" s="1892"/>
      <c r="AA16" s="1893">
        <v>1</v>
      </c>
      <c r="AB16" s="1893">
        <v>1</v>
      </c>
      <c r="AC16" s="1893">
        <v>1</v>
      </c>
    </row>
    <row r="17" spans="1:29" ht="85.5">
      <c r="A17" s="406"/>
      <c r="B17" s="613" t="s">
        <v>2507</v>
      </c>
      <c r="C17" s="2395"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02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3"/>
      <c r="J18" s="425"/>
      <c r="K18" s="653"/>
      <c r="L18" s="1250"/>
      <c r="M18" s="1241"/>
      <c r="N18" s="1241"/>
      <c r="O18" s="1249"/>
      <c r="P18" s="3027"/>
      <c r="Q18" s="1889"/>
      <c r="R18" s="751"/>
      <c r="S18" s="752"/>
      <c r="T18" s="751"/>
      <c r="U18" s="752"/>
      <c r="V18" s="751"/>
      <c r="W18" s="752"/>
      <c r="X18" s="1890"/>
      <c r="Y18" s="3027"/>
      <c r="Z18" s="1892"/>
      <c r="AA18" s="1893">
        <v>1</v>
      </c>
      <c r="AB18" s="1893">
        <v>1</v>
      </c>
      <c r="AC18" s="1893">
        <v>1</v>
      </c>
    </row>
    <row r="19" spans="1:29" ht="15">
      <c r="A19" s="406"/>
      <c r="B19" s="613" t="s">
        <v>2547</v>
      </c>
      <c r="C19" s="2395">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027"/>
      <c r="Q19" s="1889" t="str">
        <f t="shared" ref="Q19:Q33" si="8">B19</f>
        <v>区域土地利用方向</v>
      </c>
      <c r="R19" s="751" t="s">
        <v>25</v>
      </c>
      <c r="S19" s="752">
        <f>F19</f>
        <v>100</v>
      </c>
      <c r="T19" s="751" t="s">
        <v>25</v>
      </c>
      <c r="U19" s="752">
        <f>H19</f>
        <v>100</v>
      </c>
      <c r="V19" s="751" t="s">
        <v>25</v>
      </c>
      <c r="W19" s="752">
        <f>J19</f>
        <v>100</v>
      </c>
      <c r="X19" s="1890"/>
      <c r="Y19" s="3027"/>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027"/>
      <c r="Q20" s="1889"/>
      <c r="R20" s="751"/>
      <c r="S20" s="752"/>
      <c r="T20" s="751"/>
      <c r="U20" s="752"/>
      <c r="V20" s="751"/>
      <c r="W20" s="752"/>
      <c r="X20" s="1890"/>
      <c r="Y20" s="3027"/>
      <c r="Z20" s="1892"/>
      <c r="AA20" s="1893"/>
      <c r="AB20" s="1893"/>
      <c r="AC20" s="1893"/>
    </row>
    <row r="21" spans="1:29" ht="71.25">
      <c r="A21" s="381"/>
      <c r="B21" s="613" t="s">
        <v>2592</v>
      </c>
      <c r="C21" s="2395"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027"/>
      <c r="Q21" s="1889" t="str">
        <f t="shared" si="8"/>
        <v>环境状况</v>
      </c>
      <c r="R21" s="751" t="s">
        <v>25</v>
      </c>
      <c r="S21" s="752">
        <f>F21</f>
        <v>100</v>
      </c>
      <c r="T21" s="751" t="s">
        <v>25</v>
      </c>
      <c r="U21" s="752">
        <f>H21</f>
        <v>100</v>
      </c>
      <c r="V21" s="751" t="s">
        <v>25</v>
      </c>
      <c r="W21" s="752">
        <f>J21</f>
        <v>100</v>
      </c>
      <c r="X21" s="1890"/>
      <c r="Y21" s="3027"/>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027"/>
      <c r="Q22" s="1889"/>
      <c r="R22" s="751"/>
      <c r="S22" s="752"/>
      <c r="T22" s="751"/>
      <c r="U22" s="752"/>
      <c r="V22" s="751"/>
      <c r="W22" s="752"/>
      <c r="X22" s="1890"/>
      <c r="Y22" s="3027"/>
      <c r="Z22" s="1892"/>
      <c r="AA22" s="1893">
        <v>1</v>
      </c>
      <c r="AB22" s="1893">
        <v>1</v>
      </c>
      <c r="AC22" s="1893">
        <v>1</v>
      </c>
    </row>
    <row r="23" spans="1:29" s="35" customFormat="1" ht="42.75">
      <c r="A23" s="631"/>
      <c r="B23" s="613" t="s">
        <v>2450</v>
      </c>
      <c r="C23" s="2395"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027"/>
      <c r="Q23" s="1877" t="str">
        <f t="shared" si="8"/>
        <v>公共配套设施</v>
      </c>
      <c r="R23" s="747" t="s">
        <v>25</v>
      </c>
      <c r="S23" s="748">
        <f>F23</f>
        <v>100</v>
      </c>
      <c r="T23" s="747" t="s">
        <v>25</v>
      </c>
      <c r="U23" s="748">
        <f>H23</f>
        <v>100</v>
      </c>
      <c r="V23" s="747" t="s">
        <v>25</v>
      </c>
      <c r="W23" s="748">
        <f>J23</f>
        <v>100</v>
      </c>
      <c r="X23" s="749"/>
      <c r="Y23" s="3027"/>
      <c r="Z23" s="23" t="str">
        <f>Q23</f>
        <v>公共配套设施</v>
      </c>
      <c r="AA23" s="1893">
        <f>D23/F23</f>
        <v>1</v>
      </c>
      <c r="AB23" s="1893">
        <f>D23/H23</f>
        <v>1</v>
      </c>
      <c r="AC23" s="1893">
        <f>D23/J23</f>
        <v>1</v>
      </c>
    </row>
    <row r="24" spans="1:29" s="35" customFormat="1" ht="15">
      <c r="A24" s="631"/>
      <c r="B24" s="614"/>
      <c r="C24" s="2487"/>
      <c r="D24" s="425"/>
      <c r="E24" s="1463"/>
      <c r="F24" s="425"/>
      <c r="G24" s="1463"/>
      <c r="H24" s="425"/>
      <c r="I24" s="424"/>
      <c r="J24" s="425"/>
      <c r="K24" s="653"/>
      <c r="L24" s="1242"/>
      <c r="M24" s="1243"/>
      <c r="N24" s="1243"/>
      <c r="O24" s="1244"/>
      <c r="P24" s="3027"/>
      <c r="Q24" s="1877"/>
      <c r="R24" s="747"/>
      <c r="S24" s="748"/>
      <c r="T24" s="747"/>
      <c r="U24" s="748"/>
      <c r="V24" s="747"/>
      <c r="W24" s="748"/>
      <c r="X24" s="749"/>
      <c r="Y24" s="3027"/>
      <c r="Z24" s="23"/>
      <c r="AA24" s="750">
        <v>1</v>
      </c>
      <c r="AB24" s="750">
        <v>1</v>
      </c>
      <c r="AC24" s="750">
        <v>1</v>
      </c>
    </row>
    <row r="25" spans="1:29" s="35" customFormat="1" ht="28.5">
      <c r="A25" s="631"/>
      <c r="B25" s="615" t="s">
        <v>2451</v>
      </c>
      <c r="C25" s="2395"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027"/>
      <c r="Q25" s="1877" t="str">
        <f t="shared" ref="Q25" si="9">B25</f>
        <v>基础设施水平</v>
      </c>
      <c r="R25" s="747" t="s">
        <v>25</v>
      </c>
      <c r="S25" s="748">
        <f>F25</f>
        <v>100</v>
      </c>
      <c r="T25" s="747" t="s">
        <v>25</v>
      </c>
      <c r="U25" s="748">
        <f>H25</f>
        <v>100</v>
      </c>
      <c r="V25" s="747" t="s">
        <v>25</v>
      </c>
      <c r="W25" s="748">
        <f>J25</f>
        <v>100</v>
      </c>
      <c r="X25" s="749"/>
      <c r="Y25" s="3027"/>
      <c r="Z25" s="23" t="str">
        <f>Q25</f>
        <v>基础设施水平</v>
      </c>
      <c r="AA25" s="1893">
        <f>D25/F25</f>
        <v>1</v>
      </c>
      <c r="AB25" s="1893">
        <f>D25/H25</f>
        <v>1</v>
      </c>
      <c r="AC25" s="1893">
        <f>D25/J25</f>
        <v>1</v>
      </c>
    </row>
    <row r="26" spans="1:29" s="35" customFormat="1" ht="15">
      <c r="A26" s="631"/>
      <c r="B26" s="614"/>
      <c r="C26" s="2487"/>
      <c r="D26" s="425"/>
      <c r="E26" s="2476"/>
      <c r="F26" s="425"/>
      <c r="G26" s="2476"/>
      <c r="H26" s="425"/>
      <c r="I26" s="2476"/>
      <c r="J26" s="425"/>
      <c r="K26" s="653"/>
      <c r="L26" s="1242"/>
      <c r="M26" s="1243"/>
      <c r="N26" s="1243"/>
      <c r="O26" s="1244"/>
      <c r="P26" s="3027"/>
      <c r="Q26" s="1877"/>
      <c r="R26" s="747"/>
      <c r="S26" s="748"/>
      <c r="T26" s="747"/>
      <c r="U26" s="748"/>
      <c r="V26" s="747"/>
      <c r="W26" s="748"/>
      <c r="X26" s="749"/>
      <c r="Y26" s="3027"/>
      <c r="Z26" s="23"/>
      <c r="AA26" s="750">
        <v>1</v>
      </c>
      <c r="AB26" s="750">
        <v>1</v>
      </c>
      <c r="AC26" s="750">
        <v>1</v>
      </c>
    </row>
    <row r="27" spans="1:29" ht="15">
      <c r="A27" s="406"/>
      <c r="B27" s="614" t="s">
        <v>2452</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027"/>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027"/>
      <c r="Z27" s="1892" t="str">
        <f t="shared" ref="Z27:Z40" si="13">Q27</f>
        <v>临街状况</v>
      </c>
      <c r="AA27" s="1893">
        <f t="shared" si="3"/>
        <v>1</v>
      </c>
      <c r="AB27" s="1893">
        <f t="shared" si="4"/>
        <v>1</v>
      </c>
      <c r="AC27" s="1893">
        <f t="shared" si="5"/>
        <v>1</v>
      </c>
    </row>
    <row r="28" spans="1:29" ht="27">
      <c r="A28" s="406"/>
      <c r="B28" s="615" t="s">
        <v>2482</v>
      </c>
      <c r="C28" s="2488">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027"/>
      <c r="Q28" s="1889" t="str">
        <f t="shared" si="8"/>
        <v>毗邻道路的类型与等级</v>
      </c>
      <c r="R28" s="751" t="s">
        <v>25</v>
      </c>
      <c r="S28" s="752">
        <f t="shared" si="10"/>
        <v>100</v>
      </c>
      <c r="T28" s="751" t="s">
        <v>25</v>
      </c>
      <c r="U28" s="752">
        <f t="shared" si="11"/>
        <v>100</v>
      </c>
      <c r="V28" s="751" t="s">
        <v>25</v>
      </c>
      <c r="W28" s="752">
        <f t="shared" si="12"/>
        <v>100</v>
      </c>
      <c r="X28" s="1890"/>
      <c r="Y28" s="3027"/>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027"/>
      <c r="Q29" s="1889"/>
      <c r="R29" s="751"/>
      <c r="S29" s="752"/>
      <c r="T29" s="751"/>
      <c r="U29" s="752"/>
      <c r="V29" s="751"/>
      <c r="W29" s="752"/>
      <c r="X29" s="1890"/>
      <c r="Y29" s="3027"/>
      <c r="Z29" s="1892"/>
      <c r="AA29" s="1893">
        <v>1</v>
      </c>
      <c r="AB29" s="1893">
        <v>1</v>
      </c>
      <c r="AC29" s="1893">
        <v>1</v>
      </c>
    </row>
    <row r="30" spans="1:29" ht="15">
      <c r="A30" s="406"/>
      <c r="B30" s="635" t="s">
        <v>2549</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027"/>
      <c r="Q30" s="1889" t="str">
        <f t="shared" si="8"/>
        <v>土地级别</v>
      </c>
      <c r="R30" s="751" t="s">
        <v>25</v>
      </c>
      <c r="S30" s="752">
        <f t="shared" si="10"/>
        <v>100</v>
      </c>
      <c r="T30" s="751" t="s">
        <v>25</v>
      </c>
      <c r="U30" s="752">
        <f t="shared" si="11"/>
        <v>100</v>
      </c>
      <c r="V30" s="751" t="s">
        <v>25</v>
      </c>
      <c r="W30" s="752">
        <f t="shared" si="12"/>
        <v>100</v>
      </c>
      <c r="X30" s="1890"/>
      <c r="Y30" s="3027"/>
      <c r="Z30" s="1892" t="str">
        <f t="shared" si="13"/>
        <v>土地级别</v>
      </c>
      <c r="AA30" s="1893">
        <f t="shared" si="3"/>
        <v>1</v>
      </c>
      <c r="AB30" s="1893">
        <f t="shared" si="4"/>
        <v>1</v>
      </c>
      <c r="AC30" s="1893">
        <f t="shared" si="5"/>
        <v>1</v>
      </c>
    </row>
    <row r="31" spans="1:29" ht="15">
      <c r="A31" s="381"/>
      <c r="B31" s="2461">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027"/>
      <c r="Q31" s="1889">
        <f t="shared" si="8"/>
        <v>111</v>
      </c>
      <c r="R31" s="751" t="s">
        <v>25</v>
      </c>
      <c r="S31" s="752">
        <f t="shared" si="10"/>
        <v>100</v>
      </c>
      <c r="T31" s="751" t="s">
        <v>25</v>
      </c>
      <c r="U31" s="752">
        <f t="shared" si="11"/>
        <v>100</v>
      </c>
      <c r="V31" s="751" t="s">
        <v>25</v>
      </c>
      <c r="W31" s="752">
        <f t="shared" si="12"/>
        <v>100</v>
      </c>
      <c r="X31" s="1890"/>
      <c r="Y31" s="3027"/>
      <c r="Z31" s="1892">
        <f t="shared" si="13"/>
        <v>111</v>
      </c>
      <c r="AA31" s="1893">
        <f t="shared" si="3"/>
        <v>1</v>
      </c>
      <c r="AB31" s="1893">
        <f t="shared" si="4"/>
        <v>1</v>
      </c>
      <c r="AC31" s="1893">
        <f t="shared" si="5"/>
        <v>1</v>
      </c>
    </row>
    <row r="32" spans="1:29" ht="15">
      <c r="A32" s="656"/>
      <c r="B32" s="2489">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074" t="s">
        <v>2371</v>
      </c>
      <c r="Q32" s="1889">
        <f t="shared" si="8"/>
        <v>111</v>
      </c>
      <c r="R32" s="751" t="s">
        <v>25</v>
      </c>
      <c r="S32" s="752">
        <f t="shared" si="10"/>
        <v>100</v>
      </c>
      <c r="T32" s="751" t="s">
        <v>25</v>
      </c>
      <c r="U32" s="752">
        <f t="shared" si="11"/>
        <v>100</v>
      </c>
      <c r="V32" s="751" t="s">
        <v>25</v>
      </c>
      <c r="W32" s="752">
        <f t="shared" si="12"/>
        <v>100</v>
      </c>
      <c r="X32" s="1890"/>
      <c r="Y32" s="3031" t="s">
        <v>2371</v>
      </c>
      <c r="Z32" s="1892">
        <f t="shared" si="13"/>
        <v>111</v>
      </c>
      <c r="AA32" s="1893">
        <f t="shared" si="3"/>
        <v>1</v>
      </c>
      <c r="AB32" s="1893">
        <f t="shared" si="4"/>
        <v>1</v>
      </c>
      <c r="AC32" s="1893">
        <f t="shared" si="5"/>
        <v>1</v>
      </c>
    </row>
    <row r="33" spans="1:29" s="450" customFormat="1" ht="15.75" thickBot="1">
      <c r="A33" s="657"/>
      <c r="B33" s="2490">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031"/>
      <c r="Q33" s="1889">
        <f t="shared" si="8"/>
        <v>111</v>
      </c>
      <c r="R33" s="754" t="s">
        <v>25</v>
      </c>
      <c r="S33" s="755">
        <f t="shared" si="10"/>
        <v>100</v>
      </c>
      <c r="T33" s="754" t="s">
        <v>25</v>
      </c>
      <c r="U33" s="755">
        <f t="shared" si="11"/>
        <v>100</v>
      </c>
      <c r="V33" s="754" t="s">
        <v>25</v>
      </c>
      <c r="W33" s="755">
        <f t="shared" si="12"/>
        <v>100</v>
      </c>
      <c r="X33" s="756"/>
      <c r="Y33" s="3031"/>
      <c r="Z33" s="757">
        <f t="shared" si="13"/>
        <v>111</v>
      </c>
      <c r="AA33" s="1893">
        <f t="shared" si="3"/>
        <v>1</v>
      </c>
      <c r="AB33" s="1893">
        <f t="shared" si="4"/>
        <v>1</v>
      </c>
      <c r="AC33" s="1893">
        <f t="shared" si="5"/>
        <v>1</v>
      </c>
    </row>
    <row r="34" spans="1:29" ht="15">
      <c r="A34" s="451" t="s">
        <v>2369</v>
      </c>
      <c r="B34" s="434" t="s">
        <v>2550</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031"/>
      <c r="Q34" s="1889" t="str">
        <f>B34</f>
        <v>宗地面积</v>
      </c>
      <c r="R34" s="751" t="s">
        <v>25</v>
      </c>
      <c r="S34" s="752" t="e">
        <f t="shared" si="10"/>
        <v>#N/A</v>
      </c>
      <c r="T34" s="751" t="s">
        <v>25</v>
      </c>
      <c r="U34" s="752" t="e">
        <f t="shared" si="11"/>
        <v>#N/A</v>
      </c>
      <c r="V34" s="751" t="s">
        <v>25</v>
      </c>
      <c r="W34" s="752" t="e">
        <f t="shared" si="12"/>
        <v>#N/A</v>
      </c>
      <c r="X34" s="1890"/>
      <c r="Y34" s="3031"/>
      <c r="Z34" s="1892" t="str">
        <f t="shared" si="13"/>
        <v>宗地面积</v>
      </c>
      <c r="AA34" s="1893" t="e">
        <f t="shared" si="3"/>
        <v>#N/A</v>
      </c>
      <c r="AB34" s="1893" t="e">
        <f t="shared" si="4"/>
        <v>#N/A</v>
      </c>
      <c r="AC34" s="1893" t="e">
        <f t="shared" si="5"/>
        <v>#N/A</v>
      </c>
    </row>
    <row r="35" spans="1:29" ht="15">
      <c r="A35" s="451"/>
      <c r="B35" s="400" t="s">
        <v>2551</v>
      </c>
      <c r="C35" s="2400"/>
      <c r="D35" s="413">
        <v>100</v>
      </c>
      <c r="E35" s="2400"/>
      <c r="F35" s="413">
        <f>SUMIF(110:110,E35,111:111)-SUMIF(110:110,C35,111:111)+100</f>
        <v>100</v>
      </c>
      <c r="G35" s="2400"/>
      <c r="H35" s="413">
        <f>SUMIF(110:110,G35,111:111)-SUMIF(110:110,C35,111:111)+100</f>
        <v>100</v>
      </c>
      <c r="I35" s="2400"/>
      <c r="J35" s="413">
        <f>SUMIF(110:110,I35,111:111)-SUMIF(110:110,C35,111:111)+100</f>
        <v>100</v>
      </c>
      <c r="K35" s="594"/>
      <c r="L35" s="1250"/>
      <c r="M35" s="1241"/>
      <c r="N35" s="1241"/>
      <c r="O35" s="1249"/>
      <c r="P35" s="3031"/>
      <c r="Q35" s="1889" t="str">
        <f t="shared" ref="Q35:Q40" si="14">B35</f>
        <v>宗地形状</v>
      </c>
      <c r="R35" s="751" t="s">
        <v>25</v>
      </c>
      <c r="S35" s="752">
        <f t="shared" si="10"/>
        <v>100</v>
      </c>
      <c r="T35" s="751" t="s">
        <v>25</v>
      </c>
      <c r="U35" s="752">
        <f t="shared" si="11"/>
        <v>100</v>
      </c>
      <c r="V35" s="751" t="s">
        <v>25</v>
      </c>
      <c r="W35" s="752">
        <f t="shared" si="12"/>
        <v>100</v>
      </c>
      <c r="X35" s="1890"/>
      <c r="Y35" s="3031"/>
      <c r="Z35" s="1892" t="str">
        <f t="shared" si="13"/>
        <v>宗地形状</v>
      </c>
      <c r="AA35" s="1893">
        <f t="shared" si="3"/>
        <v>1</v>
      </c>
      <c r="AB35" s="1893">
        <f t="shared" si="4"/>
        <v>1</v>
      </c>
      <c r="AC35" s="1893">
        <f t="shared" si="5"/>
        <v>1</v>
      </c>
    </row>
    <row r="36" spans="1:29" s="35" customFormat="1" ht="15">
      <c r="A36" s="452"/>
      <c r="B36" s="400" t="s">
        <v>2553</v>
      </c>
      <c r="C36" s="2478"/>
      <c r="D36" s="52">
        <v>100</v>
      </c>
      <c r="E36" s="2478"/>
      <c r="F36" s="413">
        <f>SUMIF(112:112,E36,113:113)-SUMIF(112:112,C36,113:113)+100</f>
        <v>100</v>
      </c>
      <c r="G36" s="2478"/>
      <c r="H36" s="413">
        <f>SUMIF(112:112,G36,113:113)-SUMIF(112:112,C36,113:113)+100</f>
        <v>100</v>
      </c>
      <c r="I36" s="2478"/>
      <c r="J36" s="413">
        <f>SUMIF(112:112,I36,113:113)-SUMIF(112:112,C36,113:113)+100</f>
        <v>100</v>
      </c>
      <c r="K36" s="594"/>
      <c r="L36" s="1242"/>
      <c r="M36" s="1243"/>
      <c r="N36" s="1243"/>
      <c r="O36" s="1244"/>
      <c r="P36" s="3031"/>
      <c r="Q36" s="1889" t="str">
        <f t="shared" si="14"/>
        <v>宗地开发程度</v>
      </c>
      <c r="R36" s="747" t="s">
        <v>25</v>
      </c>
      <c r="S36" s="748">
        <f t="shared" si="10"/>
        <v>100</v>
      </c>
      <c r="T36" s="747" t="s">
        <v>25</v>
      </c>
      <c r="U36" s="748">
        <f t="shared" si="11"/>
        <v>100</v>
      </c>
      <c r="V36" s="747" t="s">
        <v>25</v>
      </c>
      <c r="W36" s="748">
        <f t="shared" si="12"/>
        <v>100</v>
      </c>
      <c r="X36" s="749"/>
      <c r="Y36" s="3031"/>
      <c r="Z36" s="23" t="str">
        <f t="shared" si="13"/>
        <v>宗地开发程度</v>
      </c>
      <c r="AA36" s="750">
        <f t="shared" si="3"/>
        <v>1</v>
      </c>
      <c r="AB36" s="750">
        <f t="shared" si="4"/>
        <v>1</v>
      </c>
      <c r="AC36" s="750">
        <f t="shared" si="5"/>
        <v>1</v>
      </c>
    </row>
    <row r="37" spans="1:29" ht="15">
      <c r="A37" s="451"/>
      <c r="B37" s="400" t="s">
        <v>2554</v>
      </c>
      <c r="C37" s="2400"/>
      <c r="D37" s="413">
        <v>100</v>
      </c>
      <c r="E37" s="2400"/>
      <c r="F37" s="413">
        <f>SUMIF(114:114,E37,115:115)-SUMIF(114:114,C37,115:115)+100</f>
        <v>100</v>
      </c>
      <c r="G37" s="2400"/>
      <c r="H37" s="413">
        <f>SUMIF(114:114,G37,115:115)-SUMIF(114:114,C37,115:115)+100</f>
        <v>100</v>
      </c>
      <c r="I37" s="2400"/>
      <c r="J37" s="413">
        <f>SUMIF(114:114,I37,115:115)-SUMIF(114:114,C37,115:115)+100</f>
        <v>100</v>
      </c>
      <c r="K37" s="594"/>
      <c r="L37" s="1250"/>
      <c r="M37" s="1241"/>
      <c r="N37" s="1241"/>
      <c r="O37" s="1249"/>
      <c r="P37" s="3031" t="s">
        <v>2371</v>
      </c>
      <c r="Q37" s="1889" t="str">
        <f t="shared" si="14"/>
        <v>工程地质条件</v>
      </c>
      <c r="R37" s="751" t="s">
        <v>25</v>
      </c>
      <c r="S37" s="752">
        <f t="shared" si="10"/>
        <v>100</v>
      </c>
      <c r="T37" s="751" t="s">
        <v>25</v>
      </c>
      <c r="U37" s="752">
        <f t="shared" si="11"/>
        <v>100</v>
      </c>
      <c r="V37" s="751" t="s">
        <v>25</v>
      </c>
      <c r="W37" s="752">
        <f t="shared" si="12"/>
        <v>100</v>
      </c>
      <c r="X37" s="1890"/>
      <c r="Y37" s="3031" t="s">
        <v>2371</v>
      </c>
      <c r="Z37" s="1892" t="str">
        <f t="shared" si="13"/>
        <v>工程地质条件</v>
      </c>
      <c r="AA37" s="1893">
        <f t="shared" si="3"/>
        <v>1</v>
      </c>
      <c r="AB37" s="1893">
        <f t="shared" si="4"/>
        <v>1</v>
      </c>
      <c r="AC37" s="1893">
        <f t="shared" si="5"/>
        <v>1</v>
      </c>
    </row>
    <row r="38" spans="1:29" ht="15">
      <c r="A38" s="451"/>
      <c r="B38" s="2479">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031"/>
      <c r="Q38" s="1889">
        <f t="shared" si="14"/>
        <v>111</v>
      </c>
      <c r="R38" s="751" t="s">
        <v>25</v>
      </c>
      <c r="S38" s="752">
        <f t="shared" si="10"/>
        <v>100</v>
      </c>
      <c r="T38" s="751" t="s">
        <v>25</v>
      </c>
      <c r="U38" s="752">
        <f t="shared" si="11"/>
        <v>100</v>
      </c>
      <c r="V38" s="751" t="s">
        <v>25</v>
      </c>
      <c r="W38" s="752">
        <f t="shared" si="12"/>
        <v>100</v>
      </c>
      <c r="X38" s="1890"/>
      <c r="Y38" s="3031"/>
      <c r="Z38" s="1892">
        <f t="shared" si="13"/>
        <v>111</v>
      </c>
      <c r="AA38" s="1893">
        <f t="shared" si="3"/>
        <v>1</v>
      </c>
      <c r="AB38" s="1893">
        <f t="shared" si="4"/>
        <v>1</v>
      </c>
      <c r="AC38" s="1893">
        <f t="shared" si="5"/>
        <v>1</v>
      </c>
    </row>
    <row r="39" spans="1:29" ht="15">
      <c r="A39" s="451"/>
      <c r="B39" s="2479">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031"/>
      <c r="Q39" s="1889">
        <f t="shared" si="14"/>
        <v>111</v>
      </c>
      <c r="R39" s="751" t="s">
        <v>25</v>
      </c>
      <c r="S39" s="752">
        <f t="shared" si="10"/>
        <v>100</v>
      </c>
      <c r="T39" s="751" t="s">
        <v>25</v>
      </c>
      <c r="U39" s="752">
        <f t="shared" si="11"/>
        <v>100</v>
      </c>
      <c r="V39" s="751" t="s">
        <v>25</v>
      </c>
      <c r="W39" s="752">
        <f t="shared" si="12"/>
        <v>100</v>
      </c>
      <c r="X39" s="1890"/>
      <c r="Y39" s="3031"/>
      <c r="Z39" s="1892">
        <f t="shared" si="13"/>
        <v>111</v>
      </c>
      <c r="AA39" s="1893">
        <f t="shared" si="3"/>
        <v>1</v>
      </c>
      <c r="AB39" s="1893">
        <f t="shared" si="4"/>
        <v>1</v>
      </c>
      <c r="AC39" s="1893">
        <f t="shared" si="5"/>
        <v>1</v>
      </c>
    </row>
    <row r="40" spans="1:29" s="450" customFormat="1" ht="15.75" thickBot="1">
      <c r="A40" s="447"/>
      <c r="B40" s="2479">
        <v>111</v>
      </c>
      <c r="C40" s="2480"/>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031"/>
      <c r="Q40" s="1889">
        <f t="shared" si="14"/>
        <v>111</v>
      </c>
      <c r="R40" s="754" t="s">
        <v>25</v>
      </c>
      <c r="S40" s="755">
        <f t="shared" si="10"/>
        <v>100</v>
      </c>
      <c r="T40" s="754" t="s">
        <v>25</v>
      </c>
      <c r="U40" s="755">
        <f t="shared" si="11"/>
        <v>100</v>
      </c>
      <c r="V40" s="754" t="s">
        <v>25</v>
      </c>
      <c r="W40" s="755">
        <f t="shared" si="12"/>
        <v>100</v>
      </c>
      <c r="X40" s="756"/>
      <c r="Y40" s="3031"/>
      <c r="Z40" s="757">
        <f t="shared" si="13"/>
        <v>111</v>
      </c>
      <c r="AA40" s="1893">
        <f t="shared" si="3"/>
        <v>1</v>
      </c>
      <c r="AB40" s="1893">
        <f t="shared" si="4"/>
        <v>1</v>
      </c>
      <c r="AC40" s="1893">
        <f t="shared" si="5"/>
        <v>1</v>
      </c>
    </row>
    <row r="41" spans="1:29" ht="15">
      <c r="A41" s="458" t="s">
        <v>2518</v>
      </c>
      <c r="B41" s="2481" t="s">
        <v>2593</v>
      </c>
      <c r="C41" s="663" t="s">
        <v>1</v>
      </c>
      <c r="D41" s="460"/>
      <c r="E41" s="461"/>
      <c r="F41" s="462"/>
      <c r="G41" s="463"/>
      <c r="H41" s="464"/>
      <c r="I41" s="461"/>
      <c r="J41" s="464"/>
      <c r="K41" s="760"/>
      <c r="L41" s="1253"/>
      <c r="M41" s="1241"/>
      <c r="N41" s="1241"/>
      <c r="O41" s="1254"/>
      <c r="P41" s="3023" t="str">
        <f>A41</f>
        <v>成交单价</v>
      </c>
      <c r="Q41" s="3023"/>
      <c r="R41" s="3060">
        <f>E41</f>
        <v>0</v>
      </c>
      <c r="S41" s="3060"/>
      <c r="T41" s="3060">
        <f>G41</f>
        <v>0</v>
      </c>
      <c r="U41" s="3060"/>
      <c r="V41" s="3060">
        <f>I41</f>
        <v>0</v>
      </c>
      <c r="W41" s="3060"/>
      <c r="X41" s="736"/>
      <c r="Y41" s="758"/>
      <c r="Z41" s="736"/>
      <c r="AA41" s="736"/>
      <c r="AB41" s="736"/>
      <c r="AC41" s="736"/>
    </row>
    <row r="42" spans="1:29" ht="15.75" thickBot="1">
      <c r="A42" s="465" t="s">
        <v>2465</v>
      </c>
      <c r="B42" s="664"/>
      <c r="C42" s="469" t="e">
        <f>R43</f>
        <v>#DIV/0!</v>
      </c>
      <c r="D42" s="468"/>
      <c r="E42" s="469" t="e">
        <f>R42</f>
        <v>#DIV/0!</v>
      </c>
      <c r="F42" s="470"/>
      <c r="G42" s="467" t="e">
        <f>T42</f>
        <v>#DIV/0!</v>
      </c>
      <c r="H42" s="468"/>
      <c r="I42" s="469" t="e">
        <f>V42</f>
        <v>#DIV/0!</v>
      </c>
      <c r="J42" s="468"/>
      <c r="K42" s="761"/>
      <c r="L42" s="1253"/>
      <c r="M42" s="1241"/>
      <c r="N42" s="1241"/>
      <c r="O42" s="1254"/>
      <c r="P42" s="3023" t="str">
        <f>A42</f>
        <v>比较价值（元/平方米）</v>
      </c>
      <c r="Q42" s="3023"/>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1" t="s">
        <v>2488</v>
      </c>
      <c r="B43" s="472"/>
      <c r="C43" s="473" t="e">
        <f>R43</f>
        <v>#DIV/0!</v>
      </c>
      <c r="D43" s="473"/>
      <c r="E43" s="473"/>
      <c r="F43" s="473"/>
      <c r="G43" s="473"/>
      <c r="H43" s="473"/>
      <c r="I43" s="473"/>
      <c r="J43" s="473"/>
      <c r="K43" s="762"/>
      <c r="L43" s="1253"/>
      <c r="M43" s="1241"/>
      <c r="N43" s="1241"/>
      <c r="O43" s="1254"/>
      <c r="P43" s="3020" t="str">
        <f>A43</f>
        <v>估价对象XX用房的比较价值（楼面单价，元/平方米）</v>
      </c>
      <c r="Q43" s="3021"/>
      <c r="R43" s="3076" t="e">
        <f>ROUND(AVERAGE(R42:V42),0)</f>
        <v>#DIV/0!</v>
      </c>
      <c r="S43" s="3076"/>
      <c r="T43" s="3076"/>
      <c r="U43" s="3076"/>
      <c r="V43" s="3076"/>
      <c r="W43" s="307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2556</v>
      </c>
      <c r="B50" s="666" t="s">
        <v>2557</v>
      </c>
      <c r="C50" s="2482" t="s">
        <v>2558</v>
      </c>
      <c r="D50" s="2483" t="s">
        <v>2559</v>
      </c>
      <c r="E50" s="667" t="s">
        <v>2560</v>
      </c>
      <c r="F50" s="668" t="s">
        <v>2561</v>
      </c>
      <c r="G50" s="1892" t="s">
        <v>2594</v>
      </c>
      <c r="H50" s="1892" t="str">
        <f>项目基本情况!G8</f>
        <v>朝阳区朝新嘉园东里七区12号楼3层2单元302</v>
      </c>
      <c r="I50" s="1839" t="s">
        <v>2563</v>
      </c>
      <c r="J50" s="1259"/>
      <c r="K50" s="1255"/>
      <c r="L50" s="1255"/>
      <c r="M50" s="1254"/>
      <c r="N50" s="1254"/>
      <c r="O50" s="1254"/>
    </row>
    <row r="51" spans="1:17" s="673" customFormat="1">
      <c r="A51" s="669" t="s">
        <v>2564</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2565</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2566</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2567</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2568</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2569</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2570</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2571</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2572</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2573</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2574</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2018-8-1</v>
      </c>
      <c r="D63" s="1661">
        <f>EDATE(C63,-3)</f>
        <v>43221</v>
      </c>
      <c r="E63" s="1661">
        <f t="shared" ref="E63:O63" si="18">EDATE(D63,-3)</f>
        <v>43132</v>
      </c>
      <c r="F63" s="1661">
        <f t="shared" si="18"/>
        <v>43040</v>
      </c>
      <c r="G63" s="1661">
        <f t="shared" si="18"/>
        <v>42948</v>
      </c>
      <c r="H63" s="1661">
        <f t="shared" si="18"/>
        <v>42856</v>
      </c>
      <c r="I63" s="1661">
        <f t="shared" si="18"/>
        <v>42767</v>
      </c>
      <c r="J63" s="1661">
        <f t="shared" si="18"/>
        <v>42675</v>
      </c>
      <c r="K63" s="1661">
        <f t="shared" si="18"/>
        <v>42583</v>
      </c>
      <c r="L63" s="1661">
        <f t="shared" si="18"/>
        <v>42491</v>
      </c>
      <c r="M63" s="1661">
        <f t="shared" si="18"/>
        <v>42401</v>
      </c>
      <c r="N63" s="1661">
        <f t="shared" si="18"/>
        <v>42309</v>
      </c>
      <c r="O63" s="1661">
        <f t="shared" si="18"/>
        <v>42217</v>
      </c>
    </row>
    <row r="64" spans="1:17" ht="21.75" thickBot="1">
      <c r="A64" s="740" t="s">
        <v>2470</v>
      </c>
      <c r="B64" s="736"/>
      <c r="C64" s="741"/>
      <c r="D64" s="741"/>
      <c r="E64" s="741"/>
      <c r="F64" s="742"/>
      <c r="G64" s="742"/>
      <c r="H64" s="741"/>
      <c r="I64" s="1270"/>
      <c r="J64" s="1270"/>
      <c r="K64" s="1268"/>
      <c r="L64" s="1269"/>
      <c r="M64" s="1270"/>
      <c r="N64" s="1270"/>
      <c r="O64" s="1270"/>
      <c r="P64" s="482"/>
      <c r="Q64" s="483"/>
    </row>
    <row r="65" spans="1:17" s="487" customFormat="1" ht="15">
      <c r="A65" s="2485" t="s">
        <v>2575</v>
      </c>
      <c r="B65" s="1447"/>
      <c r="C65" s="1662" t="str">
        <f>YEAR(C63)&amp;"-"&amp;ROUNDUP(MONTH(C63)/3,0)</f>
        <v>2018-3</v>
      </c>
      <c r="D65" s="1662" t="str">
        <f t="shared" ref="D65:O65" si="19">YEAR(D63)&amp;"-"&amp;ROUNDUP(MONTH(D63)/3,0)</f>
        <v>2018-2</v>
      </c>
      <c r="E65" s="1662" t="str">
        <f t="shared" si="19"/>
        <v>2018-1</v>
      </c>
      <c r="F65" s="1662" t="str">
        <f t="shared" si="19"/>
        <v>2017-4</v>
      </c>
      <c r="G65" s="1662" t="str">
        <f t="shared" si="19"/>
        <v>2017-3</v>
      </c>
      <c r="H65" s="1662" t="str">
        <f t="shared" si="19"/>
        <v>2017-2</v>
      </c>
      <c r="I65" s="1662" t="str">
        <f t="shared" si="19"/>
        <v>2017-1</v>
      </c>
      <c r="J65" s="1662" t="str">
        <f t="shared" si="19"/>
        <v>2016-4</v>
      </c>
      <c r="K65" s="1662" t="str">
        <f t="shared" si="19"/>
        <v>2016-3</v>
      </c>
      <c r="L65" s="1662" t="str">
        <f t="shared" si="19"/>
        <v>2016-2</v>
      </c>
      <c r="M65" s="1662" t="str">
        <f t="shared" si="19"/>
        <v>2016-1</v>
      </c>
      <c r="N65" s="1662" t="str">
        <f t="shared" si="19"/>
        <v>2015-4</v>
      </c>
      <c r="O65" s="1662" t="str">
        <f t="shared" si="19"/>
        <v>2015-3</v>
      </c>
      <c r="P65" s="486"/>
    </row>
    <row r="66" spans="1:17" s="35" customFormat="1" ht="33.75" customHeight="1">
      <c r="A66" s="2491" t="s">
        <v>2595</v>
      </c>
      <c r="B66" s="284" t="str">
        <f>"北京市平均增长率"&amp;TEXT(基准地价修正!P24,"0.00%")</f>
        <v>北京市平均增长率1.41%</v>
      </c>
      <c r="C66" s="585">
        <v>100</v>
      </c>
      <c r="D66" s="577"/>
      <c r="E66" s="577"/>
      <c r="F66" s="577"/>
      <c r="G66" s="577"/>
      <c r="H66" s="577"/>
      <c r="I66" s="577"/>
      <c r="J66" s="577"/>
      <c r="K66" s="577"/>
      <c r="L66" s="577"/>
      <c r="M66" s="1660"/>
      <c r="N66" s="577"/>
      <c r="O66" s="1666"/>
      <c r="P66" s="483"/>
    </row>
    <row r="67" spans="1:17" s="35" customFormat="1" ht="15.75" thickBot="1">
      <c r="A67" s="494" t="s">
        <v>2390</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2393</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2503</v>
      </c>
      <c r="C83" s="555" t="s">
        <v>2402</v>
      </c>
      <c r="D83" s="555" t="s">
        <v>2403</v>
      </c>
      <c r="E83" s="555" t="s">
        <v>2404</v>
      </c>
      <c r="F83" s="555" t="s">
        <v>2405</v>
      </c>
      <c r="G83" s="555" t="s">
        <v>2406</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2407</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2578</v>
      </c>
      <c r="C87" s="555" t="s">
        <v>2402</v>
      </c>
      <c r="D87" s="555" t="s">
        <v>2403</v>
      </c>
      <c r="E87" s="555" t="s">
        <v>2404</v>
      </c>
      <c r="F87" s="555" t="s">
        <v>2405</v>
      </c>
      <c r="G87" s="555" t="s">
        <v>2406</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2579</v>
      </c>
      <c r="C89" s="555" t="s">
        <v>2402</v>
      </c>
      <c r="D89" s="555" t="s">
        <v>2403</v>
      </c>
      <c r="E89" s="555" t="s">
        <v>2404</v>
      </c>
      <c r="F89" s="555" t="s">
        <v>2405</v>
      </c>
      <c r="G89" s="555" t="s">
        <v>2406</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2450</v>
      </c>
      <c r="C91" s="555" t="s">
        <v>2402</v>
      </c>
      <c r="D91" s="555" t="s">
        <v>2403</v>
      </c>
      <c r="E91" s="555" t="s">
        <v>2404</v>
      </c>
      <c r="F91" s="555" t="s">
        <v>2405</v>
      </c>
      <c r="G91" s="555" t="s">
        <v>2406</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2451</v>
      </c>
      <c r="C93" s="520" t="s">
        <v>2409</v>
      </c>
      <c r="D93" s="520" t="s">
        <v>2410</v>
      </c>
      <c r="E93" s="520" t="s">
        <v>2411</v>
      </c>
      <c r="F93" s="520" t="s">
        <v>2412</v>
      </c>
      <c r="G93" s="520" t="s">
        <v>2413</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2580</v>
      </c>
      <c r="D95" s="520" t="s">
        <v>2581</v>
      </c>
      <c r="E95" s="520" t="s">
        <v>2582</v>
      </c>
      <c r="F95" s="520" t="s">
        <v>2583</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2482</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2549</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2584</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2585</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2587</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2588</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2"/>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估价对象为北京市房地产，为所有。根据《不动产权证书》[]，估价对象建筑面积为87.21平方米，（分摊）出让国有建设用地使用权面积为平方米。估价对象用途为。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2018年8月16日（评估专业人员实地查勘之日）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1266</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73" customWidth="1"/>
    <col min="2" max="2" width="19.25" style="2686" customWidth="1"/>
    <col min="3" max="3" width="12.5" style="2496" customWidth="1"/>
    <col min="4" max="4" width="12" style="2496" customWidth="1"/>
    <col min="5" max="5" width="14.625" style="2496" customWidth="1"/>
    <col min="6" max="8" width="12" style="2496" customWidth="1"/>
    <col min="9" max="9" width="12.25" style="2496" bestFit="1" customWidth="1"/>
    <col min="10" max="10" width="12" style="2496" customWidth="1"/>
    <col min="11" max="11" width="9.5" style="1453" customWidth="1"/>
    <col min="12" max="12" width="12" style="2496" customWidth="1"/>
    <col min="13" max="13" width="8.5" style="2496" customWidth="1"/>
    <col min="14" max="14" width="9.75" style="2496" customWidth="1"/>
    <col min="15" max="25" width="12" style="2496" customWidth="1"/>
    <col min="26" max="26" width="9.375" style="2573" customWidth="1"/>
    <col min="27" max="32" width="9.375" style="2649" customWidth="1"/>
    <col min="33" max="36" width="9.375" style="2573" customWidth="1"/>
    <col min="37" max="38" width="9.375" style="2496" customWidth="1"/>
    <col min="39" max="16384" width="9" style="2496"/>
  </cols>
  <sheetData>
    <row r="1" spans="1:36" ht="28.5">
      <c r="A1" s="161" t="s">
        <v>2596</v>
      </c>
      <c r="B1" s="2493"/>
      <c r="C1" s="162" t="s">
        <v>2597</v>
      </c>
      <c r="D1" s="2494">
        <f>SUM(D29:D30,D33:D39)</f>
        <v>0</v>
      </c>
      <c r="E1" s="2494"/>
      <c r="F1" s="2494"/>
      <c r="G1" s="2494"/>
      <c r="H1" s="2494"/>
      <c r="I1" s="2494"/>
      <c r="J1" s="2494"/>
      <c r="L1" s="2495" t="s">
        <v>2598</v>
      </c>
      <c r="M1" s="1116">
        <f>SUMPRODUCT((区片价!B5:B9=I2)*(区片价!C3:F3=E2)*(区片价!C5:F9))</f>
        <v>0</v>
      </c>
      <c r="N1" s="1119">
        <f>SUMPRODUCT((因素修正幅度!B5:B9=I2)*(因素修正幅度!C3:F3=E2)*(因素修正幅度!C5:F9))</f>
        <v>0</v>
      </c>
      <c r="O1" s="1453"/>
      <c r="P1" s="1453"/>
      <c r="Q1" s="1453"/>
      <c r="R1" s="1700" t="s">
        <v>2599</v>
      </c>
      <c r="S1" s="1700" t="s">
        <v>2600</v>
      </c>
      <c r="T1" s="1700" t="s">
        <v>2601</v>
      </c>
      <c r="U1" s="1700" t="s">
        <v>2602</v>
      </c>
      <c r="V1" s="1700" t="s">
        <v>2603</v>
      </c>
      <c r="W1" s="1704"/>
      <c r="X1" s="1704"/>
      <c r="Y1" s="1704"/>
      <c r="Z1" s="1704"/>
      <c r="AA1" s="1704"/>
      <c r="AB1" s="1704"/>
      <c r="AC1" s="1705"/>
      <c r="AD1" s="1706"/>
      <c r="AE1" s="1706"/>
      <c r="AF1" s="1706"/>
      <c r="AG1" s="1706"/>
      <c r="AH1" s="1706"/>
      <c r="AI1" s="1706"/>
      <c r="AJ1" s="1707"/>
    </row>
    <row r="2" spans="1:36" ht="24.75">
      <c r="A2" s="165" t="s">
        <v>2604</v>
      </c>
      <c r="B2" s="168" t="e">
        <f>C26</f>
        <v>#DIV/0!</v>
      </c>
      <c r="C2" s="2497" t="s">
        <v>2605</v>
      </c>
      <c r="D2" s="2498" t="s">
        <v>2606</v>
      </c>
      <c r="E2" s="2499"/>
      <c r="F2" s="2498" t="s">
        <v>2607</v>
      </c>
      <c r="G2" s="2500" t="str">
        <f>项目基本情况!F9</f>
        <v>六级</v>
      </c>
      <c r="H2" s="2501" t="s">
        <v>2608</v>
      </c>
      <c r="I2" s="2500" t="str">
        <f>项目基本情况!F10</f>
        <v>Ⅵ-21</v>
      </c>
      <c r="J2" s="2502"/>
      <c r="L2" s="2503" t="s">
        <v>2609</v>
      </c>
      <c r="M2" s="1117">
        <f>SUMPRODUCT((区片价!B10:B28=I2)*(区片价!C3:F3=E2)*(区片价!C10:F28))</f>
        <v>0</v>
      </c>
      <c r="N2" s="1120">
        <f>SUMPRODUCT((因素修正幅度!B10:B28=I2)*(因素修正幅度!C3:F3=E2)*(因素修正幅度!C10:F28))</f>
        <v>0</v>
      </c>
      <c r="O2" s="1453"/>
      <c r="P2" s="1453"/>
      <c r="Q2" s="1453"/>
      <c r="R2" s="1700">
        <v>1</v>
      </c>
      <c r="S2" s="1700" t="e">
        <f>ROUND(IF(G3&gt;1,IF(R2&lt;7,SUMPRODUCT((B93:B98=R2)*(C92:N92=G2)*(C93:N98)),SUMIF(C92:N92,G2,C100:N100)),IF(R2&lt;7,SUMPRODUCT((B102:B107=R2)*(C92:N92=G2)*(C102:N107)),SUMIF(C92:N92,G2,C109:N109))),4)</f>
        <v>#DIV/0!</v>
      </c>
      <c r="T2" s="1700" t="e">
        <f>ROUND($C$5*$C$18*$C$19*$C$20*S2*$C$24,0)</f>
        <v>#DIV/0!</v>
      </c>
      <c r="U2" s="1701"/>
      <c r="V2" s="1700" t="e">
        <f>ROUND(T2*U2/10000,0)</f>
        <v>#DIV/0!</v>
      </c>
      <c r="W2" s="1704"/>
      <c r="X2" s="1704"/>
      <c r="Y2" s="1704"/>
      <c r="Z2" s="1704"/>
      <c r="AA2" s="1704"/>
      <c r="AB2" s="1704"/>
      <c r="AC2" s="1705"/>
      <c r="AD2" s="1706"/>
      <c r="AE2" s="1706"/>
      <c r="AF2" s="1706"/>
      <c r="AG2" s="1706"/>
      <c r="AH2" s="1706"/>
      <c r="AI2" s="1706"/>
      <c r="AJ2" s="1707"/>
    </row>
    <row r="3" spans="1:36" ht="15.75">
      <c r="A3" s="167" t="s">
        <v>2610</v>
      </c>
      <c r="B3" s="168" t="e">
        <f>ROUND(B2/D1,0)</f>
        <v>#DIV/0!</v>
      </c>
      <c r="C3" s="2497" t="s">
        <v>2611</v>
      </c>
      <c r="D3" s="2498" t="s">
        <v>2612</v>
      </c>
      <c r="E3" s="2504"/>
      <c r="F3" s="2505" t="s">
        <v>2613</v>
      </c>
      <c r="G3" s="939">
        <f>项目基本情况!C15</f>
        <v>0</v>
      </c>
      <c r="H3" s="115" t="s">
        <v>2614</v>
      </c>
      <c r="I3" s="972">
        <v>7</v>
      </c>
      <c r="J3" s="2502" t="s">
        <v>2615</v>
      </c>
      <c r="L3" s="2503" t="s">
        <v>2616</v>
      </c>
      <c r="M3" s="1117">
        <f>SUMPRODUCT((区片价!B29:B48=I2)*(区片价!C3:F3=E2)*(区片价!C29:F48))</f>
        <v>0</v>
      </c>
      <c r="N3" s="1120">
        <f>SUMPRODUCT((因素修正幅度!B29:B48=I2)*(因素修正幅度!C3:F3=E2)*(因素修正幅度!C29:F48))</f>
        <v>0</v>
      </c>
      <c r="O3" s="1453"/>
      <c r="P3" s="1453"/>
      <c r="Q3" s="1453"/>
      <c r="R3" s="1700">
        <v>2</v>
      </c>
      <c r="S3" s="1700" t="e">
        <f>ROUND(IF(G3&gt;1,IF(R3&lt;7,SUMPRODUCT((B93:B98=R3)*(C92:N92=G2)*(C93:N98)),SUMIF(C92:N92,G2,C100:N100)),IF(R3&lt;7,SUMPRODUCT((B102:B107=R3)*(C92:N92=G2)*(C102:N107)),SUMIF(C92:N92,G2,C109:N109))),4)</f>
        <v>#DIV/0!</v>
      </c>
      <c r="T3" s="1700" t="e">
        <f t="shared" ref="T3:T16" si="0">ROUND($C$5*$C$18*$C$19*$C$20*S3*$C$24,0)</f>
        <v>#DIV/0!</v>
      </c>
      <c r="U3" s="1701"/>
      <c r="V3" s="1700" t="e">
        <f t="shared" ref="V3:V16" si="1">ROUND(T3*U3/10000,0)</f>
        <v>#DIV/0!</v>
      </c>
      <c r="W3" s="1704"/>
      <c r="X3" s="1704"/>
      <c r="Y3" s="1704"/>
      <c r="Z3" s="1704"/>
      <c r="AA3" s="1704"/>
      <c r="AB3" s="1704"/>
      <c r="AC3" s="1705"/>
      <c r="AD3" s="1706"/>
      <c r="AE3" s="1706"/>
      <c r="AF3" s="1706"/>
      <c r="AG3" s="1706"/>
      <c r="AH3" s="1706"/>
      <c r="AI3" s="1706"/>
      <c r="AJ3" s="1707"/>
    </row>
    <row r="4" spans="1:36" ht="15.75">
      <c r="A4" s="3080"/>
      <c r="B4" s="3081"/>
      <c r="C4" s="3081"/>
      <c r="D4" s="3082"/>
      <c r="E4" s="3082"/>
      <c r="F4" s="3082"/>
      <c r="G4" s="3082"/>
      <c r="H4" s="3082"/>
      <c r="I4" s="3082"/>
      <c r="J4" s="3083"/>
      <c r="L4" s="2503" t="s">
        <v>2617</v>
      </c>
      <c r="M4" s="1117">
        <f>SUMPRODUCT((区片价!B49:B75=I2)*(区片价!C3:F3=E2)*(区片价!C49:F75))</f>
        <v>0</v>
      </c>
      <c r="N4" s="1120">
        <f>SUMPRODUCT((因素修正幅度!B49:B75=I2)*(因素修正幅度!C3:F3=E2)*(因素修正幅度!C49:F75))</f>
        <v>0</v>
      </c>
      <c r="O4" s="1453"/>
      <c r="P4" s="1453"/>
      <c r="Q4" s="1453"/>
      <c r="R4" s="1700">
        <v>3</v>
      </c>
      <c r="S4" s="1700" t="e">
        <f>ROUND(IF(G3&gt;1,IF(R4&lt;7,SUMPRODUCT((B93:B98=R4)*(C92:N92=G2)*(C93:N98)),SUMIF(C92:N92,G2,C100:N100)),IF(R4&lt;7,SUMPRODUCT((B102:B107=R4)*(C92:N92=G2)*(C102:N107)),SUMIF(C92:N92,G2,C109:N109))),4)</f>
        <v>#DIV/0!</v>
      </c>
      <c r="T4" s="1700" t="e">
        <f t="shared" si="0"/>
        <v>#DIV/0!</v>
      </c>
      <c r="U4" s="1701"/>
      <c r="V4" s="1700" t="e">
        <f t="shared" si="1"/>
        <v>#DIV/0!</v>
      </c>
      <c r="W4" s="1704"/>
      <c r="X4" s="1704"/>
      <c r="Y4" s="1704"/>
      <c r="Z4" s="1704"/>
      <c r="AA4" s="1704"/>
      <c r="AB4" s="1704"/>
      <c r="AC4" s="1705"/>
      <c r="AD4" s="1706"/>
      <c r="AE4" s="1706"/>
      <c r="AF4" s="1706"/>
      <c r="AG4" s="1706"/>
      <c r="AH4" s="1706"/>
      <c r="AI4" s="1706"/>
      <c r="AJ4" s="1707"/>
    </row>
    <row r="5" spans="1:36" s="2515" customFormat="1" ht="15.75" thickBot="1">
      <c r="A5" s="2506" t="s">
        <v>2618</v>
      </c>
      <c r="B5" s="2507" t="s">
        <v>2619</v>
      </c>
      <c r="C5" s="940" t="e">
        <f>ROUND(IF(E2="商业",IF(F16="增加",C6*C7+C16,C6*C7-C16),IF(E2="住宅",IF(F16="增加",C6*C12+C16,C6*C12-C16),IF(F16="增加",C6+C16,C6-C16))),0)</f>
        <v>#DIV/0!</v>
      </c>
      <c r="D5" s="1867">
        <f>ROUND(IF(E2="商业",IF(F16="增加",C6+C16,C6-C16)),0)</f>
        <v>0</v>
      </c>
      <c r="E5" s="2508"/>
      <c r="F5" s="2508"/>
      <c r="G5" s="2509"/>
      <c r="H5" s="2509"/>
      <c r="I5" s="2509"/>
      <c r="J5" s="2510"/>
      <c r="K5" s="2511"/>
      <c r="L5" s="2503" t="s">
        <v>2620</v>
      </c>
      <c r="M5" s="1117">
        <f>SUMPRODUCT((区片价!B76:B109=I2)*(区片价!C3:F3=E2)*(区片价!C76:F109))</f>
        <v>0</v>
      </c>
      <c r="N5" s="1120">
        <f>SUMPRODUCT((因素修正幅度!B76:B109=I2)*(因素修正幅度!C3:F3=E2)*(因素修正幅度!C76:F109))</f>
        <v>0</v>
      </c>
      <c r="O5" s="1453"/>
      <c r="P5" s="1453"/>
      <c r="Q5" s="1453"/>
      <c r="R5" s="1700">
        <v>4</v>
      </c>
      <c r="S5" s="1700" t="e">
        <f>ROUND(IF(G3&gt;1,IF(R5&lt;7,SUMPRODUCT((B93:B98=R5)*(C92:N92=G2)*(C93:N98)),SUMIF(C92:N92,G2,C100:N100)),IF(R5&lt;7,SUMPRODUCT((B102:B107=R5)*(C92:N92=G2)*(C102:N107)),SUMIF(C92:N92,G2,C109:N109))),4)</f>
        <v>#DIV/0!</v>
      </c>
      <c r="T5" s="1700" t="e">
        <f t="shared" si="0"/>
        <v>#DIV/0!</v>
      </c>
      <c r="U5" s="1701"/>
      <c r="V5" s="1700" t="e">
        <f t="shared" si="1"/>
        <v>#DIV/0!</v>
      </c>
      <c r="W5" s="1704"/>
      <c r="X5" s="1704"/>
      <c r="Y5" s="1704"/>
      <c r="Z5" s="1704"/>
      <c r="AA5" s="1704"/>
      <c r="AB5" s="1704"/>
      <c r="AC5" s="2512"/>
      <c r="AD5" s="2513"/>
      <c r="AE5" s="2513"/>
      <c r="AF5" s="2513"/>
      <c r="AG5" s="2513"/>
      <c r="AH5" s="2513"/>
      <c r="AI5" s="2513"/>
      <c r="AJ5" s="2514"/>
    </row>
    <row r="6" spans="1:36" ht="15.75" thickBot="1">
      <c r="A6" s="2516">
        <v>1</v>
      </c>
      <c r="B6" s="2517" t="s">
        <v>2621</v>
      </c>
      <c r="C6" s="941">
        <f>SUMIF(L1:L12,G2,M1:M12)</f>
        <v>0</v>
      </c>
      <c r="D6" s="2518" t="s">
        <v>2622</v>
      </c>
      <c r="E6" s="2519"/>
      <c r="F6" s="2519"/>
      <c r="G6" s="2520"/>
      <c r="H6" s="2520"/>
      <c r="I6" s="2520"/>
      <c r="J6" s="2521"/>
      <c r="K6" s="2522"/>
      <c r="L6" s="2503" t="s">
        <v>2623</v>
      </c>
      <c r="M6" s="1117">
        <f>SUMPRODUCT((区片价!B110:B157=I2)*(区片价!C3:F3=E2)*(区片价!C110:F157))</f>
        <v>0</v>
      </c>
      <c r="N6" s="1120">
        <f>SUMPRODUCT((因素修正幅度!B110:B157=I2)*(因素修正幅度!C3:F3=E2)*(因素修正幅度!C110:F157))</f>
        <v>0</v>
      </c>
      <c r="O6" s="1453"/>
      <c r="P6" s="1453"/>
      <c r="Q6" s="1453"/>
      <c r="R6" s="1700">
        <v>5</v>
      </c>
      <c r="S6" s="1700" t="e">
        <f>ROUND(IF(G3&gt;1,IF(R6&lt;7,SUMPRODUCT((B93:B98=R6)*(C92:N92=G2)*(C93:N98)),SUMIF(C92:N92,G2,C100:N100)),IF(R6&lt;7,SUMPRODUCT((B102:B107=R6)*(C92:N92=G2)*(C102:N107)),SUMIF(C92:N92,G2,C109:N109))),4)</f>
        <v>#DIV/0!</v>
      </c>
      <c r="T6" s="1700" t="e">
        <f t="shared" si="0"/>
        <v>#DIV/0!</v>
      </c>
      <c r="U6" s="1701"/>
      <c r="V6" s="1700" t="e">
        <f t="shared" si="1"/>
        <v>#DIV/0!</v>
      </c>
      <c r="W6" s="1704"/>
      <c r="X6" s="1704"/>
      <c r="Y6" s="1704"/>
      <c r="Z6" s="1704"/>
      <c r="AA6" s="1704"/>
      <c r="AB6" s="1704"/>
      <c r="AC6" s="2512"/>
      <c r="AD6" s="2513"/>
      <c r="AE6" s="2513"/>
      <c r="AF6" s="2513"/>
      <c r="AG6" s="2513"/>
      <c r="AH6" s="2513"/>
      <c r="AI6" s="2513"/>
      <c r="AJ6" s="2514"/>
    </row>
    <row r="7" spans="1:36" ht="24">
      <c r="A7" s="3084" t="str">
        <f>IF(E2="商业",IF(C8="不临58条商业街","",2),"")</f>
        <v/>
      </c>
      <c r="B7" s="2523" t="s">
        <v>2624</v>
      </c>
      <c r="C7" s="942" t="e">
        <f>IF(C8="不临58条商业街",1,ROUND(1+(1.6*E8+1.2*E9+0.8*E10+0.4*E11)*C9,4))</f>
        <v>#DIV/0!</v>
      </c>
      <c r="D7" s="2524" t="s">
        <v>2625</v>
      </c>
      <c r="E7" s="973"/>
      <c r="F7" s="2525"/>
      <c r="G7" s="2526"/>
      <c r="H7" s="2526"/>
      <c r="I7" s="2526"/>
      <c r="J7" s="2527"/>
      <c r="K7" s="2522"/>
      <c r="L7" s="2503" t="s">
        <v>2626</v>
      </c>
      <c r="M7" s="1117">
        <f>SUMPRODUCT((区片价!B158:B205=I2)*(区片价!C3:F3=E2)*(区片价!C158:F205))</f>
        <v>0</v>
      </c>
      <c r="N7" s="1120">
        <f>SUMPRODUCT((因素修正幅度!B158:B205=I2)*(因素修正幅度!C3:F3=E2)*(因素修正幅度!C158:F205))</f>
        <v>0</v>
      </c>
      <c r="O7" s="1453"/>
      <c r="P7" s="1453"/>
      <c r="Q7" s="1453"/>
      <c r="R7" s="1700">
        <v>6</v>
      </c>
      <c r="S7" s="1700" t="e">
        <f>ROUND(IF(G3&gt;1,IF(R7&lt;7,SUMPRODUCT((B93:B98=R7)*(C92:N92=G2)*(C93:N98)),SUMIF(C92:N92,G2,C100:N100)),IF(R7&lt;7,SUMPRODUCT((B102:B107=R7)*(C92:N92=G2)*(C102:N107)),SUMIF(C92:N92,G2,C109:N109))),4)</f>
        <v>#DIV/0!</v>
      </c>
      <c r="T7" s="1700" t="e">
        <f t="shared" si="0"/>
        <v>#DIV/0!</v>
      </c>
      <c r="U7" s="1701"/>
      <c r="V7" s="1700" t="e">
        <f t="shared" si="1"/>
        <v>#DIV/0!</v>
      </c>
      <c r="W7" s="1895" t="s">
        <v>2627</v>
      </c>
      <c r="X7" s="1702" t="str">
        <f>G2</f>
        <v>六级</v>
      </c>
      <c r="Y7" s="1702" t="s">
        <v>2628</v>
      </c>
      <c r="Z7" s="1703">
        <f>G3</f>
        <v>0</v>
      </c>
      <c r="AA7" s="1704"/>
      <c r="AB7" s="1704"/>
      <c r="AC7" s="1705"/>
      <c r="AD7" s="1706"/>
      <c r="AE7" s="1706"/>
      <c r="AF7" s="1706"/>
      <c r="AG7" s="1706"/>
      <c r="AH7" s="1706"/>
      <c r="AI7" s="1706"/>
      <c r="AJ7" s="1707"/>
    </row>
    <row r="8" spans="1:36" ht="15">
      <c r="A8" s="3085"/>
      <c r="B8" s="115" t="s">
        <v>2629</v>
      </c>
      <c r="C8" s="2528"/>
      <c r="D8" s="943" t="s">
        <v>89</v>
      </c>
      <c r="E8" s="944" t="e">
        <f>ROUND(C11/E7,4)</f>
        <v>#DIV/0!</v>
      </c>
      <c r="F8" s="2529" t="s">
        <v>2630</v>
      </c>
      <c r="G8" s="2530"/>
      <c r="H8" s="2530"/>
      <c r="I8" s="2530"/>
      <c r="J8" s="2531"/>
      <c r="L8" s="2503" t="s">
        <v>2631</v>
      </c>
      <c r="M8" s="1117">
        <f>SUMPRODUCT((区片价!B206:B244=I2)*(区片价!C3:F3=E2)*(区片价!C206:F244))</f>
        <v>0</v>
      </c>
      <c r="N8" s="1120">
        <f>SUMPRODUCT((因素修正幅度!B206:B244=I2)*(因素修正幅度!C3:F3=E2)*(因素修正幅度!C206:F244))</f>
        <v>0</v>
      </c>
      <c r="O8" s="1453"/>
      <c r="P8" s="1453"/>
      <c r="Q8" s="1453"/>
      <c r="R8" s="1700">
        <v>7</v>
      </c>
      <c r="S8" s="1701"/>
      <c r="T8" s="1700" t="e">
        <f t="shared" si="0"/>
        <v>#DIV/0!</v>
      </c>
      <c r="U8" s="1701"/>
      <c r="V8" s="1700" t="e">
        <f t="shared" si="1"/>
        <v>#DIV/0!</v>
      </c>
      <c r="W8" s="3077" t="s">
        <v>2632</v>
      </c>
      <c r="X8" s="3078"/>
      <c r="Y8" s="1708" t="s">
        <v>2633</v>
      </c>
      <c r="Z8" s="1708" t="s">
        <v>2634</v>
      </c>
      <c r="AA8" s="1708" t="s">
        <v>2635</v>
      </c>
      <c r="AB8" s="1708" t="s">
        <v>2636</v>
      </c>
      <c r="AC8" s="1708" t="s">
        <v>2637</v>
      </c>
      <c r="AD8" s="1708" t="s">
        <v>2638</v>
      </c>
      <c r="AE8" s="1708" t="s">
        <v>2639</v>
      </c>
      <c r="AF8" s="1708" t="s">
        <v>2640</v>
      </c>
      <c r="AG8" s="1708" t="s">
        <v>2641</v>
      </c>
      <c r="AH8" s="1708" t="s">
        <v>2642</v>
      </c>
      <c r="AI8" s="1708" t="s">
        <v>2643</v>
      </c>
      <c r="AJ8" s="1708" t="s">
        <v>2644</v>
      </c>
    </row>
    <row r="9" spans="1:36" ht="15">
      <c r="A9" s="3085"/>
      <c r="B9" s="115" t="s">
        <v>2645</v>
      </c>
      <c r="C9" s="945">
        <f>SUMIF(修正!C59:C119,C8,修正!E59:E119)</f>
        <v>0</v>
      </c>
      <c r="D9" s="117" t="s">
        <v>90</v>
      </c>
      <c r="E9" s="117" t="e">
        <f>ROUND(C11/E7,4)</f>
        <v>#DIV/0!</v>
      </c>
      <c r="F9" s="2529" t="s">
        <v>2646</v>
      </c>
      <c r="G9" s="2530"/>
      <c r="H9" s="2530"/>
      <c r="I9" s="2530"/>
      <c r="J9" s="2531"/>
      <c r="L9" s="2503" t="s">
        <v>2647</v>
      </c>
      <c r="M9" s="1117">
        <f>SUMPRODUCT((区片价!B245:B289=I2)*(区片价!C3:F3=E2)*(区片价!C245:F289))</f>
        <v>0</v>
      </c>
      <c r="N9" s="1120">
        <f>SUMPRODUCT((因素修正幅度!B245:B289=I2)*(因素修正幅度!C3:F3=E2)*(因素修正幅度!C245:F289))</f>
        <v>0</v>
      </c>
      <c r="O9" s="1453"/>
      <c r="P9" s="1453"/>
      <c r="Q9" s="1453"/>
      <c r="R9" s="1700">
        <v>8</v>
      </c>
      <c r="S9" s="1701"/>
      <c r="T9" s="1700" t="e">
        <f t="shared" si="0"/>
        <v>#DIV/0!</v>
      </c>
      <c r="U9" s="1701"/>
      <c r="V9" s="1700" t="e">
        <f t="shared" si="1"/>
        <v>#DIV/0!</v>
      </c>
      <c r="W9" s="3079" t="s">
        <v>2648</v>
      </c>
      <c r="X9" s="1709" t="s">
        <v>2649</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085"/>
      <c r="B10" s="115" t="s">
        <v>2650</v>
      </c>
      <c r="C10" s="117">
        <f>SUMIF(修正!C59:C119,C8,修正!F59:F119)</f>
        <v>0</v>
      </c>
      <c r="D10" s="117" t="s">
        <v>91</v>
      </c>
      <c r="E10" s="117" t="e">
        <f>ROUND(C11/E7,4)</f>
        <v>#DIV/0!</v>
      </c>
      <c r="F10" s="2529" t="s">
        <v>2651</v>
      </c>
      <c r="G10" s="2530"/>
      <c r="H10" s="2530"/>
      <c r="I10" s="2530"/>
      <c r="J10" s="2531"/>
      <c r="L10" s="2503" t="s">
        <v>2652</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t="e">
        <f t="shared" si="0"/>
        <v>#DIV/0!</v>
      </c>
      <c r="U10" s="1701"/>
      <c r="V10" s="1700" t="e">
        <f t="shared" si="1"/>
        <v>#DIV/0!</v>
      </c>
      <c r="W10" s="3079"/>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085"/>
      <c r="B11" s="2532" t="s">
        <v>2653</v>
      </c>
      <c r="C11" s="946">
        <f>C10/4</f>
        <v>0</v>
      </c>
      <c r="D11" s="946" t="s">
        <v>92</v>
      </c>
      <c r="E11" s="946" t="e">
        <f>ROUND(C11/E7,4)</f>
        <v>#DIV/0!</v>
      </c>
      <c r="F11" s="2533" t="s">
        <v>2654</v>
      </c>
      <c r="G11" s="2534"/>
      <c r="H11" s="2534"/>
      <c r="I11" s="2534"/>
      <c r="J11" s="2535"/>
      <c r="L11" s="2503" t="s">
        <v>2655</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t="e">
        <f t="shared" si="0"/>
        <v>#DIV/0!</v>
      </c>
      <c r="U11" s="1701"/>
      <c r="V11" s="1700" t="e">
        <f t="shared" si="1"/>
        <v>#DIV/0!</v>
      </c>
      <c r="W11" s="3079" t="s">
        <v>2656</v>
      </c>
      <c r="X11" s="1713" t="s">
        <v>2657</v>
      </c>
      <c r="Y11" s="1714">
        <f>$G$3</f>
        <v>0</v>
      </c>
      <c r="Z11" s="1714">
        <f t="shared" ref="Z11:AJ11" si="3">$G$3</f>
        <v>0</v>
      </c>
      <c r="AA11" s="1714">
        <f t="shared" si="3"/>
        <v>0</v>
      </c>
      <c r="AB11" s="1714">
        <f t="shared" si="3"/>
        <v>0</v>
      </c>
      <c r="AC11" s="1714">
        <f t="shared" si="3"/>
        <v>0</v>
      </c>
      <c r="AD11" s="1714">
        <f t="shared" si="3"/>
        <v>0</v>
      </c>
      <c r="AE11" s="1714">
        <f t="shared" si="3"/>
        <v>0</v>
      </c>
      <c r="AF11" s="1714">
        <f t="shared" si="3"/>
        <v>0</v>
      </c>
      <c r="AG11" s="1714">
        <f t="shared" si="3"/>
        <v>0</v>
      </c>
      <c r="AH11" s="1714">
        <f t="shared" si="3"/>
        <v>0</v>
      </c>
      <c r="AI11" s="1714">
        <f t="shared" si="3"/>
        <v>0</v>
      </c>
      <c r="AJ11" s="1714">
        <f t="shared" si="3"/>
        <v>0</v>
      </c>
    </row>
    <row r="12" spans="1:36" ht="25.5" thickBot="1">
      <c r="A12" s="3084" t="str">
        <f>IF(E2="住宅",2,"")</f>
        <v/>
      </c>
      <c r="B12" s="2536" t="s">
        <v>2658</v>
      </c>
      <c r="C12" s="942">
        <f>ROUND(C15*D15*E15*F15*G15*H15*I15*J15,4)</f>
        <v>1.32</v>
      </c>
      <c r="D12" s="2537" t="s">
        <v>2659</v>
      </c>
      <c r="E12" s="2538"/>
      <c r="F12" s="2538"/>
      <c r="G12" s="2539"/>
      <c r="H12" s="2539"/>
      <c r="I12" s="2539"/>
      <c r="J12" s="2540"/>
      <c r="L12" s="2541" t="s">
        <v>2660</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t="e">
        <f t="shared" si="0"/>
        <v>#DIV/0!</v>
      </c>
      <c r="U12" s="1701"/>
      <c r="V12" s="1700" t="e">
        <f t="shared" si="1"/>
        <v>#DIV/0!</v>
      </c>
      <c r="W12" s="3079"/>
      <c r="X12" s="1715" t="s">
        <v>2661</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086"/>
      <c r="B13" s="2542" t="s">
        <v>2662</v>
      </c>
      <c r="C13" s="2543" t="s">
        <v>2663</v>
      </c>
      <c r="D13" s="2544" t="s">
        <v>2664</v>
      </c>
      <c r="E13" s="2544" t="s">
        <v>2665</v>
      </c>
      <c r="F13" s="20" t="s">
        <v>2666</v>
      </c>
      <c r="G13" s="2545" t="s">
        <v>2667</v>
      </c>
      <c r="H13" s="2545" t="s">
        <v>2667</v>
      </c>
      <c r="I13" s="2545" t="s">
        <v>2667</v>
      </c>
      <c r="J13" s="2546" t="s">
        <v>2667</v>
      </c>
      <c r="L13" s="1453"/>
      <c r="M13" s="1453"/>
      <c r="N13" s="1453"/>
      <c r="O13" s="1453"/>
      <c r="P13" s="1453"/>
      <c r="Q13" s="1453"/>
      <c r="R13" s="1700">
        <v>12</v>
      </c>
      <c r="S13" s="1701"/>
      <c r="T13" s="1700" t="e">
        <f t="shared" si="0"/>
        <v>#DIV/0!</v>
      </c>
      <c r="U13" s="1701"/>
      <c r="V13" s="1700" t="e">
        <f t="shared" si="1"/>
        <v>#DIV/0!</v>
      </c>
      <c r="W13" s="3079"/>
      <c r="X13" s="1715"/>
      <c r="Y13" s="1712" t="e">
        <f>(-0.163*(Y12^2)-0.59*Y12+7617)*(10^(-4))/Y11</f>
        <v>#DIV/0!</v>
      </c>
      <c r="Z13" s="1712" t="e">
        <f t="shared" ref="Z13:AJ13" si="5">(-0.163*(Z12^2)-0.59*Z12+7617)*(10^(-4))/Z11</f>
        <v>#DIV/0!</v>
      </c>
      <c r="AA13" s="1712" t="e">
        <f t="shared" si="5"/>
        <v>#DIV/0!</v>
      </c>
      <c r="AB13" s="1712" t="e">
        <f t="shared" si="5"/>
        <v>#DIV/0!</v>
      </c>
      <c r="AC13" s="1712" t="e">
        <f t="shared" si="5"/>
        <v>#DIV/0!</v>
      </c>
      <c r="AD13" s="1712" t="e">
        <f t="shared" si="5"/>
        <v>#DIV/0!</v>
      </c>
      <c r="AE13" s="1712" t="e">
        <f t="shared" si="5"/>
        <v>#DIV/0!</v>
      </c>
      <c r="AF13" s="1712" t="e">
        <f t="shared" si="5"/>
        <v>#DIV/0!</v>
      </c>
      <c r="AG13" s="1712" t="e">
        <f t="shared" si="5"/>
        <v>#DIV/0!</v>
      </c>
      <c r="AH13" s="1712" t="e">
        <f t="shared" si="5"/>
        <v>#DIV/0!</v>
      </c>
      <c r="AI13" s="1712" t="e">
        <f t="shared" si="5"/>
        <v>#DIV/0!</v>
      </c>
      <c r="AJ13" s="1712" t="e">
        <f t="shared" si="5"/>
        <v>#DIV/0!</v>
      </c>
    </row>
    <row r="14" spans="1:36" ht="15">
      <c r="A14" s="3086"/>
      <c r="B14" s="2547"/>
      <c r="C14" s="2548" t="s">
        <v>2668</v>
      </c>
      <c r="D14" s="2549" t="s">
        <v>2669</v>
      </c>
      <c r="E14" s="2549" t="s">
        <v>2669</v>
      </c>
      <c r="F14" s="2550" t="s">
        <v>2670</v>
      </c>
      <c r="G14" s="2551" t="s">
        <v>2671</v>
      </c>
      <c r="H14" s="2552"/>
      <c r="I14" s="2553"/>
      <c r="J14" s="2554"/>
      <c r="L14" s="1453"/>
      <c r="M14" s="1453"/>
      <c r="N14" s="1453"/>
      <c r="O14" s="1453"/>
      <c r="P14" s="1453"/>
      <c r="Q14" s="1453"/>
      <c r="R14" s="1700">
        <v>13</v>
      </c>
      <c r="S14" s="1701"/>
      <c r="T14" s="1700" t="e">
        <f t="shared" si="0"/>
        <v>#DIV/0!</v>
      </c>
      <c r="U14" s="1701"/>
      <c r="V14" s="1700" t="e">
        <f t="shared" si="1"/>
        <v>#DIV/0!</v>
      </c>
      <c r="W14" s="1704"/>
      <c r="X14" s="1704"/>
      <c r="Y14" s="1704"/>
      <c r="Z14" s="1704"/>
      <c r="AA14" s="1704"/>
      <c r="AB14" s="1704"/>
      <c r="AC14" s="1705"/>
      <c r="AD14" s="1706"/>
      <c r="AE14" s="1706"/>
      <c r="AF14" s="1706"/>
      <c r="AG14" s="1706"/>
      <c r="AH14" s="1706"/>
      <c r="AI14" s="1706"/>
      <c r="AJ14" s="1707"/>
    </row>
    <row r="15" spans="1:36" ht="15.75" thickBot="1">
      <c r="A15" s="3087"/>
      <c r="B15" s="2555" t="s">
        <v>2672</v>
      </c>
      <c r="C15" s="150">
        <f>IF(C14="有",1.1,1)</f>
        <v>1.1000000000000001</v>
      </c>
      <c r="D15" s="150">
        <f>IF(D14="有",1.1,1)</f>
        <v>1</v>
      </c>
      <c r="E15" s="150">
        <f>IF(E14="有",1.1,1)</f>
        <v>1</v>
      </c>
      <c r="F15" s="150">
        <f>IF(F14="500米范围内",1.2,IF(F14="500-1000米",1.1,1))</f>
        <v>1.2</v>
      </c>
      <c r="G15" s="974">
        <v>1</v>
      </c>
      <c r="H15" s="974">
        <v>1</v>
      </c>
      <c r="I15" s="974">
        <v>1</v>
      </c>
      <c r="J15" s="975">
        <v>1</v>
      </c>
      <c r="L15" s="2556" t="s">
        <v>2673</v>
      </c>
      <c r="M15" s="943" t="s">
        <v>2674</v>
      </c>
      <c r="N15" s="943" t="s">
        <v>2675</v>
      </c>
      <c r="O15" s="943" t="s">
        <v>2676</v>
      </c>
      <c r="P15" s="2557" t="s">
        <v>2677</v>
      </c>
      <c r="Q15" s="1453"/>
      <c r="R15" s="1700">
        <v>14</v>
      </c>
      <c r="S15" s="1701"/>
      <c r="T15" s="1700" t="e">
        <f t="shared" si="0"/>
        <v>#DIV/0!</v>
      </c>
      <c r="U15" s="1701"/>
      <c r="V15" s="1700" t="e">
        <f t="shared" si="1"/>
        <v>#DIV/0!</v>
      </c>
      <c r="W15" s="1704"/>
      <c r="X15" s="1704"/>
      <c r="Y15" s="1704"/>
      <c r="Z15" s="1704"/>
      <c r="AA15" s="1704"/>
      <c r="AB15" s="1704"/>
      <c r="AC15" s="1705"/>
      <c r="AD15" s="1706"/>
      <c r="AE15" s="1706"/>
      <c r="AF15" s="1706"/>
      <c r="AG15" s="1706"/>
      <c r="AH15" s="1706"/>
      <c r="AI15" s="1706"/>
      <c r="AJ15" s="1707"/>
    </row>
    <row r="16" spans="1:36" ht="24">
      <c r="A16" s="3084" t="b">
        <f>IF(E2="办公",2,IF(E2="工业",2,IF(E2="住宅",3,IF(E2="商业",IF(C8="不临58条商业街",2,3)))))</f>
        <v>0</v>
      </c>
      <c r="B16" s="2523" t="s">
        <v>2678</v>
      </c>
      <c r="C16" s="1875" t="e">
        <f>ROUND(SUM(G17:J17)/C17,0)</f>
        <v>#DIV/0!</v>
      </c>
      <c r="D16" s="2558" t="s">
        <v>2679</v>
      </c>
      <c r="E16" s="2559"/>
      <c r="F16" s="2560"/>
      <c r="G16" s="2561"/>
      <c r="H16" s="2561"/>
      <c r="I16" s="2561"/>
      <c r="J16" s="2562"/>
      <c r="L16" s="1451" t="s">
        <v>2680</v>
      </c>
      <c r="M16" s="945">
        <v>0.25</v>
      </c>
      <c r="N16" s="945">
        <v>0.2</v>
      </c>
      <c r="O16" s="945">
        <v>0.15</v>
      </c>
      <c r="P16" s="1452">
        <v>0.1</v>
      </c>
      <c r="Q16" s="1453"/>
      <c r="R16" s="1700">
        <v>15</v>
      </c>
      <c r="S16" s="1701"/>
      <c r="T16" s="1700" t="e">
        <f t="shared" si="0"/>
        <v>#DIV/0!</v>
      </c>
      <c r="U16" s="1701"/>
      <c r="V16" s="1700" t="e">
        <f t="shared" si="1"/>
        <v>#DIV/0!</v>
      </c>
      <c r="W16" s="1704"/>
      <c r="X16" s="1704"/>
      <c r="Y16" s="1704"/>
      <c r="Z16" s="1704"/>
      <c r="AA16" s="1704"/>
      <c r="AB16" s="1704"/>
      <c r="AC16" s="1705"/>
      <c r="AD16" s="1706"/>
      <c r="AE16" s="1706"/>
      <c r="AF16" s="1706"/>
      <c r="AG16" s="1706"/>
      <c r="AH16" s="1706"/>
      <c r="AI16" s="1706"/>
      <c r="AJ16" s="1707"/>
    </row>
    <row r="17" spans="1:37" ht="13.5" thickBot="1">
      <c r="A17" s="3085"/>
      <c r="B17" s="2563" t="s">
        <v>2681</v>
      </c>
      <c r="C17" s="947">
        <f>SUMPRODUCT((修正!A2:A5=E2)*(修正!B1:M1=G2)*(修正!B2:M5))</f>
        <v>0</v>
      </c>
      <c r="D17" s="2564" t="s">
        <v>2682</v>
      </c>
      <c r="E17" s="946" t="str">
        <f>IF(OR(G2="八级",G2="九级",G2="十级",G2="十一级",G2="十二级"),"五通一平","七通一平")</f>
        <v>七通一平</v>
      </c>
      <c r="F17" s="947" t="s">
        <v>2683</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2684</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6"/>
      <c r="AH17" s="2496"/>
      <c r="AI17" s="2496"/>
      <c r="AJ17" s="2496"/>
    </row>
    <row r="18" spans="1:37" s="2515" customFormat="1" ht="15.75" thickBot="1">
      <c r="A18" s="2565" t="s">
        <v>2685</v>
      </c>
      <c r="B18" s="2566" t="s">
        <v>2686</v>
      </c>
      <c r="C18" s="949">
        <f>SUMIF(修正!C18:C39,E3,修正!E18:E39)</f>
        <v>0</v>
      </c>
      <c r="D18" s="2567"/>
      <c r="E18" s="2568"/>
      <c r="F18" s="2569"/>
      <c r="G18" s="2570"/>
      <c r="H18" s="2570"/>
      <c r="I18" s="2570"/>
      <c r="J18" s="2571"/>
      <c r="K18" s="2572"/>
      <c r="O18" s="1453"/>
      <c r="P18" s="1453"/>
      <c r="Q18" s="1453"/>
      <c r="R18" s="1453"/>
      <c r="S18" s="1453"/>
      <c r="T18" s="1453"/>
      <c r="U18" s="1453"/>
      <c r="V18" s="1453"/>
      <c r="W18" s="1453"/>
      <c r="X18" s="1453"/>
      <c r="Y18" s="1453"/>
      <c r="Z18" s="1453"/>
      <c r="AA18" s="1453"/>
      <c r="AB18" s="1453"/>
      <c r="AC18" s="1453"/>
      <c r="AD18" s="1453"/>
      <c r="AE18" s="1454"/>
      <c r="AF18" s="1454"/>
      <c r="AG18" s="2573"/>
      <c r="AH18" s="2573"/>
      <c r="AI18" s="2573"/>
    </row>
    <row r="19" spans="1:37" s="2515" customFormat="1" ht="27.75" thickBot="1">
      <c r="A19" s="2565" t="s">
        <v>2687</v>
      </c>
      <c r="B19" s="2566" t="s">
        <v>2688</v>
      </c>
      <c r="C19" s="950" t="e">
        <f>ROUND(IF(H19="按公示增长率计算",SUMPRODUCT((地价!A3:A23=YEAR(G19)&amp;"-"&amp;ROUNDUP(MONTH(G19)/3,0))*(地价!X2:AB2=E2)*(地价!X3:AB23)),IF(H19="地价指数",M20/M19,(1+I19)^O19)),4)</f>
        <v>#DIV/0!</v>
      </c>
      <c r="D19" s="2574" t="s">
        <v>2689</v>
      </c>
      <c r="E19" s="951">
        <v>41640</v>
      </c>
      <c r="F19" s="2574" t="s">
        <v>2690</v>
      </c>
      <c r="G19" s="952">
        <f>'数据-取费表'!B2</f>
        <v>43328</v>
      </c>
      <c r="H19" s="2575" t="s">
        <v>2691</v>
      </c>
      <c r="I19" s="953" t="str">
        <f>IF(H19="季度增幅（自定义）",SUMIF(N21:N24,E2,O21:O24),"")</f>
        <v/>
      </c>
      <c r="J19" s="2571"/>
      <c r="K19" s="2572"/>
      <c r="L19" s="2576" t="s">
        <v>2692</v>
      </c>
      <c r="M19" s="1816">
        <f>ROUND(SUMIF(地价!B2:F2,E2,地价!B23:F23),0)</f>
        <v>0</v>
      </c>
      <c r="N19" s="1457" t="s">
        <v>2693</v>
      </c>
      <c r="O19" s="954">
        <f>ROUNDDOWN(DATEDIF(E19,G19,"M")/3,0)</f>
        <v>18</v>
      </c>
      <c r="P19" s="1454"/>
      <c r="R19" s="1453"/>
      <c r="S19" s="1453"/>
      <c r="T19" s="1453"/>
      <c r="U19" s="1453"/>
      <c r="V19" s="1453"/>
      <c r="W19" s="1453"/>
      <c r="X19" s="1453"/>
      <c r="Y19" s="1453"/>
      <c r="Z19" s="1453"/>
      <c r="AA19" s="1453"/>
      <c r="AB19" s="1453"/>
      <c r="AC19" s="1453"/>
      <c r="AD19" s="1453"/>
      <c r="AE19" s="2572"/>
      <c r="AF19" s="2577"/>
      <c r="AG19" s="2578"/>
      <c r="AH19" s="2573"/>
      <c r="AI19" s="2579"/>
      <c r="AJ19" s="2579"/>
      <c r="AK19" s="2579"/>
    </row>
    <row r="20" spans="1:37" s="2515" customFormat="1" ht="27.75" thickBot="1">
      <c r="A20" s="2580" t="s">
        <v>2694</v>
      </c>
      <c r="B20" s="2581" t="s">
        <v>2695</v>
      </c>
      <c r="C20" s="955" t="e">
        <f>ROUND(POWER(1+G20,J20-I20)*(POWER(1+G20,I20)-1)/(POWER(1+G20,J20)-1),4)</f>
        <v>#DIV/0!</v>
      </c>
      <c r="D20" s="2582" t="s">
        <v>2696</v>
      </c>
      <c r="E20" s="1846">
        <f ca="1">存贷款利率!D4/100</f>
        <v>4.3499999999999997E-2</v>
      </c>
      <c r="F20" s="2582" t="s">
        <v>2684</v>
      </c>
      <c r="G20" s="961">
        <f>SUMIF(M15:P15,E2,M17:P17)</f>
        <v>0</v>
      </c>
      <c r="H20" s="2582" t="s">
        <v>2697</v>
      </c>
      <c r="I20" s="962">
        <f>'数据-取费表'!B13</f>
        <v>61.18</v>
      </c>
      <c r="J20" s="963">
        <f>IF(E2="住宅",70,IF(E2="商业",40,50))</f>
        <v>50</v>
      </c>
      <c r="K20" s="2572"/>
      <c r="L20" s="2583" t="s">
        <v>2698</v>
      </c>
      <c r="M20" s="1817">
        <f>ROUND(SUMPRODUCT((地价!A4:A23=YEAR(G19)&amp;"-"&amp;ROUNDUP(MONTH(G19)/3,0))*(地价!B2:F2=E2)*(地价!B4:F23)),0)</f>
        <v>0</v>
      </c>
      <c r="N20" s="2584" t="s">
        <v>2699</v>
      </c>
      <c r="O20" s="2585" t="s">
        <v>2700</v>
      </c>
      <c r="P20" s="2586" t="s">
        <v>2701</v>
      </c>
      <c r="R20" s="1453"/>
      <c r="S20" s="1453"/>
      <c r="T20" s="1453"/>
      <c r="U20" s="1453"/>
      <c r="V20" s="1453"/>
      <c r="W20" s="1453"/>
      <c r="X20" s="1453"/>
      <c r="Y20" s="1453"/>
      <c r="Z20" s="1453"/>
      <c r="AA20" s="1453"/>
      <c r="AB20" s="1453"/>
      <c r="AC20" s="1453"/>
      <c r="AD20" s="1453"/>
      <c r="AE20" s="2572"/>
      <c r="AF20" s="2572"/>
    </row>
    <row r="21" spans="1:37" s="2515" customFormat="1" ht="14.25">
      <c r="A21" s="2587" t="s">
        <v>2702</v>
      </c>
      <c r="B21" s="2588" t="s">
        <v>2703</v>
      </c>
      <c r="C21" s="964" t="b">
        <f>IF(B21="容积率修正",IF(G3&lt;=10,D22,J22),C23)</f>
        <v>0</v>
      </c>
      <c r="D21" s="2589"/>
      <c r="E21" s="2589"/>
      <c r="F21" s="2589"/>
      <c r="G21" s="2589"/>
      <c r="H21" s="2589"/>
      <c r="I21" s="2589"/>
      <c r="J21" s="2590"/>
      <c r="K21" s="2572"/>
      <c r="N21" s="2591" t="s">
        <v>2704</v>
      </c>
      <c r="O21" s="1655"/>
      <c r="P21" s="1656">
        <f>SUMPRODUCT((地价!A3:A23=YEAR(G19)&amp;"-"&amp;ROUNDUP(MONTH(G19)/3,0))*(地价!AD2:AH2=N21)*(地价!AD3:AH23))</f>
        <v>1.54E-2</v>
      </c>
      <c r="R21" s="1453"/>
      <c r="S21" s="1453"/>
      <c r="T21" s="1453"/>
      <c r="U21" s="1453"/>
      <c r="V21" s="1453"/>
      <c r="W21" s="1453"/>
      <c r="X21" s="1453"/>
      <c r="Y21" s="1453"/>
      <c r="Z21" s="1453"/>
      <c r="AA21" s="1453"/>
      <c r="AB21" s="1453"/>
      <c r="AC21" s="1453"/>
      <c r="AD21" s="1453"/>
      <c r="AE21" s="2572"/>
      <c r="AF21" s="2572"/>
    </row>
    <row r="22" spans="1:37" s="2515" customFormat="1" ht="14.25">
      <c r="A22" s="2592">
        <v>1</v>
      </c>
      <c r="B22" s="2593" t="s">
        <v>2705</v>
      </c>
      <c r="C22" s="1889" t="s">
        <v>2706</v>
      </c>
      <c r="D22" s="1889" t="b">
        <f>IF(E22=G22,F22,IF(G3&lt;=10,ROUND(F22+(H22-F22)*(G3-E22)/(G22-E22),4),"——"))</f>
        <v>0</v>
      </c>
      <c r="E22" s="939">
        <f>ROUNDDOWN(G3,1)</f>
        <v>0</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5" t="str">
        <f>IF(G3&gt;10,D113,"——")</f>
        <v>——</v>
      </c>
      <c r="K22" s="2572"/>
      <c r="N22" s="2591" t="s">
        <v>2707</v>
      </c>
      <c r="O22" s="1655"/>
      <c r="P22" s="1656">
        <f>SUMPRODUCT((地价!A3:A23=YEAR(G19)&amp;"-"&amp;ROUNDUP(MONTH(G19)/3,0))*(地价!AD2:AH2=N22)*(地价!AD3:AH23))</f>
        <v>1.54E-2</v>
      </c>
      <c r="R22" s="1453"/>
      <c r="S22" s="1453"/>
      <c r="T22" s="1453"/>
      <c r="U22" s="1453"/>
      <c r="V22" s="1453"/>
      <c r="W22" s="1453"/>
      <c r="X22" s="1453"/>
      <c r="Y22" s="1453"/>
      <c r="Z22" s="1453"/>
      <c r="AA22" s="1453"/>
      <c r="AB22" s="1453"/>
      <c r="AC22" s="1453"/>
      <c r="AD22" s="1453"/>
      <c r="AE22" s="2572"/>
      <c r="AF22" s="2572"/>
    </row>
    <row r="23" spans="1:37" ht="27">
      <c r="A23" s="2592">
        <v>2</v>
      </c>
      <c r="B23" s="2593" t="s">
        <v>2708</v>
      </c>
      <c r="C23" s="956" t="e">
        <f>ROUND(IF(G3&gt;1,IF(I3&lt;7,SUMPRODUCT((B93:B98=I3)*(C92:N92=G2)*(C93:N98)),SUMIF(C92:N92,G2,C100:N100)),IF(I3&lt;7,SUMPRODUCT((B102:B107=I3)*(C92:N92=G2)*(C102:N107)),SUMIF(C92:N92,G2,C109:N109))),4)</f>
        <v>#DIV/0!</v>
      </c>
      <c r="D23" s="2552"/>
      <c r="E23" s="2552"/>
      <c r="F23" s="2594"/>
      <c r="G23" s="2595"/>
      <c r="H23" s="2596"/>
      <c r="I23" s="2597"/>
      <c r="J23" s="2598"/>
      <c r="N23" s="2591" t="s">
        <v>2709</v>
      </c>
      <c r="O23" s="1655"/>
      <c r="P23" s="1656">
        <f>SUMPRODUCT((地价!A3:A23=YEAR(G19)&amp;"-"&amp;ROUNDUP(MONTH(G19)/3,0))*(地价!AD2:AH2=N23)*(地价!AD3:AH23))</f>
        <v>2.4500000000000001E-2</v>
      </c>
      <c r="R23" s="1453"/>
      <c r="S23" s="1453"/>
      <c r="T23" s="1453"/>
      <c r="U23" s="1453"/>
      <c r="V23" s="1453"/>
      <c r="W23" s="1453"/>
      <c r="X23" s="1453"/>
      <c r="Y23" s="1453"/>
      <c r="Z23" s="1453"/>
      <c r="AA23" s="1453"/>
      <c r="AB23" s="1453"/>
      <c r="AC23" s="1453"/>
      <c r="AD23" s="1453"/>
      <c r="AE23" s="1454"/>
      <c r="AF23" s="1454"/>
      <c r="AK23" s="2573"/>
    </row>
    <row r="24" spans="1:37" s="2515" customFormat="1" ht="15.75" thickBot="1">
      <c r="A24" s="2599" t="s">
        <v>2710</v>
      </c>
      <c r="B24" s="2600" t="s">
        <v>2711</v>
      </c>
      <c r="C24" s="966">
        <f>SUMIF(A46:A88,E2,B46:B88)</f>
        <v>0</v>
      </c>
      <c r="D24" s="2601"/>
      <c r="E24" s="2602"/>
      <c r="F24" s="2602"/>
      <c r="G24" s="2602"/>
      <c r="H24" s="2602"/>
      <c r="I24" s="2602"/>
      <c r="J24" s="2603"/>
      <c r="K24" s="2572"/>
      <c r="N24" s="2604" t="s">
        <v>2712</v>
      </c>
      <c r="O24" s="1657"/>
      <c r="P24" s="1658">
        <f>SUMPRODUCT((地价!A3:A23=YEAR(G19)&amp;"-"&amp;ROUNDUP(MONTH(G19)/3,0))*(地价!AD2:AH2=N24)*(地价!AD3:AH23))</f>
        <v>1.41E-2</v>
      </c>
      <c r="R24" s="1453"/>
      <c r="S24" s="1453"/>
      <c r="T24" s="1453"/>
      <c r="U24" s="1453"/>
      <c r="V24" s="1453"/>
      <c r="W24" s="1453"/>
      <c r="X24" s="1453"/>
      <c r="Y24" s="1453"/>
      <c r="Z24" s="1453"/>
      <c r="AA24" s="1453"/>
      <c r="AB24" s="1453"/>
      <c r="AC24" s="1453"/>
      <c r="AD24" s="1453"/>
      <c r="AE24" s="2572"/>
      <c r="AF24" s="2572"/>
    </row>
    <row r="25" spans="1:37" ht="15" thickBot="1">
      <c r="A25" s="2580" t="s">
        <v>2713</v>
      </c>
      <c r="B25" s="2605" t="s">
        <v>2714</v>
      </c>
      <c r="C25" s="957"/>
      <c r="D25" s="2526"/>
      <c r="E25" s="2526"/>
      <c r="F25" s="2606"/>
      <c r="G25" s="2526"/>
      <c r="H25" s="2526"/>
      <c r="I25" s="2526"/>
      <c r="J25" s="2527"/>
      <c r="L25" s="1453"/>
      <c r="M25" s="1453"/>
      <c r="N25" s="2607" t="s">
        <v>2715</v>
      </c>
      <c r="O25" s="1659"/>
      <c r="P25" s="1658">
        <f>SUMPRODUCT((地价!A3:A23=YEAR(G19)&amp;"-"&amp;ROUNDUP(MONTH(G19)/3,0))*(地价!AD2:AH2=N25)*(地价!AD3:AH23))</f>
        <v>2.23E-2</v>
      </c>
      <c r="R25" s="1453"/>
      <c r="S25" s="1453"/>
      <c r="T25" s="1453"/>
      <c r="U25" s="1453"/>
      <c r="V25" s="1453"/>
      <c r="W25" s="1453"/>
      <c r="X25" s="1453"/>
      <c r="Y25" s="1453"/>
      <c r="Z25" s="1453"/>
      <c r="AA25" s="1453"/>
      <c r="AB25" s="1453"/>
      <c r="AC25" s="1453"/>
      <c r="AD25" s="1453"/>
      <c r="AE25" s="1454"/>
      <c r="AF25" s="1454"/>
    </row>
    <row r="26" spans="1:37" ht="15">
      <c r="A26" s="2608"/>
      <c r="B26" s="2593" t="s">
        <v>2716</v>
      </c>
      <c r="C26" s="123" t="e">
        <f>E29+SUM(E33:E39)</f>
        <v>#DIV/0!</v>
      </c>
      <c r="D26" s="2609"/>
      <c r="E26" s="2552"/>
      <c r="F26" s="2610"/>
      <c r="G26" s="2552"/>
      <c r="H26" s="2552"/>
      <c r="I26" s="2552"/>
      <c r="J26" s="2611"/>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8"/>
      <c r="B27" s="2612" t="s">
        <v>2717</v>
      </c>
      <c r="C27" s="958" t="e">
        <f>E30+SUM(I33:I39)</f>
        <v>#DIV/0!</v>
      </c>
      <c r="D27" s="2613"/>
      <c r="E27" s="2614"/>
      <c r="F27" s="2615"/>
      <c r="G27" s="2614"/>
      <c r="H27" s="2614"/>
      <c r="I27" s="2614"/>
      <c r="J27" s="2616"/>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0"/>
      <c r="B28" s="2617" t="s">
        <v>2718</v>
      </c>
      <c r="C28" s="2618" t="s">
        <v>2719</v>
      </c>
      <c r="D28" s="2618" t="s">
        <v>2720</v>
      </c>
      <c r="E28" s="2619" t="s">
        <v>2721</v>
      </c>
      <c r="F28" s="2620"/>
      <c r="G28" s="2539"/>
      <c r="H28" s="2539"/>
      <c r="I28" s="2539"/>
      <c r="J28" s="2540"/>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1"/>
      <c r="B29" s="2622" t="s">
        <v>2722</v>
      </c>
      <c r="C29" s="123" t="e">
        <f>ROUND(C5*C18*C19*C20*C21*C24,0)</f>
        <v>#DIV/0!</v>
      </c>
      <c r="D29" s="2623"/>
      <c r="E29" s="970" t="e">
        <f>ROUND(C29*D29,0)</f>
        <v>#DIV/0!</v>
      </c>
      <c r="F29" s="2624" t="s">
        <v>2723</v>
      </c>
      <c r="G29" s="2625"/>
      <c r="H29" s="2625"/>
      <c r="I29" s="2625"/>
      <c r="J29" s="2626"/>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6"/>
      <c r="AH29" s="2496"/>
      <c r="AI29" s="2496"/>
      <c r="AJ29" s="2496"/>
    </row>
    <row r="30" spans="1:37" ht="25.5" thickBot="1">
      <c r="A30" s="2627"/>
      <c r="B30" s="2628" t="s">
        <v>2724</v>
      </c>
      <c r="C30" s="150" t="e">
        <f>ROUND(IF(E2="工业",C29*M39,C29*M38),0)</f>
        <v>#DIV/0!</v>
      </c>
      <c r="D30" s="2629"/>
      <c r="E30" s="970" t="e">
        <f>ROUND(C30*D30,0)</f>
        <v>#DIV/0!</v>
      </c>
      <c r="F30" s="2630" t="s">
        <v>2725</v>
      </c>
      <c r="G30" s="2631"/>
      <c r="H30" s="2631"/>
      <c r="I30" s="2631"/>
      <c r="J30" s="2632"/>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6"/>
      <c r="AH30" s="2496"/>
      <c r="AI30" s="2496"/>
      <c r="AJ30" s="2496"/>
    </row>
    <row r="31" spans="1:37">
      <c r="A31" s="2633"/>
      <c r="B31" s="2634" t="s">
        <v>2726</v>
      </c>
      <c r="C31" s="2635" t="s">
        <v>2727</v>
      </c>
      <c r="D31" s="2539"/>
      <c r="E31" s="2635"/>
      <c r="F31" s="2635"/>
      <c r="G31" s="2537" t="s">
        <v>2728</v>
      </c>
      <c r="H31" s="2539"/>
      <c r="I31" s="2636"/>
      <c r="J31" s="2540"/>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6"/>
      <c r="AH31" s="2496"/>
      <c r="AI31" s="2496"/>
      <c r="AJ31" s="2496"/>
    </row>
    <row r="32" spans="1:37" ht="24">
      <c r="A32" s="2621"/>
      <c r="B32" s="2637"/>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6"/>
      <c r="AH32" s="2496"/>
      <c r="AI32" s="2496"/>
      <c r="AJ32" s="2496"/>
    </row>
    <row r="33" spans="1:37">
      <c r="A33" s="3096" t="s">
        <v>2730</v>
      </c>
      <c r="B33" s="2638" t="s">
        <v>2731</v>
      </c>
      <c r="C33" s="123" t="e">
        <f>ROUND(D5*C19*C20*C24*F33,0)</f>
        <v>#DIV/0!</v>
      </c>
      <c r="D33" s="2623"/>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39"/>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097"/>
      <c r="B34" s="2543" t="s">
        <v>2732</v>
      </c>
      <c r="C34" s="123" t="e">
        <f>ROUND(D5*C19*C20*C24*F34,0)</f>
        <v>#DIV/0!</v>
      </c>
      <c r="D34" s="2623"/>
      <c r="E34" s="117" t="e">
        <f t="shared" si="6"/>
        <v>#DIV/0!</v>
      </c>
      <c r="F34" s="117">
        <f>SUMIF(修正!A45:A56,G2,修正!C45:C56)</f>
        <v>0.4</v>
      </c>
      <c r="G34" s="117" t="e">
        <f>ROUND(IF(E2="工业",C34*$M$39,C34*$M$38),0)</f>
        <v>#DIV/0!</v>
      </c>
      <c r="H34" s="117">
        <f t="shared" ref="H34:H39" si="9">D34</f>
        <v>0</v>
      </c>
      <c r="I34" s="117" t="e">
        <f t="shared" si="8"/>
        <v>#DIV/0!</v>
      </c>
      <c r="J34" s="2639"/>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097"/>
      <c r="B35" s="2543" t="s">
        <v>2733</v>
      </c>
      <c r="C35" s="123" t="e">
        <f>ROUND(D5*C19*C20*C24*F35,0)</f>
        <v>#DIV/0!</v>
      </c>
      <c r="D35" s="2623"/>
      <c r="E35" s="117" t="e">
        <f t="shared" si="6"/>
        <v>#DIV/0!</v>
      </c>
      <c r="F35" s="117">
        <f>SUMIF(修正!A45:A56,G2,修正!D45:D56)</f>
        <v>0.28000000000000003</v>
      </c>
      <c r="G35" s="117" t="e">
        <f>ROUND(IF(E2="工业",C35*$M$39,C35*$M$38),0)</f>
        <v>#DIV/0!</v>
      </c>
      <c r="H35" s="117">
        <f t="shared" si="9"/>
        <v>0</v>
      </c>
      <c r="I35" s="117" t="e">
        <f t="shared" si="8"/>
        <v>#DIV/0!</v>
      </c>
      <c r="J35" s="2639"/>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098"/>
      <c r="B36" s="2543" t="s">
        <v>2734</v>
      </c>
      <c r="C36" s="123" t="e">
        <f>ROUND(D5*C19*C20*C24*F36,0)</f>
        <v>#DIV/0!</v>
      </c>
      <c r="D36" s="2623"/>
      <c r="E36" s="117" t="e">
        <f t="shared" si="6"/>
        <v>#DIV/0!</v>
      </c>
      <c r="F36" s="117">
        <f>SUMIF(修正!A45:A56,G2,修正!E45:E56)</f>
        <v>0.25</v>
      </c>
      <c r="G36" s="117" t="e">
        <f>ROUND(IF(E2="工业",C36*$M$39,C36*$M$38),0)</f>
        <v>#DIV/0!</v>
      </c>
      <c r="H36" s="117">
        <f t="shared" si="9"/>
        <v>0</v>
      </c>
      <c r="I36" s="117" t="e">
        <f t="shared" si="8"/>
        <v>#DIV/0!</v>
      </c>
      <c r="J36" s="2639"/>
      <c r="L36" s="2640"/>
      <c r="M36" s="2640"/>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1"/>
      <c r="B37" s="2543" t="s">
        <v>2735</v>
      </c>
      <c r="C37" s="117" t="e">
        <f>ROUND(C5*C19*C20*C24*F37,0)</f>
        <v>#DIV/0!</v>
      </c>
      <c r="D37" s="2623"/>
      <c r="E37" s="117" t="e">
        <f t="shared" si="6"/>
        <v>#DIV/0!</v>
      </c>
      <c r="F37" s="123">
        <f>SUMIF(修正!A45:A56,G2,修正!F45:F56)</f>
        <v>0.25</v>
      </c>
      <c r="G37" s="117" t="e">
        <f>ROUND(IF(E2="工业",C37*$M$39,C37*$M$38),0)</f>
        <v>#DIV/0!</v>
      </c>
      <c r="H37" s="117">
        <f t="shared" si="9"/>
        <v>0</v>
      </c>
      <c r="I37" s="117" t="e">
        <f t="shared" si="8"/>
        <v>#DIV/0!</v>
      </c>
      <c r="J37" s="2639"/>
      <c r="L37" s="2642" t="s">
        <v>2736</v>
      </c>
      <c r="M37" s="2527"/>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1"/>
      <c r="B38" s="2543" t="s">
        <v>2737</v>
      </c>
      <c r="C38" s="117" t="e">
        <f>ROUND(C5*C19*C20*C24*F38,0)</f>
        <v>#DIV/0!</v>
      </c>
      <c r="D38" s="2623"/>
      <c r="E38" s="117" t="e">
        <f t="shared" si="6"/>
        <v>#DIV/0!</v>
      </c>
      <c r="F38" s="123">
        <f>SUMIF(修正!A45:A56,G2,修正!G45:G56)</f>
        <v>0.25</v>
      </c>
      <c r="G38" s="117" t="e">
        <f>ROUND(IF(E2="工业",C38*$M$39,C38*$M$38),0)</f>
        <v>#DIV/0!</v>
      </c>
      <c r="H38" s="117">
        <f t="shared" si="9"/>
        <v>0</v>
      </c>
      <c r="I38" s="117" t="e">
        <f t="shared" si="8"/>
        <v>#DIV/0!</v>
      </c>
      <c r="J38" s="2639"/>
      <c r="L38" s="2643" t="s">
        <v>2738</v>
      </c>
      <c r="M38" s="2644">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7"/>
      <c r="B39" s="2645" t="s">
        <v>2739</v>
      </c>
      <c r="C39" s="150" t="e">
        <f>ROUND(C5*C19*C20*C24*F39,0)</f>
        <v>#DIV/0!</v>
      </c>
      <c r="D39" s="2629"/>
      <c r="E39" s="150" t="e">
        <f t="shared" si="6"/>
        <v>#DIV/0!</v>
      </c>
      <c r="F39" s="959">
        <f>SUMIF(修正!A45:A56,G2,修正!H45:H56)</f>
        <v>0.2</v>
      </c>
      <c r="G39" s="150" t="e">
        <f>ROUND(IF(E2="工业",C39*$M$39,C39*$M$38),0)</f>
        <v>#DIV/0!</v>
      </c>
      <c r="H39" s="150">
        <f t="shared" si="9"/>
        <v>0</v>
      </c>
      <c r="I39" s="150" t="e">
        <f t="shared" si="8"/>
        <v>#DIV/0!</v>
      </c>
      <c r="J39" s="2646"/>
      <c r="L39" s="2647" t="s">
        <v>2677</v>
      </c>
      <c r="M39" s="2648">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0"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49"/>
      <c r="AH40" s="2649"/>
      <c r="AI40" s="2649"/>
      <c r="AJ40" s="2649"/>
    </row>
    <row r="41" spans="1:37" s="2650" customFormat="1">
      <c r="A41" s="1454"/>
      <c r="B41" s="2651"/>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49"/>
      <c r="AH41" s="2649"/>
      <c r="AI41" s="2649"/>
      <c r="AJ41" s="2649"/>
    </row>
    <row r="42" spans="1:37" s="2650" customFormat="1">
      <c r="A42" s="1454"/>
      <c r="B42" s="2651"/>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49"/>
      <c r="AH42" s="2649"/>
      <c r="AI42" s="2649"/>
      <c r="AJ42" s="2649"/>
    </row>
    <row r="43" spans="1:37" s="2650" customFormat="1">
      <c r="A43" s="1454"/>
      <c r="B43" s="2651"/>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49"/>
      <c r="AH43" s="2649"/>
      <c r="AI43" s="2649"/>
      <c r="AJ43" s="2649"/>
    </row>
    <row r="44" spans="1:37" s="2650" customFormat="1">
      <c r="A44" s="1454"/>
      <c r="B44" s="2651"/>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49"/>
      <c r="AH44" s="2649"/>
      <c r="AI44" s="2649"/>
      <c r="AJ44" s="2649"/>
    </row>
    <row r="45" spans="1:37" s="2650" customFormat="1" ht="15.75" thickBot="1">
      <c r="A45" s="2652" t="s">
        <v>2740</v>
      </c>
      <c r="B45" s="2653"/>
      <c r="C45" s="9"/>
      <c r="D45" s="9"/>
      <c r="E45" s="9"/>
      <c r="F45" s="7"/>
      <c r="G45" s="9"/>
      <c r="H45" s="7"/>
      <c r="I45" s="9"/>
      <c r="J45" s="9"/>
      <c r="K45" s="9"/>
      <c r="L45" s="9"/>
      <c r="M45" s="9"/>
      <c r="N45" s="2494"/>
      <c r="O45" s="1453"/>
      <c r="P45" s="1453"/>
      <c r="Q45" s="1453"/>
      <c r="R45" s="1453"/>
      <c r="S45" s="1453"/>
      <c r="T45" s="1453"/>
      <c r="U45" s="1453"/>
      <c r="V45" s="1453"/>
      <c r="W45" s="1453"/>
      <c r="X45" s="1453"/>
      <c r="Y45" s="1453"/>
      <c r="Z45" s="1454"/>
      <c r="AA45" s="1454"/>
      <c r="AB45" s="1454"/>
      <c r="AC45" s="1454"/>
      <c r="AD45" s="1454"/>
      <c r="AE45" s="1454"/>
      <c r="AF45" s="1454"/>
      <c r="AG45" s="2649"/>
      <c r="AH45" s="2649"/>
      <c r="AI45" s="2649"/>
      <c r="AJ45" s="2649"/>
    </row>
    <row r="46" spans="1:37" s="2650" customFormat="1" ht="15">
      <c r="A46" s="2654" t="s">
        <v>2741</v>
      </c>
      <c r="B46" s="2655">
        <f>1+E48</f>
        <v>1</v>
      </c>
      <c r="C46" s="2656"/>
      <c r="D46" s="815"/>
      <c r="E46" s="816"/>
      <c r="F46" s="2657"/>
      <c r="G46" s="7"/>
      <c r="H46" s="9"/>
      <c r="I46" s="9"/>
      <c r="J46" s="9"/>
      <c r="K46" s="9"/>
      <c r="L46" s="9"/>
      <c r="M46" s="2494"/>
      <c r="N46" s="2658"/>
      <c r="O46" s="1453"/>
      <c r="P46" s="1453"/>
      <c r="Q46" s="1453"/>
      <c r="R46" s="1453"/>
      <c r="S46" s="1453"/>
      <c r="T46" s="1453"/>
      <c r="U46" s="1453"/>
      <c r="V46" s="1453"/>
      <c r="W46" s="1453"/>
      <c r="X46" s="1453"/>
      <c r="Y46" s="1454"/>
      <c r="Z46" s="1454"/>
      <c r="AA46" s="1454"/>
      <c r="AB46" s="1454"/>
      <c r="AC46" s="1454"/>
      <c r="AD46" s="1454"/>
      <c r="AE46" s="1454"/>
      <c r="AF46" s="2649"/>
      <c r="AG46" s="2649"/>
      <c r="AH46" s="2649"/>
      <c r="AI46" s="2649"/>
    </row>
    <row r="47" spans="1:37" s="2650" customFormat="1" ht="24.75">
      <c r="A47" s="2659" t="s">
        <v>2742</v>
      </c>
      <c r="B47" s="821" t="s">
        <v>2743</v>
      </c>
      <c r="C47" s="821" t="s">
        <v>2744</v>
      </c>
      <c r="D47" s="821" t="s">
        <v>2745</v>
      </c>
      <c r="E47" s="822" t="s">
        <v>2746</v>
      </c>
      <c r="F47" s="2660" t="s">
        <v>2747</v>
      </c>
      <c r="G47" s="821" t="s">
        <v>2748</v>
      </c>
      <c r="H47" s="2661"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49"/>
      <c r="AI47" s="2649"/>
      <c r="AJ47" s="2649"/>
      <c r="AK47" s="2649"/>
    </row>
    <row r="48" spans="1:37" s="2650" customFormat="1" ht="38.25">
      <c r="A48" s="2659" t="s">
        <v>2756</v>
      </c>
      <c r="B48" s="2662" t="str">
        <f>估价对象房地状况!C16</f>
        <v>估价对象位于XX商圈，周边商业氛围成熟，人流量大，商业繁华度好</v>
      </c>
      <c r="C48" s="2549"/>
      <c r="D48" s="1373">
        <f t="shared" ref="D48:D56" si="10">SUMIF($J$47:$N$47,C48,J48:N48)</f>
        <v>0</v>
      </c>
      <c r="E48" s="827">
        <f>ROUND(SUM(D48:D56),4)</f>
        <v>0</v>
      </c>
      <c r="F48" s="2267"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49"/>
      <c r="AI48" s="2649"/>
      <c r="AJ48" s="2649"/>
      <c r="AK48" s="2649"/>
    </row>
    <row r="49" spans="1:37" s="2650" customFormat="1" ht="89.25">
      <c r="A49" s="2659" t="s">
        <v>2757</v>
      </c>
      <c r="B49" s="2663" t="str">
        <f>估价对象房地状况!C18</f>
        <v>估价对象周边有350路、553路、571路、619路、640路、650路等多条公交线路，距最近的地铁站6号线（褡裢站）约3500米，综合评价交通便捷度一般</v>
      </c>
      <c r="C49" s="2549"/>
      <c r="D49" s="1373">
        <f t="shared" si="10"/>
        <v>0</v>
      </c>
      <c r="E49" s="830"/>
      <c r="F49" s="2267"/>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49"/>
      <c r="AI49" s="2649"/>
      <c r="AJ49" s="2649"/>
      <c r="AK49" s="2649"/>
    </row>
    <row r="50" spans="1:37" s="2650" customFormat="1" ht="24">
      <c r="A50" s="2659" t="s">
        <v>2758</v>
      </c>
      <c r="B50" s="2663">
        <f>估价对象房地状况!C19</f>
        <v>0</v>
      </c>
      <c r="C50" s="2549"/>
      <c r="D50" s="1373">
        <f t="shared" si="10"/>
        <v>0</v>
      </c>
      <c r="E50" s="830"/>
      <c r="F50" s="2267"/>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49"/>
      <c r="AI50" s="2649"/>
      <c r="AJ50" s="2649"/>
      <c r="AK50" s="2649"/>
    </row>
    <row r="51" spans="1:37" s="2650" customFormat="1" ht="36.75">
      <c r="A51" s="2659" t="s">
        <v>2759</v>
      </c>
      <c r="B51" s="2664" t="s">
        <v>2760</v>
      </c>
      <c r="C51" s="2549"/>
      <c r="D51" s="1373">
        <f t="shared" si="10"/>
        <v>0</v>
      </c>
      <c r="E51" s="830"/>
      <c r="F51" s="2267"/>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49"/>
      <c r="AI51" s="2649"/>
      <c r="AJ51" s="2649"/>
      <c r="AK51" s="2649"/>
    </row>
    <row r="52" spans="1:37" s="2650" customFormat="1" ht="24">
      <c r="A52" s="2659" t="s">
        <v>2761</v>
      </c>
      <c r="B52" s="2663" t="str">
        <f>估价对象房地状况!C24</f>
        <v>城市支路——市政道路</v>
      </c>
      <c r="C52" s="2549"/>
      <c r="D52" s="1373">
        <f t="shared" si="10"/>
        <v>0</v>
      </c>
      <c r="E52" s="830"/>
      <c r="F52" s="2267"/>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49"/>
      <c r="AI52" s="2649"/>
      <c r="AJ52" s="2649"/>
      <c r="AK52" s="2649"/>
    </row>
    <row r="53" spans="1:37" s="2650" customFormat="1" ht="24">
      <c r="A53" s="2659" t="s">
        <v>2762</v>
      </c>
      <c r="B53" s="2665" t="s">
        <v>2763</v>
      </c>
      <c r="C53" s="2549"/>
      <c r="D53" s="1373">
        <f t="shared" si="10"/>
        <v>0</v>
      </c>
      <c r="E53" s="830"/>
      <c r="F53" s="2267"/>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49"/>
      <c r="AI53" s="2649"/>
      <c r="AJ53" s="2649"/>
      <c r="AK53" s="2649"/>
    </row>
    <row r="54" spans="1:37" s="2650" customFormat="1" ht="25.5">
      <c r="A54" s="2666" t="s">
        <v>2764</v>
      </c>
      <c r="B54" s="2667" t="str">
        <f>估价对象房地状况!C21</f>
        <v>估价对象所在区域公共配套设施齐备情况较好</v>
      </c>
      <c r="C54" s="2549"/>
      <c r="D54" s="1373">
        <f t="shared" si="10"/>
        <v>0</v>
      </c>
      <c r="E54" s="830"/>
      <c r="F54" s="2267"/>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49"/>
      <c r="AI54" s="2649"/>
      <c r="AJ54" s="2649"/>
      <c r="AK54" s="2649"/>
    </row>
    <row r="55" spans="1:37" s="2650" customFormat="1" ht="24">
      <c r="A55" s="2666" t="s">
        <v>2765</v>
      </c>
      <c r="B55" s="2663" t="str">
        <f>估价对象房地状况!C22</f>
        <v>七通</v>
      </c>
      <c r="C55" s="2549"/>
      <c r="D55" s="1373">
        <f t="shared" si="10"/>
        <v>0</v>
      </c>
      <c r="E55" s="830"/>
      <c r="F55" s="2267"/>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49"/>
      <c r="AI55" s="2649"/>
      <c r="AJ55" s="2649"/>
      <c r="AK55" s="2649"/>
    </row>
    <row r="56" spans="1:37" s="2650" customFormat="1" ht="64.5" thickBot="1">
      <c r="A56" s="2668" t="s">
        <v>2766</v>
      </c>
      <c r="B56" s="2669" t="str">
        <f>估价对象房地状况!C20</f>
        <v>区域自然环境：东坝郊野公园；人文环境：京城体育休闲公园、北京市东郊殡仪馆；综合评价环境状况一般</v>
      </c>
      <c r="C56" s="2549"/>
      <c r="D56" s="1373">
        <f t="shared" si="10"/>
        <v>0</v>
      </c>
      <c r="E56" s="836"/>
      <c r="F56" s="2267"/>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49"/>
      <c r="AI56" s="2649"/>
      <c r="AJ56" s="2649"/>
      <c r="AK56" s="2649"/>
    </row>
    <row r="57" spans="1:37" s="2650" customFormat="1" ht="15">
      <c r="A57" s="2654" t="s">
        <v>2767</v>
      </c>
      <c r="B57" s="2670">
        <f>1+E59</f>
        <v>1</v>
      </c>
      <c r="C57" s="815"/>
      <c r="D57" s="815"/>
      <c r="E57" s="816"/>
      <c r="F57" s="2657"/>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49"/>
      <c r="AI57" s="2649"/>
      <c r="AJ57" s="2649"/>
      <c r="AK57" s="2649"/>
    </row>
    <row r="58" spans="1:37" s="2650" customFormat="1" ht="24.75">
      <c r="A58" s="2659" t="s">
        <v>2742</v>
      </c>
      <c r="B58" s="2663"/>
      <c r="C58" s="821" t="s">
        <v>2744</v>
      </c>
      <c r="D58" s="821" t="s">
        <v>2745</v>
      </c>
      <c r="E58" s="822" t="s">
        <v>2746</v>
      </c>
      <c r="F58" s="2660" t="s">
        <v>2747</v>
      </c>
      <c r="G58" s="821" t="s">
        <v>2768</v>
      </c>
      <c r="H58" s="2661" t="s">
        <v>2769</v>
      </c>
      <c r="I58" s="821" t="s">
        <v>2770</v>
      </c>
      <c r="J58" s="585" t="s">
        <v>2402</v>
      </c>
      <c r="K58" s="585" t="s">
        <v>2403</v>
      </c>
      <c r="L58" s="585" t="s">
        <v>2404</v>
      </c>
      <c r="M58" s="585" t="s">
        <v>2405</v>
      </c>
      <c r="N58" s="585" t="s">
        <v>2406</v>
      </c>
      <c r="O58" s="1453"/>
      <c r="P58" s="1453"/>
      <c r="Q58" s="1453"/>
      <c r="R58" s="1453"/>
      <c r="S58" s="1453"/>
      <c r="T58" s="1453"/>
      <c r="U58" s="1453"/>
      <c r="V58" s="1453"/>
      <c r="W58" s="1453"/>
      <c r="X58" s="1453"/>
      <c r="Y58" s="1453"/>
      <c r="Z58" s="1453"/>
      <c r="AA58" s="1454"/>
      <c r="AB58" s="1454"/>
      <c r="AC58" s="1454"/>
      <c r="AD58" s="1454"/>
      <c r="AE58" s="1454"/>
      <c r="AF58" s="1454"/>
      <c r="AG58" s="1454"/>
      <c r="AH58" s="2649"/>
      <c r="AI58" s="2649"/>
      <c r="AJ58" s="2649"/>
      <c r="AK58" s="2649"/>
    </row>
    <row r="59" spans="1:37" s="2650" customFormat="1" ht="38.25">
      <c r="A59" s="2659" t="s">
        <v>2771</v>
      </c>
      <c r="B59" s="2662" t="str">
        <f>估价对象房地状况!C17</f>
        <v>估价对象位于XX商圈，周边办公楼项目较多，入驻率高，办公集聚程度较好</v>
      </c>
      <c r="C59" s="2549"/>
      <c r="D59" s="1373">
        <f t="shared" ref="D59:D67" si="15">SUMIF($J$58:$N$58,C59,J59:N59)</f>
        <v>0</v>
      </c>
      <c r="E59" s="827">
        <f>ROUND(SUM(D59:D67),4)</f>
        <v>0</v>
      </c>
      <c r="F59" s="2267"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49"/>
      <c r="AI59" s="2649"/>
      <c r="AJ59" s="2649"/>
      <c r="AK59" s="2649"/>
    </row>
    <row r="60" spans="1:37" s="2650" customFormat="1" ht="89.25">
      <c r="A60" s="2659" t="s">
        <v>2757</v>
      </c>
      <c r="B60" s="2663" t="str">
        <f>估价对象房地状况!C18</f>
        <v>估价对象周边有350路、553路、571路、619路、640路、650路等多条公交线路，距最近的地铁站6号线（褡裢站）约3500米，综合评价交通便捷度一般</v>
      </c>
      <c r="C60" s="2549"/>
      <c r="D60" s="1373">
        <f t="shared" si="15"/>
        <v>0</v>
      </c>
      <c r="E60" s="830"/>
      <c r="F60" s="2267"/>
      <c r="G60" s="1374"/>
      <c r="H60" s="1378" t="str">
        <f t="shared" si="16"/>
        <v>——</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49"/>
      <c r="AI60" s="2649"/>
      <c r="AJ60" s="2649"/>
      <c r="AK60" s="2649"/>
    </row>
    <row r="61" spans="1:37" s="2650" customFormat="1" ht="24">
      <c r="A61" s="2659" t="s">
        <v>2758</v>
      </c>
      <c r="B61" s="2663">
        <f>估价对象房地状况!C19</f>
        <v>0</v>
      </c>
      <c r="C61" s="2549"/>
      <c r="D61" s="1373">
        <f t="shared" si="15"/>
        <v>0</v>
      </c>
      <c r="E61" s="830"/>
      <c r="F61" s="2267"/>
      <c r="G61" s="1374"/>
      <c r="H61" s="1378" t="str">
        <f t="shared" si="16"/>
        <v>——</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49"/>
      <c r="AI61" s="2649"/>
      <c r="AJ61" s="2649"/>
      <c r="AK61" s="2649"/>
    </row>
    <row r="62" spans="1:37" s="2650" customFormat="1" ht="36.75">
      <c r="A62" s="2659" t="s">
        <v>2759</v>
      </c>
      <c r="B62" s="2664" t="s">
        <v>2760</v>
      </c>
      <c r="C62" s="2549"/>
      <c r="D62" s="1373">
        <f t="shared" si="15"/>
        <v>0</v>
      </c>
      <c r="E62" s="830"/>
      <c r="F62" s="2267"/>
      <c r="G62" s="1374"/>
      <c r="H62" s="1378" t="str">
        <f t="shared" si="16"/>
        <v>——</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49"/>
      <c r="AI62" s="2649"/>
      <c r="AJ62" s="2649"/>
      <c r="AK62" s="2649"/>
    </row>
    <row r="63" spans="1:37" s="2650" customFormat="1" ht="24">
      <c r="A63" s="2659" t="s">
        <v>2761</v>
      </c>
      <c r="B63" s="2663" t="str">
        <f>估价对象房地状况!C24</f>
        <v>城市支路——市政道路</v>
      </c>
      <c r="C63" s="2549"/>
      <c r="D63" s="1373">
        <f t="shared" si="15"/>
        <v>0</v>
      </c>
      <c r="E63" s="830"/>
      <c r="F63" s="2267"/>
      <c r="G63" s="1374"/>
      <c r="H63" s="1378" t="str">
        <f t="shared" si="16"/>
        <v>——</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49"/>
      <c r="AI63" s="2649"/>
      <c r="AJ63" s="2649"/>
      <c r="AK63" s="2649"/>
    </row>
    <row r="64" spans="1:37" s="2650" customFormat="1" ht="24">
      <c r="A64" s="2659" t="s">
        <v>2762</v>
      </c>
      <c r="B64" s="2665" t="s">
        <v>2763</v>
      </c>
      <c r="C64" s="2549"/>
      <c r="D64" s="1373">
        <f t="shared" si="15"/>
        <v>0</v>
      </c>
      <c r="E64" s="830"/>
      <c r="F64" s="2267"/>
      <c r="G64" s="1374"/>
      <c r="H64" s="1378" t="str">
        <f t="shared" si="16"/>
        <v>——</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49"/>
      <c r="AI64" s="2649"/>
      <c r="AJ64" s="2649"/>
      <c r="AK64" s="2649"/>
    </row>
    <row r="65" spans="1:37" s="2650" customFormat="1" ht="25.5">
      <c r="A65" s="2659" t="s">
        <v>2764</v>
      </c>
      <c r="B65" s="2667" t="str">
        <f>估价对象房地状况!C21</f>
        <v>估价对象所在区域公共配套设施齐备情况较好</v>
      </c>
      <c r="C65" s="2549"/>
      <c r="D65" s="1373">
        <f t="shared" si="15"/>
        <v>0</v>
      </c>
      <c r="E65" s="830"/>
      <c r="F65" s="2267"/>
      <c r="G65" s="1374"/>
      <c r="H65" s="1378" t="str">
        <f t="shared" si="16"/>
        <v>——</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49"/>
      <c r="AI65" s="2649"/>
      <c r="AJ65" s="2649"/>
      <c r="AK65" s="2649"/>
    </row>
    <row r="66" spans="1:37" s="2650" customFormat="1" ht="24">
      <c r="A66" s="2659" t="s">
        <v>2765</v>
      </c>
      <c r="B66" s="2667" t="str">
        <f>估价对象房地状况!C22</f>
        <v>七通</v>
      </c>
      <c r="C66" s="2549"/>
      <c r="D66" s="1373">
        <f t="shared" si="15"/>
        <v>0</v>
      </c>
      <c r="E66" s="830"/>
      <c r="F66" s="2267"/>
      <c r="G66" s="1374"/>
      <c r="H66" s="1378" t="str">
        <f t="shared" si="16"/>
        <v>——</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49"/>
      <c r="AI66" s="2649"/>
      <c r="AJ66" s="2649"/>
      <c r="AK66" s="2649"/>
    </row>
    <row r="67" spans="1:37" s="2650" customFormat="1" ht="64.5" thickBot="1">
      <c r="A67" s="2668" t="s">
        <v>2766</v>
      </c>
      <c r="B67" s="2671" t="str">
        <f>估价对象房地状况!C20</f>
        <v>区域自然环境：东坝郊野公园；人文环境：京城体育休闲公园、北京市东郊殡仪馆；综合评价环境状况一般</v>
      </c>
      <c r="C67" s="2549"/>
      <c r="D67" s="1373">
        <f t="shared" si="15"/>
        <v>0</v>
      </c>
      <c r="E67" s="836"/>
      <c r="F67" s="2267"/>
      <c r="G67" s="1374"/>
      <c r="H67" s="1378" t="str">
        <f t="shared" si="16"/>
        <v>——</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49"/>
      <c r="AI67" s="2649"/>
      <c r="AJ67" s="2649"/>
      <c r="AK67" s="2649"/>
    </row>
    <row r="68" spans="1:37" s="2650" customFormat="1" ht="15">
      <c r="A68" s="2654" t="s">
        <v>2772</v>
      </c>
      <c r="B68" s="2670">
        <f>1+E70</f>
        <v>1</v>
      </c>
      <c r="C68" s="815"/>
      <c r="D68" s="815"/>
      <c r="E68" s="816"/>
      <c r="F68" s="2657"/>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49"/>
      <c r="AI68" s="2649"/>
      <c r="AJ68" s="2649"/>
      <c r="AK68" s="2649"/>
    </row>
    <row r="69" spans="1:37" s="2650" customFormat="1" ht="24.75">
      <c r="A69" s="2659" t="s">
        <v>2742</v>
      </c>
      <c r="B69" s="2663"/>
      <c r="C69" s="821" t="s">
        <v>2744</v>
      </c>
      <c r="D69" s="821" t="s">
        <v>2745</v>
      </c>
      <c r="E69" s="822" t="s">
        <v>2746</v>
      </c>
      <c r="F69" s="2660" t="s">
        <v>2747</v>
      </c>
      <c r="G69" s="821" t="s">
        <v>2768</v>
      </c>
      <c r="H69" s="2661" t="s">
        <v>2769</v>
      </c>
      <c r="I69" s="821" t="s">
        <v>2770</v>
      </c>
      <c r="J69" s="585" t="s">
        <v>2402</v>
      </c>
      <c r="K69" s="585" t="s">
        <v>2403</v>
      </c>
      <c r="L69" s="585" t="s">
        <v>2404</v>
      </c>
      <c r="M69" s="585" t="s">
        <v>2405</v>
      </c>
      <c r="N69" s="585" t="s">
        <v>2406</v>
      </c>
      <c r="O69" s="1453"/>
      <c r="P69" s="1453"/>
      <c r="Q69" s="1453"/>
      <c r="R69" s="1453"/>
      <c r="S69" s="1453"/>
      <c r="T69" s="1453"/>
      <c r="U69" s="1453"/>
      <c r="V69" s="1453"/>
      <c r="W69" s="1453"/>
      <c r="X69" s="1453"/>
      <c r="Y69" s="1453"/>
      <c r="Z69" s="1453"/>
      <c r="AA69" s="1454"/>
      <c r="AB69" s="1454"/>
      <c r="AC69" s="1454"/>
      <c r="AD69" s="1454"/>
      <c r="AE69" s="1454"/>
      <c r="AF69" s="1454"/>
      <c r="AG69" s="1454"/>
      <c r="AH69" s="2649"/>
      <c r="AI69" s="2649"/>
      <c r="AJ69" s="2649"/>
      <c r="AK69" s="2649"/>
    </row>
    <row r="70" spans="1:37" s="2650" customFormat="1" ht="51">
      <c r="A70" s="2659" t="s">
        <v>2773</v>
      </c>
      <c r="B70" s="2662" t="str">
        <f>估价对象房地状况!C15</f>
        <v>估价对象周边有泓鑫家园、富北嘉园、金泽家园、金泰丽富嘉园等，综合评价居住社区成熟度较好</v>
      </c>
      <c r="C70" s="2549"/>
      <c r="D70" s="1373">
        <f t="shared" ref="D70:D78" si="20">SUMIF($J$69:$N$69,C70,J70:N70)</f>
        <v>0</v>
      </c>
      <c r="E70" s="827">
        <f>ROUND(SUM(D70:D78),4)</f>
        <v>0</v>
      </c>
      <c r="F70" s="2267"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49"/>
      <c r="AI70" s="2649"/>
      <c r="AJ70" s="2649"/>
      <c r="AK70" s="2649"/>
    </row>
    <row r="71" spans="1:37" s="2650" customFormat="1" ht="89.25">
      <c r="A71" s="2659" t="s">
        <v>2757</v>
      </c>
      <c r="B71" s="2663" t="str">
        <f>估价对象房地状况!C18</f>
        <v>估价对象周边有350路、553路、571路、619路、640路、650路等多条公交线路，距最近的地铁站6号线（褡裢站）约3500米，综合评价交通便捷度一般</v>
      </c>
      <c r="C71" s="2549"/>
      <c r="D71" s="1373">
        <f t="shared" si="20"/>
        <v>0</v>
      </c>
      <c r="E71" s="838"/>
      <c r="F71" s="2672"/>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49"/>
      <c r="AI71" s="2649"/>
      <c r="AJ71" s="2649"/>
      <c r="AK71" s="2649"/>
    </row>
    <row r="72" spans="1:37" s="2650" customFormat="1" ht="24">
      <c r="A72" s="2659" t="s">
        <v>2758</v>
      </c>
      <c r="B72" s="2663">
        <f>估价对象房地状况!C19</f>
        <v>0</v>
      </c>
      <c r="C72" s="2549"/>
      <c r="D72" s="1373">
        <f t="shared" si="20"/>
        <v>0</v>
      </c>
      <c r="E72" s="838"/>
      <c r="F72" s="2672"/>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49"/>
      <c r="AI72" s="2649"/>
      <c r="AJ72" s="2649"/>
      <c r="AK72" s="2649"/>
    </row>
    <row r="73" spans="1:37" s="2650" customFormat="1" ht="14.25">
      <c r="A73" s="2659" t="s">
        <v>2774</v>
      </c>
      <c r="B73" s="2663" t="str">
        <f>估价对象房地状况!C24</f>
        <v>城市支路——市政道路</v>
      </c>
      <c r="C73" s="2549"/>
      <c r="D73" s="1373">
        <f t="shared" si="20"/>
        <v>0</v>
      </c>
      <c r="E73" s="838"/>
      <c r="F73" s="2672"/>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49"/>
      <c r="AI73" s="2649"/>
      <c r="AJ73" s="2649"/>
      <c r="AK73" s="2649"/>
    </row>
    <row r="74" spans="1:37" s="2650" customFormat="1" ht="25.5">
      <c r="A74" s="2659" t="s">
        <v>2764</v>
      </c>
      <c r="B74" s="2667" t="str">
        <f>估价对象房地状况!C21</f>
        <v>估价对象所在区域公共配套设施齐备情况较好</v>
      </c>
      <c r="C74" s="2549"/>
      <c r="D74" s="1373">
        <f t="shared" si="20"/>
        <v>0</v>
      </c>
      <c r="E74" s="838"/>
      <c r="F74" s="2672"/>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49"/>
      <c r="AI74" s="2649"/>
      <c r="AJ74" s="2649"/>
      <c r="AK74" s="2649"/>
    </row>
    <row r="75" spans="1:37" s="2650" customFormat="1" ht="24">
      <c r="A75" s="2659" t="s">
        <v>2765</v>
      </c>
      <c r="B75" s="2667" t="str">
        <f>估价对象房地状况!C22</f>
        <v>七通</v>
      </c>
      <c r="C75" s="2549"/>
      <c r="D75" s="1373">
        <f t="shared" si="20"/>
        <v>0</v>
      </c>
      <c r="E75" s="838"/>
      <c r="F75" s="2672"/>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49"/>
      <c r="AI75" s="2649"/>
      <c r="AJ75" s="2649"/>
      <c r="AK75" s="2649"/>
    </row>
    <row r="76" spans="1:37" ht="24">
      <c r="A76" s="2659" t="s">
        <v>2762</v>
      </c>
      <c r="B76" s="2665" t="s">
        <v>2763</v>
      </c>
      <c r="C76" s="2549"/>
      <c r="D76" s="1373">
        <f t="shared" si="20"/>
        <v>0</v>
      </c>
      <c r="E76" s="838"/>
      <c r="F76" s="2672"/>
      <c r="G76" s="1374"/>
      <c r="H76" s="1378" t="str">
        <f t="shared" si="21"/>
        <v>——</v>
      </c>
      <c r="I76" s="826">
        <v>0.05</v>
      </c>
      <c r="J76" s="1375">
        <f t="shared" si="22"/>
        <v>0</v>
      </c>
      <c r="K76" s="1375">
        <f t="shared" si="23"/>
        <v>0</v>
      </c>
      <c r="L76" s="1375">
        <v>0</v>
      </c>
      <c r="M76" s="1375">
        <f t="shared" si="24"/>
        <v>0</v>
      </c>
      <c r="N76" s="1375">
        <f t="shared" si="24"/>
        <v>0</v>
      </c>
      <c r="Z76" s="2496"/>
      <c r="AA76" s="2573"/>
      <c r="AG76" s="2649"/>
      <c r="AK76" s="2573"/>
    </row>
    <row r="77" spans="1:37" ht="63.75">
      <c r="A77" s="2659" t="s">
        <v>2766</v>
      </c>
      <c r="B77" s="2662" t="str">
        <f>估价对象房地状况!C20</f>
        <v>区域自然环境：东坝郊野公园；人文环境：京城体育休闲公园、北京市东郊殡仪馆；综合评价环境状况一般</v>
      </c>
      <c r="C77" s="2549"/>
      <c r="D77" s="1373">
        <f t="shared" si="20"/>
        <v>0</v>
      </c>
      <c r="E77" s="838"/>
      <c r="F77" s="2672"/>
      <c r="G77" s="1374"/>
      <c r="H77" s="1378" t="str">
        <f t="shared" si="21"/>
        <v>——</v>
      </c>
      <c r="I77" s="826">
        <v>0.15</v>
      </c>
      <c r="J77" s="1375">
        <f t="shared" si="22"/>
        <v>0</v>
      </c>
      <c r="K77" s="1375">
        <f t="shared" si="23"/>
        <v>0</v>
      </c>
      <c r="L77" s="1375">
        <v>0</v>
      </c>
      <c r="M77" s="1375">
        <f t="shared" si="24"/>
        <v>0</v>
      </c>
      <c r="N77" s="1375">
        <f t="shared" si="24"/>
        <v>0</v>
      </c>
      <c r="Z77" s="2496"/>
      <c r="AA77" s="2573"/>
      <c r="AG77" s="2649"/>
      <c r="AK77" s="2573"/>
    </row>
    <row r="78" spans="1:37" ht="24.75" thickBot="1">
      <c r="A78" s="2668" t="s">
        <v>2775</v>
      </c>
      <c r="B78" s="2673"/>
      <c r="C78" s="2549"/>
      <c r="D78" s="1373">
        <f t="shared" si="20"/>
        <v>0</v>
      </c>
      <c r="E78" s="839"/>
      <c r="F78" s="2672"/>
      <c r="G78" s="1374"/>
      <c r="H78" s="1378" t="str">
        <f t="shared" si="21"/>
        <v>——</v>
      </c>
      <c r="I78" s="835">
        <v>0.04</v>
      </c>
      <c r="J78" s="1375">
        <f t="shared" si="22"/>
        <v>0</v>
      </c>
      <c r="K78" s="1375">
        <f t="shared" si="23"/>
        <v>0</v>
      </c>
      <c r="L78" s="1375">
        <v>0</v>
      </c>
      <c r="M78" s="1375">
        <f t="shared" si="24"/>
        <v>0</v>
      </c>
      <c r="N78" s="1375">
        <f t="shared" si="24"/>
        <v>0</v>
      </c>
      <c r="Z78" s="2496"/>
      <c r="AA78" s="2573"/>
      <c r="AG78" s="2649"/>
      <c r="AK78" s="2573"/>
    </row>
    <row r="79" spans="1:37" ht="15">
      <c r="A79" s="2654" t="s">
        <v>2776</v>
      </c>
      <c r="B79" s="2670">
        <f>1+E81</f>
        <v>1</v>
      </c>
      <c r="C79" s="815"/>
      <c r="D79" s="815"/>
      <c r="E79" s="816"/>
      <c r="F79" s="2657"/>
      <c r="G79" s="7"/>
      <c r="H79" s="7"/>
      <c r="I79" s="7"/>
      <c r="J79" s="9"/>
      <c r="K79" s="9"/>
      <c r="L79" s="9"/>
      <c r="M79" s="9"/>
      <c r="N79" s="9"/>
      <c r="Z79" s="2496"/>
      <c r="AA79" s="2573"/>
      <c r="AG79" s="2649"/>
      <c r="AK79" s="2573"/>
    </row>
    <row r="80" spans="1:37" ht="24.75">
      <c r="A80" s="2659" t="s">
        <v>2742</v>
      </c>
      <c r="B80" s="2663"/>
      <c r="C80" s="821" t="s">
        <v>2744</v>
      </c>
      <c r="D80" s="821" t="s">
        <v>2745</v>
      </c>
      <c r="E80" s="822" t="s">
        <v>2746</v>
      </c>
      <c r="F80" s="2660" t="s">
        <v>2747</v>
      </c>
      <c r="G80" s="821" t="s">
        <v>2768</v>
      </c>
      <c r="H80" s="2661" t="s">
        <v>2769</v>
      </c>
      <c r="I80" s="821" t="s">
        <v>2770</v>
      </c>
      <c r="J80" s="585" t="s">
        <v>2402</v>
      </c>
      <c r="K80" s="585" t="s">
        <v>2403</v>
      </c>
      <c r="L80" s="585" t="s">
        <v>2404</v>
      </c>
      <c r="M80" s="585" t="s">
        <v>2405</v>
      </c>
      <c r="N80" s="585" t="s">
        <v>2406</v>
      </c>
      <c r="Z80" s="2496"/>
      <c r="AA80" s="2573"/>
      <c r="AG80" s="2649"/>
      <c r="AK80" s="2573"/>
    </row>
    <row r="81" spans="1:37" ht="38.25">
      <c r="A81" s="2659" t="s">
        <v>2777</v>
      </c>
      <c r="B81" s="2663" t="str">
        <f>估价对象房地状况!G15</f>
        <v>估价对象位于XX开发区，园区建设成熟度XX，产业集聚程度XX</v>
      </c>
      <c r="C81" s="2549"/>
      <c r="D81" s="1373">
        <f t="shared" ref="D81:D88" si="25">SUMIF($J$80:$N$80,C81,J81:N81)</f>
        <v>0</v>
      </c>
      <c r="E81" s="827">
        <f>ROUND(SUM(D81:D88),4)</f>
        <v>0</v>
      </c>
      <c r="F81" s="2267"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6"/>
      <c r="AA81" s="2573"/>
      <c r="AG81" s="2649"/>
      <c r="AK81" s="2573"/>
    </row>
    <row r="82" spans="1:37" ht="51">
      <c r="A82" s="2659" t="s">
        <v>2757</v>
      </c>
      <c r="B82" s="2663" t="str">
        <f>估价对象房地状况!G16</f>
        <v>估价对象周边道路状况、公共交通通达情况、停车便捷程度，综合评价交通便捷度较好</v>
      </c>
      <c r="C82" s="2549"/>
      <c r="D82" s="1373">
        <f t="shared" si="25"/>
        <v>0</v>
      </c>
      <c r="E82" s="838"/>
      <c r="F82" s="2672"/>
      <c r="G82" s="1374"/>
      <c r="H82" s="1378" t="str">
        <f t="shared" si="26"/>
        <v>——</v>
      </c>
      <c r="I82" s="826">
        <v>0.33</v>
      </c>
      <c r="J82" s="1375">
        <f t="shared" si="27"/>
        <v>0</v>
      </c>
      <c r="K82" s="1375">
        <f t="shared" si="28"/>
        <v>0</v>
      </c>
      <c r="L82" s="1375">
        <v>0</v>
      </c>
      <c r="M82" s="1375">
        <f t="shared" si="29"/>
        <v>0</v>
      </c>
      <c r="N82" s="1375">
        <f t="shared" si="29"/>
        <v>0</v>
      </c>
      <c r="Z82" s="2496"/>
      <c r="AA82" s="2573"/>
      <c r="AG82" s="2649"/>
      <c r="AK82" s="2573"/>
    </row>
    <row r="83" spans="1:37" ht="24">
      <c r="A83" s="2659" t="s">
        <v>2758</v>
      </c>
      <c r="B83" s="2663">
        <f>估价对象房地状况!G17</f>
        <v>0</v>
      </c>
      <c r="C83" s="2549"/>
      <c r="D83" s="1373">
        <f t="shared" si="25"/>
        <v>0</v>
      </c>
      <c r="E83" s="838"/>
      <c r="F83" s="2672"/>
      <c r="G83" s="1374"/>
      <c r="H83" s="1378" t="str">
        <f t="shared" si="26"/>
        <v>——</v>
      </c>
      <c r="I83" s="826">
        <v>0.05</v>
      </c>
      <c r="J83" s="1375">
        <f t="shared" si="27"/>
        <v>0</v>
      </c>
      <c r="K83" s="1375">
        <f t="shared" si="28"/>
        <v>0</v>
      </c>
      <c r="L83" s="1375">
        <v>0</v>
      </c>
      <c r="M83" s="1375">
        <f t="shared" si="29"/>
        <v>0</v>
      </c>
      <c r="N83" s="1375">
        <f t="shared" si="29"/>
        <v>0</v>
      </c>
      <c r="Z83" s="2496"/>
      <c r="AA83" s="2573"/>
      <c r="AG83" s="2649"/>
      <c r="AK83" s="2573"/>
    </row>
    <row r="84" spans="1:37" ht="14.25">
      <c r="A84" s="2659" t="s">
        <v>2774</v>
      </c>
      <c r="B84" s="2663">
        <f>估价对象房地状况!G22</f>
        <v>0</v>
      </c>
      <c r="C84" s="2549"/>
      <c r="D84" s="1373">
        <f t="shared" si="25"/>
        <v>0</v>
      </c>
      <c r="E84" s="838"/>
      <c r="F84" s="2672"/>
      <c r="G84" s="1374"/>
      <c r="H84" s="1378" t="str">
        <f t="shared" si="26"/>
        <v>——</v>
      </c>
      <c r="I84" s="826">
        <v>0.04</v>
      </c>
      <c r="J84" s="1375">
        <f t="shared" si="27"/>
        <v>0</v>
      </c>
      <c r="K84" s="1375">
        <f t="shared" si="28"/>
        <v>0</v>
      </c>
      <c r="L84" s="1375">
        <v>0</v>
      </c>
      <c r="M84" s="1375">
        <f t="shared" si="29"/>
        <v>0</v>
      </c>
      <c r="N84" s="1375">
        <f t="shared" si="29"/>
        <v>0</v>
      </c>
      <c r="Z84" s="2496"/>
      <c r="AA84" s="2573"/>
      <c r="AG84" s="2649"/>
      <c r="AK84" s="2573"/>
    </row>
    <row r="85" spans="1:37" ht="25.5">
      <c r="A85" s="2659" t="s">
        <v>2764</v>
      </c>
      <c r="B85" s="2667" t="str">
        <f>估价对象房地状况!G19</f>
        <v>估价对象所在区域公共配套设施齐备情况</v>
      </c>
      <c r="C85" s="2549"/>
      <c r="D85" s="1373">
        <f t="shared" si="25"/>
        <v>0</v>
      </c>
      <c r="E85" s="838"/>
      <c r="F85" s="2672"/>
      <c r="G85" s="1374"/>
      <c r="H85" s="1378" t="str">
        <f t="shared" si="26"/>
        <v>——</v>
      </c>
      <c r="I85" s="826">
        <v>0.06</v>
      </c>
      <c r="J85" s="1375">
        <f t="shared" si="27"/>
        <v>0</v>
      </c>
      <c r="K85" s="1375">
        <f t="shared" si="28"/>
        <v>0</v>
      </c>
      <c r="L85" s="1375">
        <v>0</v>
      </c>
      <c r="M85" s="1375">
        <f t="shared" si="29"/>
        <v>0</v>
      </c>
      <c r="N85" s="1375">
        <f t="shared" si="29"/>
        <v>0</v>
      </c>
      <c r="Z85" s="2496"/>
      <c r="AA85" s="2573"/>
      <c r="AG85" s="2649"/>
      <c r="AK85" s="2573"/>
    </row>
    <row r="86" spans="1:37" ht="25.5">
      <c r="A86" s="2659" t="s">
        <v>2765</v>
      </c>
      <c r="B86" s="2667" t="str">
        <f>估价对象房地状况!G20</f>
        <v>估价对象所在区域基础设施水平</v>
      </c>
      <c r="C86" s="2549"/>
      <c r="D86" s="1373">
        <f t="shared" si="25"/>
        <v>0</v>
      </c>
      <c r="E86" s="838"/>
      <c r="F86" s="2672"/>
      <c r="G86" s="1374"/>
      <c r="H86" s="1378" t="str">
        <f t="shared" si="26"/>
        <v>——</v>
      </c>
      <c r="I86" s="826">
        <v>0.15</v>
      </c>
      <c r="J86" s="1375">
        <f t="shared" si="27"/>
        <v>0</v>
      </c>
      <c r="K86" s="1375">
        <f t="shared" si="28"/>
        <v>0</v>
      </c>
      <c r="L86" s="1375">
        <v>0</v>
      </c>
      <c r="M86" s="1375">
        <f t="shared" si="29"/>
        <v>0</v>
      </c>
      <c r="N86" s="1375">
        <f t="shared" si="29"/>
        <v>0</v>
      </c>
      <c r="Z86" s="2496"/>
      <c r="AA86" s="2573"/>
      <c r="AG86" s="2649"/>
      <c r="AK86" s="2573"/>
    </row>
    <row r="87" spans="1:37" ht="24">
      <c r="A87" s="2659" t="s">
        <v>2762</v>
      </c>
      <c r="B87" s="2665" t="s">
        <v>2763</v>
      </c>
      <c r="C87" s="2549"/>
      <c r="D87" s="1373">
        <f t="shared" si="25"/>
        <v>0</v>
      </c>
      <c r="E87" s="838"/>
      <c r="F87" s="2672"/>
      <c r="G87" s="1374"/>
      <c r="H87" s="1378" t="str">
        <f t="shared" si="26"/>
        <v>——</v>
      </c>
      <c r="I87" s="826">
        <v>0.05</v>
      </c>
      <c r="J87" s="1375">
        <f t="shared" si="27"/>
        <v>0</v>
      </c>
      <c r="K87" s="1375">
        <f t="shared" si="28"/>
        <v>0</v>
      </c>
      <c r="L87" s="1375">
        <v>0</v>
      </c>
      <c r="M87" s="1375">
        <f t="shared" si="29"/>
        <v>0</v>
      </c>
      <c r="N87" s="1375">
        <f t="shared" si="29"/>
        <v>0</v>
      </c>
      <c r="Z87" s="2496"/>
      <c r="AA87" s="2573"/>
      <c r="AG87" s="2649"/>
      <c r="AK87" s="2573"/>
    </row>
    <row r="88" spans="1:37" ht="39" thickBot="1">
      <c r="A88" s="2668" t="s">
        <v>2778</v>
      </c>
      <c r="B88" s="2674" t="str">
        <f>估价对象房地状况!G18</f>
        <v>该园区内是否有污染型企业，绿化情况，卫生条件，整体环境状况判断</v>
      </c>
      <c r="C88" s="2675"/>
      <c r="D88" s="1379">
        <f t="shared" si="25"/>
        <v>0</v>
      </c>
      <c r="E88" s="839"/>
      <c r="F88" s="2672"/>
      <c r="G88" s="1374"/>
      <c r="H88" s="1378" t="str">
        <f t="shared" si="26"/>
        <v>——</v>
      </c>
      <c r="I88" s="835">
        <v>0.06</v>
      </c>
      <c r="J88" s="1375">
        <f t="shared" si="27"/>
        <v>0</v>
      </c>
      <c r="K88" s="1375">
        <f t="shared" si="28"/>
        <v>0</v>
      </c>
      <c r="L88" s="1375">
        <v>0</v>
      </c>
      <c r="M88" s="1375">
        <f t="shared" si="29"/>
        <v>0</v>
      </c>
      <c r="N88" s="1375">
        <f t="shared" si="29"/>
        <v>0</v>
      </c>
      <c r="Z88" s="2496"/>
      <c r="AA88" s="2573"/>
      <c r="AG88" s="2649"/>
      <c r="AK88" s="2573"/>
    </row>
    <row r="90" spans="1:37">
      <c r="A90" s="3088" t="s">
        <v>2779</v>
      </c>
      <c r="B90" s="3088"/>
      <c r="C90" s="3088"/>
      <c r="D90" s="3088"/>
      <c r="E90" s="3088"/>
      <c r="F90" s="3088"/>
      <c r="G90" s="3088"/>
      <c r="H90" s="3088"/>
      <c r="I90" s="3088"/>
      <c r="J90" s="3088"/>
      <c r="K90" s="2676"/>
      <c r="L90" s="2676"/>
      <c r="M90" s="2676"/>
      <c r="N90" s="2676"/>
    </row>
    <row r="91" spans="1:37">
      <c r="A91" s="3090" t="s">
        <v>2780</v>
      </c>
      <c r="B91" s="3090" t="s">
        <v>2781</v>
      </c>
      <c r="C91" s="2624" t="s">
        <v>2782</v>
      </c>
      <c r="D91" s="2625"/>
      <c r="E91" s="2625"/>
      <c r="F91" s="2625"/>
      <c r="G91" s="2625"/>
      <c r="H91" s="2625"/>
      <c r="I91" s="2625"/>
      <c r="J91" s="2677"/>
      <c r="K91" s="2678"/>
      <c r="L91" s="2678"/>
      <c r="M91" s="2678"/>
      <c r="N91" s="2678"/>
    </row>
    <row r="92" spans="1:37">
      <c r="A92" s="3090"/>
      <c r="B92" s="3090"/>
      <c r="C92" s="970" t="s">
        <v>2633</v>
      </c>
      <c r="D92" s="970" t="s">
        <v>2634</v>
      </c>
      <c r="E92" s="970" t="s">
        <v>2635</v>
      </c>
      <c r="F92" s="970" t="s">
        <v>2636</v>
      </c>
      <c r="G92" s="970" t="s">
        <v>2637</v>
      </c>
      <c r="H92" s="970" t="s">
        <v>2638</v>
      </c>
      <c r="I92" s="970" t="s">
        <v>2639</v>
      </c>
      <c r="J92" s="970" t="s">
        <v>2640</v>
      </c>
      <c r="K92" s="970" t="s">
        <v>2641</v>
      </c>
      <c r="L92" s="970" t="s">
        <v>2642</v>
      </c>
      <c r="M92" s="970" t="s">
        <v>2643</v>
      </c>
      <c r="N92" s="970" t="s">
        <v>2644</v>
      </c>
    </row>
    <row r="93" spans="1:37">
      <c r="A93" s="3091" t="s">
        <v>2783</v>
      </c>
      <c r="B93" s="2679">
        <v>1</v>
      </c>
      <c r="C93" s="2680">
        <v>1.9361999999999999</v>
      </c>
      <c r="D93" s="2680">
        <v>1.9361999999999999</v>
      </c>
      <c r="E93" s="2680">
        <v>1.8629</v>
      </c>
      <c r="F93" s="2680">
        <v>1.8629</v>
      </c>
      <c r="G93" s="2680">
        <v>1.8629</v>
      </c>
      <c r="H93" s="2680">
        <v>1.8629</v>
      </c>
      <c r="I93" s="2680">
        <v>1.8629</v>
      </c>
      <c r="J93" s="2680">
        <v>1.9419999999999999</v>
      </c>
      <c r="K93" s="2680">
        <v>1.9419999999999999</v>
      </c>
      <c r="L93" s="2680">
        <v>1.9419999999999999</v>
      </c>
      <c r="M93" s="2680">
        <v>1.9419999999999999</v>
      </c>
      <c r="N93" s="2680">
        <v>1.9419999999999999</v>
      </c>
    </row>
    <row r="94" spans="1:37">
      <c r="A94" s="3092"/>
      <c r="B94" s="2679">
        <v>2</v>
      </c>
      <c r="C94" s="2680">
        <v>1.4198</v>
      </c>
      <c r="D94" s="2680">
        <v>1.4198</v>
      </c>
      <c r="E94" s="2680">
        <v>1.3371999999999999</v>
      </c>
      <c r="F94" s="2680">
        <v>1.3371999999999999</v>
      </c>
      <c r="G94" s="2680">
        <v>1.3371999999999999</v>
      </c>
      <c r="H94" s="2680">
        <v>1.3371999999999999</v>
      </c>
      <c r="I94" s="2680">
        <v>1.3371999999999999</v>
      </c>
      <c r="J94" s="2680">
        <v>1.2799</v>
      </c>
      <c r="K94" s="2680">
        <v>1.2799</v>
      </c>
      <c r="L94" s="2680">
        <v>1.2799</v>
      </c>
      <c r="M94" s="2680">
        <v>1.2799</v>
      </c>
      <c r="N94" s="2680">
        <v>1.2799</v>
      </c>
    </row>
    <row r="95" spans="1:37">
      <c r="A95" s="3092"/>
      <c r="B95" s="2679">
        <v>3</v>
      </c>
      <c r="C95" s="2680">
        <v>1.1594</v>
      </c>
      <c r="D95" s="2680">
        <v>1.1594</v>
      </c>
      <c r="E95" s="2680">
        <v>1.0788</v>
      </c>
      <c r="F95" s="2680">
        <v>1.0788</v>
      </c>
      <c r="G95" s="2680">
        <v>1.0788</v>
      </c>
      <c r="H95" s="2680">
        <v>1.0788</v>
      </c>
      <c r="I95" s="2680">
        <v>1.0788</v>
      </c>
      <c r="J95" s="2680">
        <v>1.0072000000000001</v>
      </c>
      <c r="K95" s="2680">
        <v>1.0072000000000001</v>
      </c>
      <c r="L95" s="2680">
        <v>1.0072000000000001</v>
      </c>
      <c r="M95" s="2680">
        <v>1.0072000000000001</v>
      </c>
      <c r="N95" s="2680">
        <v>1.0072000000000001</v>
      </c>
    </row>
    <row r="96" spans="1:37">
      <c r="A96" s="3092"/>
      <c r="B96" s="2679">
        <v>4</v>
      </c>
      <c r="C96" s="2680">
        <v>0.96220000000000006</v>
      </c>
      <c r="D96" s="2680">
        <v>0.96220000000000006</v>
      </c>
      <c r="E96" s="2680">
        <v>0.86560000000000004</v>
      </c>
      <c r="F96" s="2680">
        <v>0.86560000000000004</v>
      </c>
      <c r="G96" s="2680">
        <v>0.86560000000000004</v>
      </c>
      <c r="H96" s="2680">
        <v>0.86560000000000004</v>
      </c>
      <c r="I96" s="2680">
        <v>0.86560000000000004</v>
      </c>
      <c r="J96" s="2680">
        <v>0.75249999999999995</v>
      </c>
      <c r="K96" s="2680">
        <v>0.75249999999999995</v>
      </c>
      <c r="L96" s="2680">
        <v>0.75249999999999995</v>
      </c>
      <c r="M96" s="2680">
        <v>0.75249999999999995</v>
      </c>
      <c r="N96" s="2680">
        <v>0.75249999999999995</v>
      </c>
    </row>
    <row r="97" spans="1:14">
      <c r="A97" s="3092"/>
      <c r="B97" s="2679">
        <v>5</v>
      </c>
      <c r="C97" s="2680">
        <v>0.8417</v>
      </c>
      <c r="D97" s="2680">
        <v>0.8417</v>
      </c>
      <c r="E97" s="2680">
        <v>0.73709999999999998</v>
      </c>
      <c r="F97" s="2680">
        <v>0.73709999999999998</v>
      </c>
      <c r="G97" s="2680">
        <v>0.73709999999999998</v>
      </c>
      <c r="H97" s="2680">
        <v>0.73709999999999998</v>
      </c>
      <c r="I97" s="2680">
        <v>0.73709999999999998</v>
      </c>
      <c r="J97" s="2680">
        <v>0.56589999999999996</v>
      </c>
      <c r="K97" s="2680">
        <v>0.56589999999999996</v>
      </c>
      <c r="L97" s="2680">
        <v>0.56589999999999996</v>
      </c>
      <c r="M97" s="2680">
        <v>0.56589999999999996</v>
      </c>
      <c r="N97" s="2680">
        <v>0.56589999999999996</v>
      </c>
    </row>
    <row r="98" spans="1:14">
      <c r="A98" s="3092"/>
      <c r="B98" s="2679">
        <v>6</v>
      </c>
      <c r="C98" s="2680">
        <v>0.76080000000000003</v>
      </c>
      <c r="D98" s="2680">
        <v>0.76080000000000003</v>
      </c>
      <c r="E98" s="2680">
        <v>0.6482</v>
      </c>
      <c r="F98" s="2680">
        <v>0.6482</v>
      </c>
      <c r="G98" s="2680">
        <v>0.6482</v>
      </c>
      <c r="H98" s="2680">
        <v>0.6482</v>
      </c>
      <c r="I98" s="2680">
        <v>0.6482</v>
      </c>
      <c r="J98" s="2680">
        <v>0.45250000000000001</v>
      </c>
      <c r="K98" s="2680">
        <v>0.45250000000000001</v>
      </c>
      <c r="L98" s="2680">
        <v>0.45250000000000001</v>
      </c>
      <c r="M98" s="2680">
        <v>0.45250000000000001</v>
      </c>
      <c r="N98" s="2680">
        <v>0.45250000000000001</v>
      </c>
    </row>
    <row r="99" spans="1:14">
      <c r="A99" s="3092"/>
      <c r="B99" s="2679" t="s">
        <v>2649</v>
      </c>
      <c r="C99" s="2681">
        <f>$I$3</f>
        <v>7</v>
      </c>
      <c r="D99" s="2681">
        <f t="shared" ref="D99:M99" si="30">$I$3</f>
        <v>7</v>
      </c>
      <c r="E99" s="2681">
        <f t="shared" si="30"/>
        <v>7</v>
      </c>
      <c r="F99" s="2681">
        <f t="shared" si="30"/>
        <v>7</v>
      </c>
      <c r="G99" s="2681">
        <f t="shared" si="30"/>
        <v>7</v>
      </c>
      <c r="H99" s="2681">
        <f t="shared" si="30"/>
        <v>7</v>
      </c>
      <c r="I99" s="2681">
        <f t="shared" si="30"/>
        <v>7</v>
      </c>
      <c r="J99" s="2681">
        <f t="shared" si="30"/>
        <v>7</v>
      </c>
      <c r="K99" s="2681">
        <f t="shared" si="30"/>
        <v>7</v>
      </c>
      <c r="L99" s="2681">
        <f t="shared" si="30"/>
        <v>7</v>
      </c>
      <c r="M99" s="2681">
        <f t="shared" si="30"/>
        <v>7</v>
      </c>
      <c r="N99" s="2681">
        <f>$I$3</f>
        <v>7</v>
      </c>
    </row>
    <row r="100" spans="1:14">
      <c r="A100" s="3093"/>
      <c r="B100" s="2679">
        <v>7</v>
      </c>
      <c r="C100" s="2682">
        <f>(-0.163*(C99^2)-0.59*C99+7617)*(10^(-4))</f>
        <v>0.76048830000000001</v>
      </c>
      <c r="D100" s="2682">
        <f>(-0.163*(D99^2)-0.59*D99+7617)*(10^(-4))</f>
        <v>0.76048830000000001</v>
      </c>
      <c r="E100" s="2682">
        <f>(-0.161*(E99^2)-7.509*E99+6533)*(10^(-4))</f>
        <v>0.64725480000000002</v>
      </c>
      <c r="F100" s="2682">
        <f>(-0.161*(F99^2)-7.509*F99+6533)*(10^(-4))</f>
        <v>0.64725480000000002</v>
      </c>
      <c r="G100" s="2682">
        <f>(-0.161*(G99^2)-7.509*G99+6533)*(10^(-4))</f>
        <v>0.64725480000000002</v>
      </c>
      <c r="H100" s="2682">
        <f>(-0.161*(H99^2)-7.509*H99+6533)*(10^(-4))</f>
        <v>0.64725480000000002</v>
      </c>
      <c r="I100" s="2682">
        <f>(-0.161*(I99^2)-7.509*I99+6533)*(10^(-4))</f>
        <v>0.64725480000000002</v>
      </c>
      <c r="J100" s="2682">
        <f>(-0.214*(J99^2)-21.991*J99+4665)*(10^(-4))</f>
        <v>0.45005770000000006</v>
      </c>
      <c r="K100" s="2682">
        <f>(-0.214*(K99^2)-21.991*K99+4665)*(10^(-4))</f>
        <v>0.45005770000000006</v>
      </c>
      <c r="L100" s="2682">
        <f>(-0.214*(L99^2)-21.991*L99+4665)*(10^(-4))</f>
        <v>0.45005770000000006</v>
      </c>
      <c r="M100" s="2682">
        <f>(-0.214*(M99^2)-21.991*M99+4665)*(10^(-4))</f>
        <v>0.45005770000000006</v>
      </c>
      <c r="N100" s="2682">
        <f>(-0.214*(N99^2)-21.991*N99+4665)*(10^(-4))</f>
        <v>0.45005770000000006</v>
      </c>
    </row>
    <row r="101" spans="1:14">
      <c r="A101" s="3091" t="s">
        <v>2784</v>
      </c>
      <c r="B101" s="2683" t="s">
        <v>2785</v>
      </c>
      <c r="C101" s="2684">
        <f>$G$3</f>
        <v>0</v>
      </c>
      <c r="D101" s="2684">
        <f t="shared" ref="D101:N101" si="31">$G$3</f>
        <v>0</v>
      </c>
      <c r="E101" s="2684">
        <f t="shared" si="31"/>
        <v>0</v>
      </c>
      <c r="F101" s="2684">
        <f t="shared" si="31"/>
        <v>0</v>
      </c>
      <c r="G101" s="2684">
        <f t="shared" si="31"/>
        <v>0</v>
      </c>
      <c r="H101" s="2684">
        <f t="shared" si="31"/>
        <v>0</v>
      </c>
      <c r="I101" s="2684">
        <f t="shared" si="31"/>
        <v>0</v>
      </c>
      <c r="J101" s="2684">
        <f t="shared" si="31"/>
        <v>0</v>
      </c>
      <c r="K101" s="2684">
        <f t="shared" si="31"/>
        <v>0</v>
      </c>
      <c r="L101" s="2684">
        <f t="shared" si="31"/>
        <v>0</v>
      </c>
      <c r="M101" s="2684">
        <f t="shared" si="31"/>
        <v>0</v>
      </c>
      <c r="N101" s="2684">
        <f t="shared" si="31"/>
        <v>0</v>
      </c>
    </row>
    <row r="102" spans="1:14">
      <c r="A102" s="3092"/>
      <c r="B102" s="2679">
        <v>1</v>
      </c>
      <c r="C102" s="2680" t="e">
        <f>1.9362/C101</f>
        <v>#DIV/0!</v>
      </c>
      <c r="D102" s="2680" t="e">
        <f>1.9362/D101</f>
        <v>#DIV/0!</v>
      </c>
      <c r="E102" s="2680" t="e">
        <f>1.8629/E101</f>
        <v>#DIV/0!</v>
      </c>
      <c r="F102" s="2680" t="e">
        <f>1.8629/F101</f>
        <v>#DIV/0!</v>
      </c>
      <c r="G102" s="2680" t="e">
        <f>1.8629/G101</f>
        <v>#DIV/0!</v>
      </c>
      <c r="H102" s="2680" t="e">
        <f>1.8629/H101</f>
        <v>#DIV/0!</v>
      </c>
      <c r="I102" s="2680" t="e">
        <f>1.8629/I101</f>
        <v>#DIV/0!</v>
      </c>
      <c r="J102" s="2680" t="e">
        <f>1.942/J101</f>
        <v>#DIV/0!</v>
      </c>
      <c r="K102" s="2680" t="e">
        <f>1.942/K101</f>
        <v>#DIV/0!</v>
      </c>
      <c r="L102" s="2680" t="e">
        <f>1.942/L101</f>
        <v>#DIV/0!</v>
      </c>
      <c r="M102" s="2680" t="e">
        <f>1.942/M101</f>
        <v>#DIV/0!</v>
      </c>
      <c r="N102" s="2680" t="e">
        <f>1.942/N101</f>
        <v>#DIV/0!</v>
      </c>
    </row>
    <row r="103" spans="1:14">
      <c r="A103" s="3092"/>
      <c r="B103" s="2679">
        <v>2</v>
      </c>
      <c r="C103" s="2680" t="e">
        <f>1.4198/C101</f>
        <v>#DIV/0!</v>
      </c>
      <c r="D103" s="2680" t="e">
        <f>1.4198/D101</f>
        <v>#DIV/0!</v>
      </c>
      <c r="E103" s="2680" t="e">
        <f>1.3372/E101</f>
        <v>#DIV/0!</v>
      </c>
      <c r="F103" s="2680" t="e">
        <f>1.3372/F101</f>
        <v>#DIV/0!</v>
      </c>
      <c r="G103" s="2680" t="e">
        <f>1.3372/G101</f>
        <v>#DIV/0!</v>
      </c>
      <c r="H103" s="2680" t="e">
        <f>1.3372/H101</f>
        <v>#DIV/0!</v>
      </c>
      <c r="I103" s="2680" t="e">
        <f>1.3372/I101</f>
        <v>#DIV/0!</v>
      </c>
      <c r="J103" s="2680" t="e">
        <f>1.2799/J101</f>
        <v>#DIV/0!</v>
      </c>
      <c r="K103" s="2680" t="e">
        <f>1.2799/K101</f>
        <v>#DIV/0!</v>
      </c>
      <c r="L103" s="2680" t="e">
        <f>1.2799/L101</f>
        <v>#DIV/0!</v>
      </c>
      <c r="M103" s="2680" t="e">
        <f>1.2799/M101</f>
        <v>#DIV/0!</v>
      </c>
      <c r="N103" s="2680" t="e">
        <f>1.2799/N101</f>
        <v>#DIV/0!</v>
      </c>
    </row>
    <row r="104" spans="1:14">
      <c r="A104" s="3092"/>
      <c r="B104" s="2679">
        <v>3</v>
      </c>
      <c r="C104" s="2680" t="e">
        <f>1.1594/C101</f>
        <v>#DIV/0!</v>
      </c>
      <c r="D104" s="2680" t="e">
        <f>1.1594/D101</f>
        <v>#DIV/0!</v>
      </c>
      <c r="E104" s="2680" t="e">
        <f>1.0788/E101</f>
        <v>#DIV/0!</v>
      </c>
      <c r="F104" s="2680" t="e">
        <f>1.0788/F101</f>
        <v>#DIV/0!</v>
      </c>
      <c r="G104" s="2680" t="e">
        <f>1.0788/G101</f>
        <v>#DIV/0!</v>
      </c>
      <c r="H104" s="2680" t="e">
        <f>1.0788/H101</f>
        <v>#DIV/0!</v>
      </c>
      <c r="I104" s="2680" t="e">
        <f>1.0788/I101</f>
        <v>#DIV/0!</v>
      </c>
      <c r="J104" s="2680" t="e">
        <f>1.0072/J101</f>
        <v>#DIV/0!</v>
      </c>
      <c r="K104" s="2680" t="e">
        <f>1.0072/K101</f>
        <v>#DIV/0!</v>
      </c>
      <c r="L104" s="2680" t="e">
        <f>1.0072/L101</f>
        <v>#DIV/0!</v>
      </c>
      <c r="M104" s="2680" t="e">
        <f>1.0072/M101</f>
        <v>#DIV/0!</v>
      </c>
      <c r="N104" s="2680" t="e">
        <f>1.0072/N101</f>
        <v>#DIV/0!</v>
      </c>
    </row>
    <row r="105" spans="1:14">
      <c r="A105" s="3092"/>
      <c r="B105" s="2679">
        <v>4</v>
      </c>
      <c r="C105" s="2680" t="e">
        <f>0.9622/C101</f>
        <v>#DIV/0!</v>
      </c>
      <c r="D105" s="2680" t="e">
        <f>0.9622/D101</f>
        <v>#DIV/0!</v>
      </c>
      <c r="E105" s="2680" t="e">
        <f>0.8656/E101</f>
        <v>#DIV/0!</v>
      </c>
      <c r="F105" s="2680" t="e">
        <f>0.8656/F101</f>
        <v>#DIV/0!</v>
      </c>
      <c r="G105" s="2680" t="e">
        <f>0.8656/G101</f>
        <v>#DIV/0!</v>
      </c>
      <c r="H105" s="2680" t="e">
        <f>0.8656/H101</f>
        <v>#DIV/0!</v>
      </c>
      <c r="I105" s="2680" t="e">
        <f>0.8656/I101</f>
        <v>#DIV/0!</v>
      </c>
      <c r="J105" s="2680" t="e">
        <f>0.7525/J101</f>
        <v>#DIV/0!</v>
      </c>
      <c r="K105" s="2680" t="e">
        <f>0.7525/K101</f>
        <v>#DIV/0!</v>
      </c>
      <c r="L105" s="2680" t="e">
        <f>0.7525/L101</f>
        <v>#DIV/0!</v>
      </c>
      <c r="M105" s="2680" t="e">
        <f>0.7525/M101</f>
        <v>#DIV/0!</v>
      </c>
      <c r="N105" s="2680" t="e">
        <f>0.7525/N101</f>
        <v>#DIV/0!</v>
      </c>
    </row>
    <row r="106" spans="1:14">
      <c r="A106" s="3092"/>
      <c r="B106" s="2679">
        <v>5</v>
      </c>
      <c r="C106" s="2680" t="e">
        <f>0.8417/C101</f>
        <v>#DIV/0!</v>
      </c>
      <c r="D106" s="2680" t="e">
        <f>0.8417/D101</f>
        <v>#DIV/0!</v>
      </c>
      <c r="E106" s="2680" t="e">
        <f>0.7371/E101</f>
        <v>#DIV/0!</v>
      </c>
      <c r="F106" s="2680" t="e">
        <f>0.7371/F101</f>
        <v>#DIV/0!</v>
      </c>
      <c r="G106" s="2680" t="e">
        <f>0.7371/G101</f>
        <v>#DIV/0!</v>
      </c>
      <c r="H106" s="2680" t="e">
        <f>0.7371/H101</f>
        <v>#DIV/0!</v>
      </c>
      <c r="I106" s="2680" t="e">
        <f>0.7371/I101</f>
        <v>#DIV/0!</v>
      </c>
      <c r="J106" s="2680" t="e">
        <f>0.5659/J101</f>
        <v>#DIV/0!</v>
      </c>
      <c r="K106" s="2680" t="e">
        <f>0.5659/K101</f>
        <v>#DIV/0!</v>
      </c>
      <c r="L106" s="2680" t="e">
        <f>0.5659/L101</f>
        <v>#DIV/0!</v>
      </c>
      <c r="M106" s="2680" t="e">
        <f>0.5659/M101</f>
        <v>#DIV/0!</v>
      </c>
      <c r="N106" s="2680" t="e">
        <f>0.5659/N101</f>
        <v>#DIV/0!</v>
      </c>
    </row>
    <row r="107" spans="1:14">
      <c r="A107" s="3092"/>
      <c r="B107" s="2679">
        <v>6</v>
      </c>
      <c r="C107" s="2680" t="e">
        <f>0.7608/C101</f>
        <v>#DIV/0!</v>
      </c>
      <c r="D107" s="2680" t="e">
        <f>0.7608/D101</f>
        <v>#DIV/0!</v>
      </c>
      <c r="E107" s="2680" t="e">
        <f>0.6482/E101</f>
        <v>#DIV/0!</v>
      </c>
      <c r="F107" s="2680" t="e">
        <f>0.6482/F101</f>
        <v>#DIV/0!</v>
      </c>
      <c r="G107" s="2680" t="e">
        <f>0.6482/G101</f>
        <v>#DIV/0!</v>
      </c>
      <c r="H107" s="2680" t="e">
        <f>0.6482/H101</f>
        <v>#DIV/0!</v>
      </c>
      <c r="I107" s="2680" t="e">
        <f>0.6482/I101</f>
        <v>#DIV/0!</v>
      </c>
      <c r="J107" s="2680" t="e">
        <f>0.4525/J101</f>
        <v>#DIV/0!</v>
      </c>
      <c r="K107" s="2680" t="e">
        <f>0.4525/K101</f>
        <v>#DIV/0!</v>
      </c>
      <c r="L107" s="2680" t="e">
        <f>0.4525/L101</f>
        <v>#DIV/0!</v>
      </c>
      <c r="M107" s="2680" t="e">
        <f>0.4525/M101</f>
        <v>#DIV/0!</v>
      </c>
      <c r="N107" s="2680" t="e">
        <f>0.4525/N101</f>
        <v>#DIV/0!</v>
      </c>
    </row>
    <row r="108" spans="1:14">
      <c r="A108" s="3092"/>
      <c r="B108" s="3094" t="s">
        <v>2786</v>
      </c>
      <c r="C108" s="2681">
        <f>C99</f>
        <v>7</v>
      </c>
      <c r="D108" s="2681">
        <f t="shared" ref="D108:N108" si="32">D99</f>
        <v>7</v>
      </c>
      <c r="E108" s="2681">
        <f t="shared" si="32"/>
        <v>7</v>
      </c>
      <c r="F108" s="2681">
        <f t="shared" si="32"/>
        <v>7</v>
      </c>
      <c r="G108" s="2681">
        <f t="shared" si="32"/>
        <v>7</v>
      </c>
      <c r="H108" s="2681">
        <f t="shared" si="32"/>
        <v>7</v>
      </c>
      <c r="I108" s="2681">
        <f t="shared" si="32"/>
        <v>7</v>
      </c>
      <c r="J108" s="2681">
        <f t="shared" si="32"/>
        <v>7</v>
      </c>
      <c r="K108" s="2681">
        <f t="shared" si="32"/>
        <v>7</v>
      </c>
      <c r="L108" s="2681">
        <f t="shared" si="32"/>
        <v>7</v>
      </c>
      <c r="M108" s="2681">
        <f t="shared" si="32"/>
        <v>7</v>
      </c>
      <c r="N108" s="2681">
        <f t="shared" si="32"/>
        <v>7</v>
      </c>
    </row>
    <row r="109" spans="1:14">
      <c r="A109" s="3093"/>
      <c r="B109" s="3095"/>
      <c r="C109" s="2682" t="e">
        <f>(-0.163*(C108^2)-0.59*C108+7617)*(10^(-4))/C101</f>
        <v>#DIV/0!</v>
      </c>
      <c r="D109" s="2682" t="e">
        <f>(-0.163*(D108^2)-0.59*D108+7617)*(10^(-4))/D101</f>
        <v>#DIV/0!</v>
      </c>
      <c r="E109" s="2682" t="e">
        <f>(-0.161*(E108^2)-7.509*E108+6533)*(10^(-4))/E101</f>
        <v>#DIV/0!</v>
      </c>
      <c r="F109" s="2682" t="e">
        <f>(-0.161*(F108^2)-7.509*F108+6533)*(10^(-4))/F101</f>
        <v>#DIV/0!</v>
      </c>
      <c r="G109" s="2682" t="e">
        <f>(-0.161*(G108^2)-7.509*G108+6533)*(10^(-4))/G101</f>
        <v>#DIV/0!</v>
      </c>
      <c r="H109" s="2682" t="e">
        <f>(-0.161*(H108^2)-7.509*H108+6533)*(10^(-4))/H101</f>
        <v>#DIV/0!</v>
      </c>
      <c r="I109" s="2682" t="e">
        <f>(-0.161*(I108^2)-7.509*I108+6533)*(10^(-4))/I101</f>
        <v>#DIV/0!</v>
      </c>
      <c r="J109" s="2682" t="e">
        <f>(-0.214*(J108^2)-21.991*J108+4665)*(10^(-4))/J101</f>
        <v>#DIV/0!</v>
      </c>
      <c r="K109" s="2682" t="e">
        <f>(-0.214*(K108^2)-21.991*K108+4665)*(10^(-4))/K101</f>
        <v>#DIV/0!</v>
      </c>
      <c r="L109" s="2682" t="e">
        <f>(-0.214*(L108^2)-21.991*L108+4665)*(10^(-4))/L101</f>
        <v>#DIV/0!</v>
      </c>
      <c r="M109" s="2682" t="e">
        <f>(-0.214*(M108^2)-21.991*M108+4665)*(10^(-4))/M101</f>
        <v>#DIV/0!</v>
      </c>
      <c r="N109" s="2682" t="e">
        <f>(-0.214*(N108^2)-21.991*N108+4665)*(10^(-4))/N101</f>
        <v>#DIV/0!</v>
      </c>
    </row>
    <row r="110" spans="1:14">
      <c r="A110" s="3089" t="s">
        <v>2787</v>
      </c>
      <c r="B110" s="3089"/>
      <c r="C110" s="3089"/>
      <c r="D110" s="3089"/>
      <c r="E110" s="3089"/>
      <c r="F110" s="3089"/>
      <c r="G110" s="3089"/>
      <c r="H110" s="3089"/>
      <c r="I110" s="3089"/>
      <c r="J110" s="3089"/>
      <c r="K110" s="2685"/>
      <c r="L110" s="2685"/>
      <c r="M110" s="2685"/>
      <c r="N110" s="2685"/>
    </row>
    <row r="112" spans="1:14" ht="13.5" thickBot="1"/>
    <row r="113" spans="1:13" ht="25.5" thickBot="1">
      <c r="A113" s="926" t="s">
        <v>2788</v>
      </c>
      <c r="B113" s="1376">
        <f>G3</f>
        <v>0</v>
      </c>
      <c r="C113" s="927" t="s">
        <v>2789</v>
      </c>
      <c r="D113" s="928">
        <f>SUMPRODUCT((A115:A118=F113)*(B114:M114=H113)*B115:M118)</f>
        <v>0</v>
      </c>
      <c r="E113" s="2687" t="s">
        <v>2673</v>
      </c>
      <c r="F113" s="2688">
        <f>E2</f>
        <v>0</v>
      </c>
      <c r="G113" s="2687" t="s">
        <v>2607</v>
      </c>
      <c r="H113" s="2688" t="str">
        <f>G2</f>
        <v>六级</v>
      </c>
      <c r="I113" s="2687"/>
      <c r="J113" s="2689"/>
      <c r="K113" s="2689"/>
      <c r="L113" s="2689"/>
      <c r="M113" s="2689"/>
    </row>
    <row r="114" spans="1:13">
      <c r="A114" s="931"/>
      <c r="B114" s="2690" t="s">
        <v>2790</v>
      </c>
      <c r="C114" s="2690" t="s">
        <v>2791</v>
      </c>
      <c r="D114" s="2690" t="s">
        <v>2792</v>
      </c>
      <c r="E114" s="2691" t="s">
        <v>2793</v>
      </c>
      <c r="F114" s="2691" t="s">
        <v>2794</v>
      </c>
      <c r="G114" s="2691" t="s">
        <v>2795</v>
      </c>
      <c r="H114" s="2692" t="s">
        <v>2796</v>
      </c>
      <c r="I114" s="2692" t="s">
        <v>2797</v>
      </c>
      <c r="J114" s="2693" t="s">
        <v>2798</v>
      </c>
      <c r="K114" s="2693" t="s">
        <v>2799</v>
      </c>
      <c r="L114" s="2693" t="s">
        <v>2800</v>
      </c>
      <c r="M114" s="2694" t="s">
        <v>2801</v>
      </c>
    </row>
    <row r="115" spans="1:13">
      <c r="A115" s="932" t="s">
        <v>2674</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2675</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2676</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2677</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9" t="s">
        <v>787</v>
      </c>
      <c r="B1" s="309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估价对象周边有350路、553路、571路、619路、640路、650路等多条公交线路，距最近的地铁站6号线（褡裢站）约3500米，综合评价交通便捷度一般</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城市支路——市政道路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区域自然环境：东坝郊野公园；人文环境：京城体育休闲公园、北京市东郊殡仪馆；综合评价环境状况一般</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估价对象周边有350路、553路、571路、619路、640路、650路等多条公交线路，距最近的地铁站6号线（褡裢站）约3500米，综合评价交通便捷度一般</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城市支路——市政道路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区域自然环境：东坝郊野公园；人文环境：京城体育休闲公园、北京市东郊殡仪馆；综合评价环境状况一般</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估价对象周边有泓鑫家园、富北嘉园、金泽家园、金泰丽富嘉园等，综合评价居住社区成熟度较好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估价对象周边有350路、553路、571路、619路、640路、650路等多条公交线路，距最近的地铁站6号线（褡裢站）约3500米，综合评价交通便捷度一般</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城市支路——市政道路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区域自然环境：东坝郊野公园；人文环境：京城体育休闲公园、北京市东郊殡仪馆；综合评价环境状况一般</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9" t="s">
        <v>105</v>
      </c>
      <c r="B1" s="3099"/>
      <c r="C1" s="3099"/>
      <c r="D1" s="3099"/>
      <c r="E1" s="3099"/>
      <c r="F1" s="309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0" t="s">
        <v>118</v>
      </c>
      <c r="B2" s="3100"/>
      <c r="C2" s="3100"/>
      <c r="D2" s="3100"/>
      <c r="E2" s="3100"/>
      <c r="F2" s="310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3" t="s">
        <v>132</v>
      </c>
      <c r="B18" s="905" t="s">
        <v>517</v>
      </c>
      <c r="C18" s="906" t="s">
        <v>518</v>
      </c>
      <c r="D18" s="907"/>
      <c r="E18" s="905">
        <v>1</v>
      </c>
      <c r="F18" s="908" t="s">
        <v>519</v>
      </c>
      <c r="G18" s="909"/>
      <c r="H18" s="901"/>
      <c r="I18" s="901"/>
    </row>
    <row r="19" spans="1:9" s="910" customFormat="1" ht="19.5" customHeight="1">
      <c r="A19" s="3103"/>
      <c r="B19" s="3103" t="s">
        <v>520</v>
      </c>
      <c r="C19" s="906" t="s">
        <v>521</v>
      </c>
      <c r="D19" s="907"/>
      <c r="E19" s="905">
        <v>0.9</v>
      </c>
      <c r="F19" s="908" t="s">
        <v>522</v>
      </c>
      <c r="G19" s="909"/>
      <c r="H19" s="901"/>
      <c r="I19" s="901"/>
    </row>
    <row r="20" spans="1:9" s="910" customFormat="1" ht="19.5" customHeight="1">
      <c r="A20" s="3103"/>
      <c r="B20" s="3103"/>
      <c r="C20" s="906" t="s">
        <v>523</v>
      </c>
      <c r="D20" s="907"/>
      <c r="E20" s="905">
        <v>1.1000000000000001</v>
      </c>
      <c r="F20" s="908" t="s">
        <v>524</v>
      </c>
      <c r="G20" s="909"/>
      <c r="H20" s="901"/>
      <c r="I20" s="901"/>
    </row>
    <row r="21" spans="1:9" s="910" customFormat="1" ht="19.5" customHeight="1">
      <c r="A21" s="3103"/>
      <c r="B21" s="3103"/>
      <c r="C21" s="906" t="s">
        <v>525</v>
      </c>
      <c r="D21" s="907"/>
      <c r="E21" s="905">
        <v>0.8</v>
      </c>
      <c r="F21" s="908" t="s">
        <v>526</v>
      </c>
      <c r="G21" s="909"/>
      <c r="H21" s="901"/>
      <c r="I21" s="901"/>
    </row>
    <row r="22" spans="1:9" s="910" customFormat="1" ht="19.5" customHeight="1">
      <c r="A22" s="3103"/>
      <c r="B22" s="3103"/>
      <c r="C22" s="906" t="s">
        <v>527</v>
      </c>
      <c r="D22" s="907"/>
      <c r="E22" s="905">
        <v>0.5</v>
      </c>
      <c r="F22" s="908"/>
      <c r="G22" s="909"/>
      <c r="H22" s="901"/>
      <c r="I22" s="901"/>
    </row>
    <row r="23" spans="1:9" s="910" customFormat="1" ht="19.5" customHeight="1">
      <c r="A23" s="3103" t="s">
        <v>133</v>
      </c>
      <c r="B23" s="905" t="s">
        <v>517</v>
      </c>
      <c r="C23" s="906" t="s">
        <v>528</v>
      </c>
      <c r="D23" s="907"/>
      <c r="E23" s="905">
        <v>1</v>
      </c>
      <c r="F23" s="908" t="s">
        <v>529</v>
      </c>
      <c r="G23" s="909"/>
      <c r="H23" s="901"/>
      <c r="I23" s="901"/>
    </row>
    <row r="24" spans="1:9" s="910" customFormat="1" ht="19.5" customHeight="1">
      <c r="A24" s="3103"/>
      <c r="B24" s="3103" t="s">
        <v>520</v>
      </c>
      <c r="C24" s="906" t="s">
        <v>530</v>
      </c>
      <c r="D24" s="907"/>
      <c r="E24" s="905">
        <v>0.5</v>
      </c>
      <c r="F24" s="908"/>
      <c r="G24" s="909"/>
      <c r="H24" s="901"/>
      <c r="I24" s="901"/>
    </row>
    <row r="25" spans="1:9" s="910" customFormat="1" ht="19.5" customHeight="1">
      <c r="A25" s="3103"/>
      <c r="B25" s="3103"/>
      <c r="C25" s="906" t="s">
        <v>531</v>
      </c>
      <c r="D25" s="907"/>
      <c r="E25" s="905">
        <v>1.1000000000000001</v>
      </c>
      <c r="F25" s="908"/>
      <c r="G25" s="909"/>
      <c r="H25" s="901"/>
      <c r="I25" s="901"/>
    </row>
    <row r="26" spans="1:9" s="910" customFormat="1" ht="19.5" customHeight="1">
      <c r="A26" s="3103"/>
      <c r="B26" s="3103"/>
      <c r="C26" s="906" t="s">
        <v>532</v>
      </c>
      <c r="D26" s="907"/>
      <c r="E26" s="905">
        <v>1.1000000000000001</v>
      </c>
      <c r="F26" s="908"/>
      <c r="G26" s="909"/>
      <c r="H26" s="901"/>
      <c r="I26" s="901"/>
    </row>
    <row r="27" spans="1:9" s="910" customFormat="1" ht="19.5" customHeight="1">
      <c r="A27" s="3103"/>
      <c r="B27" s="3103"/>
      <c r="C27" s="906" t="s">
        <v>533</v>
      </c>
      <c r="D27" s="907"/>
      <c r="E27" s="905">
        <v>0.9</v>
      </c>
      <c r="F27" s="908" t="s">
        <v>534</v>
      </c>
      <c r="G27" s="909"/>
      <c r="H27" s="901"/>
      <c r="I27" s="901"/>
    </row>
    <row r="28" spans="1:9" s="910" customFormat="1" ht="19.5" customHeight="1">
      <c r="A28" s="3103"/>
      <c r="B28" s="3103"/>
      <c r="C28" s="906" t="s">
        <v>535</v>
      </c>
      <c r="D28" s="907"/>
      <c r="E28" s="905">
        <v>0.9</v>
      </c>
      <c r="F28" s="908" t="s">
        <v>536</v>
      </c>
      <c r="G28" s="909"/>
      <c r="H28" s="901"/>
      <c r="I28" s="901"/>
    </row>
    <row r="29" spans="1:9" s="910" customFormat="1" ht="19.5" customHeight="1">
      <c r="A29" s="3103"/>
      <c r="B29" s="3103"/>
      <c r="C29" s="906" t="s">
        <v>537</v>
      </c>
      <c r="D29" s="907"/>
      <c r="E29" s="905">
        <v>0.9</v>
      </c>
      <c r="F29" s="908" t="s">
        <v>538</v>
      </c>
      <c r="G29" s="909"/>
      <c r="H29" s="901"/>
      <c r="I29" s="901"/>
    </row>
    <row r="30" spans="1:9" s="910" customFormat="1" ht="19.5" customHeight="1">
      <c r="A30" s="3103"/>
      <c r="B30" s="3103"/>
      <c r="C30" s="906" t="s">
        <v>539</v>
      </c>
      <c r="D30" s="907"/>
      <c r="E30" s="905">
        <v>0.9</v>
      </c>
      <c r="F30" s="908" t="s">
        <v>540</v>
      </c>
      <c r="G30" s="909"/>
      <c r="H30" s="901"/>
      <c r="I30" s="901"/>
    </row>
    <row r="31" spans="1:9" s="910" customFormat="1" ht="19.5" customHeight="1">
      <c r="A31" s="3103"/>
      <c r="B31" s="3103"/>
      <c r="C31" s="906" t="s">
        <v>541</v>
      </c>
      <c r="D31" s="907"/>
      <c r="E31" s="905">
        <v>0.8</v>
      </c>
      <c r="F31" s="908" t="s">
        <v>542</v>
      </c>
      <c r="G31" s="909"/>
      <c r="H31" s="901"/>
      <c r="I31" s="901"/>
    </row>
    <row r="32" spans="1:9" s="910" customFormat="1" ht="19.5" customHeight="1">
      <c r="A32" s="3103"/>
      <c r="B32" s="3103"/>
      <c r="C32" s="906" t="s">
        <v>543</v>
      </c>
      <c r="D32" s="907"/>
      <c r="E32" s="905">
        <v>0.8</v>
      </c>
      <c r="F32" s="908" t="s">
        <v>544</v>
      </c>
      <c r="G32" s="909"/>
      <c r="H32" s="901"/>
      <c r="I32" s="901"/>
    </row>
    <row r="33" spans="1:9" s="910" customFormat="1" ht="19.5" customHeight="1">
      <c r="A33" s="3103" t="s">
        <v>134</v>
      </c>
      <c r="B33" s="905" t="s">
        <v>517</v>
      </c>
      <c r="C33" s="906" t="s">
        <v>545</v>
      </c>
      <c r="D33" s="907"/>
      <c r="E33" s="905">
        <v>1</v>
      </c>
      <c r="F33" s="908" t="s">
        <v>546</v>
      </c>
      <c r="G33" s="909"/>
      <c r="H33" s="901"/>
      <c r="I33" s="901"/>
    </row>
    <row r="34" spans="1:9" s="910" customFormat="1" ht="19.5" customHeight="1">
      <c r="A34" s="3103"/>
      <c r="B34" s="905" t="s">
        <v>520</v>
      </c>
      <c r="C34" s="906" t="s">
        <v>547</v>
      </c>
      <c r="D34" s="907"/>
      <c r="E34" s="905">
        <v>1.5</v>
      </c>
      <c r="F34" s="908" t="s">
        <v>548</v>
      </c>
      <c r="G34" s="909"/>
      <c r="H34" s="901"/>
      <c r="I34" s="901"/>
    </row>
    <row r="35" spans="1:9" s="910" customFormat="1" ht="19.5" customHeight="1">
      <c r="A35" s="3103" t="s">
        <v>135</v>
      </c>
      <c r="B35" s="905" t="s">
        <v>517</v>
      </c>
      <c r="C35" s="906" t="s">
        <v>549</v>
      </c>
      <c r="D35" s="907"/>
      <c r="E35" s="905">
        <v>1</v>
      </c>
      <c r="F35" s="908" t="s">
        <v>550</v>
      </c>
      <c r="G35" s="909"/>
      <c r="H35" s="901"/>
      <c r="I35" s="901"/>
    </row>
    <row r="36" spans="1:9" s="910" customFormat="1" ht="19.5" customHeight="1">
      <c r="A36" s="3103"/>
      <c r="B36" s="3103" t="s">
        <v>520</v>
      </c>
      <c r="C36" s="906" t="s">
        <v>551</v>
      </c>
      <c r="D36" s="907"/>
      <c r="E36" s="905">
        <v>1</v>
      </c>
      <c r="F36" s="908" t="s">
        <v>552</v>
      </c>
      <c r="G36" s="909"/>
      <c r="H36" s="901"/>
      <c r="I36" s="901"/>
    </row>
    <row r="37" spans="1:9" s="910" customFormat="1" ht="19.5" customHeight="1">
      <c r="A37" s="3103"/>
      <c r="B37" s="3103"/>
      <c r="C37" s="906" t="s">
        <v>553</v>
      </c>
      <c r="D37" s="907"/>
      <c r="E37" s="905">
        <v>1.5</v>
      </c>
      <c r="F37" s="908" t="s">
        <v>554</v>
      </c>
      <c r="G37" s="909"/>
      <c r="H37" s="901"/>
      <c r="I37" s="901"/>
    </row>
    <row r="38" spans="1:9" s="910" customFormat="1" ht="19.5" customHeight="1">
      <c r="A38" s="3103"/>
      <c r="B38" s="3103"/>
      <c r="C38" s="906" t="s">
        <v>555</v>
      </c>
      <c r="D38" s="907"/>
      <c r="E38" s="905">
        <v>1</v>
      </c>
      <c r="F38" s="908" t="s">
        <v>556</v>
      </c>
      <c r="G38" s="909"/>
      <c r="H38" s="901"/>
      <c r="I38" s="901"/>
    </row>
    <row r="39" spans="1:9" s="910" customFormat="1" ht="19.5" customHeight="1">
      <c r="A39" s="3103"/>
      <c r="B39" s="310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3" t="s">
        <v>571</v>
      </c>
      <c r="C61" s="819" t="s">
        <v>572</v>
      </c>
      <c r="D61" s="819" t="s">
        <v>573</v>
      </c>
      <c r="E61" s="918">
        <v>0.5</v>
      </c>
      <c r="F61" s="905">
        <v>80</v>
      </c>
    </row>
    <row r="62" spans="1:8" s="901" customFormat="1" ht="24">
      <c r="A62" s="905">
        <v>2</v>
      </c>
      <c r="B62" s="3103"/>
      <c r="C62" s="819" t="s">
        <v>574</v>
      </c>
      <c r="D62" s="819" t="s">
        <v>575</v>
      </c>
      <c r="E62" s="918">
        <v>0.5</v>
      </c>
      <c r="F62" s="905">
        <v>80</v>
      </c>
    </row>
    <row r="63" spans="1:8" s="901" customFormat="1" ht="36">
      <c r="A63" s="905">
        <v>3</v>
      </c>
      <c r="B63" s="3103"/>
      <c r="C63" s="819" t="s">
        <v>576</v>
      </c>
      <c r="D63" s="819" t="s">
        <v>577</v>
      </c>
      <c r="E63" s="918">
        <v>0.5</v>
      </c>
      <c r="F63" s="905">
        <v>80</v>
      </c>
    </row>
    <row r="64" spans="1:8" s="901" customFormat="1" ht="36">
      <c r="A64" s="905">
        <v>4</v>
      </c>
      <c r="B64" s="3103"/>
      <c r="C64" s="819" t="s">
        <v>578</v>
      </c>
      <c r="D64" s="819" t="s">
        <v>579</v>
      </c>
      <c r="E64" s="918">
        <v>0.4</v>
      </c>
      <c r="F64" s="905">
        <v>60</v>
      </c>
    </row>
    <row r="65" spans="1:6" s="901" customFormat="1" ht="36">
      <c r="A65" s="905">
        <v>5</v>
      </c>
      <c r="B65" s="3103"/>
      <c r="C65" s="819" t="s">
        <v>580</v>
      </c>
      <c r="D65" s="819" t="s">
        <v>581</v>
      </c>
      <c r="E65" s="918">
        <v>0.2</v>
      </c>
      <c r="F65" s="905">
        <v>30</v>
      </c>
    </row>
    <row r="66" spans="1:6" s="901" customFormat="1" ht="36">
      <c r="A66" s="905">
        <v>6</v>
      </c>
      <c r="B66" s="3103"/>
      <c r="C66" s="819" t="s">
        <v>582</v>
      </c>
      <c r="D66" s="819" t="s">
        <v>583</v>
      </c>
      <c r="E66" s="918">
        <v>0.3</v>
      </c>
      <c r="F66" s="905">
        <v>50</v>
      </c>
    </row>
    <row r="67" spans="1:6" s="901" customFormat="1" ht="36">
      <c r="A67" s="905">
        <v>7</v>
      </c>
      <c r="B67" s="3103"/>
      <c r="C67" s="819" t="s">
        <v>584</v>
      </c>
      <c r="D67" s="819" t="s">
        <v>585</v>
      </c>
      <c r="E67" s="918">
        <v>0.2</v>
      </c>
      <c r="F67" s="905">
        <v>30</v>
      </c>
    </row>
    <row r="68" spans="1:6" s="901" customFormat="1" ht="36">
      <c r="A68" s="905">
        <v>8</v>
      </c>
      <c r="B68" s="3103"/>
      <c r="C68" s="819" t="s">
        <v>586</v>
      </c>
      <c r="D68" s="819" t="s">
        <v>587</v>
      </c>
      <c r="E68" s="918">
        <v>0.2</v>
      </c>
      <c r="F68" s="905">
        <v>30</v>
      </c>
    </row>
    <row r="69" spans="1:6" s="901" customFormat="1" ht="36">
      <c r="A69" s="905">
        <v>9</v>
      </c>
      <c r="B69" s="3103"/>
      <c r="C69" s="819" t="s">
        <v>588</v>
      </c>
      <c r="D69" s="819" t="s">
        <v>589</v>
      </c>
      <c r="E69" s="918">
        <v>0.2</v>
      </c>
      <c r="F69" s="905">
        <v>30</v>
      </c>
    </row>
    <row r="70" spans="1:6" s="901" customFormat="1" ht="48">
      <c r="A70" s="905">
        <v>10</v>
      </c>
      <c r="B70" s="3103"/>
      <c r="C70" s="819" t="s">
        <v>590</v>
      </c>
      <c r="D70" s="819" t="s">
        <v>591</v>
      </c>
      <c r="E70" s="918">
        <v>0.2</v>
      </c>
      <c r="F70" s="905">
        <v>30</v>
      </c>
    </row>
    <row r="71" spans="1:6" s="901" customFormat="1" ht="48">
      <c r="A71" s="905">
        <v>11</v>
      </c>
      <c r="B71" s="3103"/>
      <c r="C71" s="819" t="s">
        <v>592</v>
      </c>
      <c r="D71" s="819" t="s">
        <v>593</v>
      </c>
      <c r="E71" s="918">
        <v>0.2</v>
      </c>
      <c r="F71" s="905">
        <v>30</v>
      </c>
    </row>
    <row r="72" spans="1:6" s="901" customFormat="1" ht="36">
      <c r="A72" s="905">
        <v>12</v>
      </c>
      <c r="B72" s="3103"/>
      <c r="C72" s="819" t="s">
        <v>594</v>
      </c>
      <c r="D72" s="819" t="s">
        <v>595</v>
      </c>
      <c r="E72" s="918">
        <v>0.5</v>
      </c>
      <c r="F72" s="905">
        <v>80</v>
      </c>
    </row>
    <row r="73" spans="1:6" s="901" customFormat="1" ht="24">
      <c r="A73" s="905">
        <v>13</v>
      </c>
      <c r="B73" s="3103"/>
      <c r="C73" s="819" t="s">
        <v>596</v>
      </c>
      <c r="D73" s="819" t="s">
        <v>597</v>
      </c>
      <c r="E73" s="918">
        <v>0.4</v>
      </c>
      <c r="F73" s="905">
        <v>60</v>
      </c>
    </row>
    <row r="74" spans="1:6" s="901" customFormat="1" ht="24">
      <c r="A74" s="905">
        <v>14</v>
      </c>
      <c r="B74" s="3103"/>
      <c r="C74" s="819" t="s">
        <v>598</v>
      </c>
      <c r="D74" s="819" t="s">
        <v>599</v>
      </c>
      <c r="E74" s="918">
        <v>0.2</v>
      </c>
      <c r="F74" s="905">
        <v>30</v>
      </c>
    </row>
    <row r="75" spans="1:6" s="901" customFormat="1" ht="24">
      <c r="A75" s="905">
        <v>15</v>
      </c>
      <c r="B75" s="3103"/>
      <c r="C75" s="819" t="s">
        <v>600</v>
      </c>
      <c r="D75" s="819" t="s">
        <v>601</v>
      </c>
      <c r="E75" s="918">
        <v>0.2</v>
      </c>
      <c r="F75" s="905">
        <v>30</v>
      </c>
    </row>
    <row r="76" spans="1:6" s="901" customFormat="1" ht="24">
      <c r="A76" s="905">
        <v>16</v>
      </c>
      <c r="B76" s="3103" t="s">
        <v>602</v>
      </c>
      <c r="C76" s="819" t="s">
        <v>603</v>
      </c>
      <c r="D76" s="819" t="s">
        <v>604</v>
      </c>
      <c r="E76" s="918">
        <v>0.5</v>
      </c>
      <c r="F76" s="905">
        <v>80</v>
      </c>
    </row>
    <row r="77" spans="1:6" s="901" customFormat="1" ht="24">
      <c r="A77" s="905">
        <v>17</v>
      </c>
      <c r="B77" s="3103"/>
      <c r="C77" s="819" t="s">
        <v>605</v>
      </c>
      <c r="D77" s="819" t="s">
        <v>606</v>
      </c>
      <c r="E77" s="918">
        <v>0.5</v>
      </c>
      <c r="F77" s="905">
        <v>80</v>
      </c>
    </row>
    <row r="78" spans="1:6" s="901" customFormat="1" ht="24">
      <c r="A78" s="905">
        <v>18</v>
      </c>
      <c r="B78" s="3103"/>
      <c r="C78" s="819" t="s">
        <v>607</v>
      </c>
      <c r="D78" s="819" t="s">
        <v>608</v>
      </c>
      <c r="E78" s="918">
        <v>0.2</v>
      </c>
      <c r="F78" s="905">
        <v>30</v>
      </c>
    </row>
    <row r="79" spans="1:6" s="901" customFormat="1" ht="24">
      <c r="A79" s="905">
        <v>19</v>
      </c>
      <c r="B79" s="3103"/>
      <c r="C79" s="819" t="s">
        <v>609</v>
      </c>
      <c r="D79" s="819" t="s">
        <v>610</v>
      </c>
      <c r="E79" s="918">
        <v>0.5</v>
      </c>
      <c r="F79" s="905">
        <v>80</v>
      </c>
    </row>
    <row r="80" spans="1:6" s="901" customFormat="1" ht="36">
      <c r="A80" s="905">
        <v>20</v>
      </c>
      <c r="B80" s="3103"/>
      <c r="C80" s="819" t="s">
        <v>611</v>
      </c>
      <c r="D80" s="819" t="s">
        <v>612</v>
      </c>
      <c r="E80" s="918">
        <v>0.2</v>
      </c>
      <c r="F80" s="905">
        <v>30</v>
      </c>
    </row>
    <row r="81" spans="1:6" s="901" customFormat="1" ht="36">
      <c r="A81" s="905">
        <v>21</v>
      </c>
      <c r="B81" s="3103"/>
      <c r="C81" s="819" t="s">
        <v>613</v>
      </c>
      <c r="D81" s="819" t="s">
        <v>614</v>
      </c>
      <c r="E81" s="918">
        <v>0.2</v>
      </c>
      <c r="F81" s="905">
        <v>30</v>
      </c>
    </row>
    <row r="82" spans="1:6" s="901" customFormat="1" ht="48">
      <c r="A82" s="905">
        <v>22</v>
      </c>
      <c r="B82" s="3103"/>
      <c r="C82" s="819" t="s">
        <v>615</v>
      </c>
      <c r="D82" s="819" t="s">
        <v>616</v>
      </c>
      <c r="E82" s="918">
        <v>0.2</v>
      </c>
      <c r="F82" s="905">
        <v>30</v>
      </c>
    </row>
    <row r="83" spans="1:6" s="901" customFormat="1" ht="48">
      <c r="A83" s="905">
        <v>23</v>
      </c>
      <c r="B83" s="3103"/>
      <c r="C83" s="819" t="s">
        <v>617</v>
      </c>
      <c r="D83" s="819" t="s">
        <v>618</v>
      </c>
      <c r="E83" s="918">
        <v>0.2</v>
      </c>
      <c r="F83" s="905">
        <v>30</v>
      </c>
    </row>
    <row r="84" spans="1:6" s="901" customFormat="1" ht="36">
      <c r="A84" s="905">
        <v>24</v>
      </c>
      <c r="B84" s="3103"/>
      <c r="C84" s="819" t="s">
        <v>619</v>
      </c>
      <c r="D84" s="819" t="s">
        <v>620</v>
      </c>
      <c r="E84" s="918">
        <v>0.2</v>
      </c>
      <c r="F84" s="905">
        <v>30</v>
      </c>
    </row>
    <row r="85" spans="1:6" s="901" customFormat="1" ht="36">
      <c r="A85" s="905">
        <v>25</v>
      </c>
      <c r="B85" s="3103"/>
      <c r="C85" s="819" t="s">
        <v>621</v>
      </c>
      <c r="D85" s="819" t="s">
        <v>622</v>
      </c>
      <c r="E85" s="918">
        <v>0.5</v>
      </c>
      <c r="F85" s="905">
        <v>80</v>
      </c>
    </row>
    <row r="86" spans="1:6" s="901" customFormat="1" ht="36">
      <c r="A86" s="905">
        <v>26</v>
      </c>
      <c r="B86" s="3103"/>
      <c r="C86" s="819" t="s">
        <v>623</v>
      </c>
      <c r="D86" s="819" t="s">
        <v>624</v>
      </c>
      <c r="E86" s="918">
        <v>0.2</v>
      </c>
      <c r="F86" s="905">
        <v>30</v>
      </c>
    </row>
    <row r="87" spans="1:6" s="901" customFormat="1" ht="36">
      <c r="A87" s="905">
        <v>27</v>
      </c>
      <c r="B87" s="3103"/>
      <c r="C87" s="819" t="s">
        <v>625</v>
      </c>
      <c r="D87" s="819" t="s">
        <v>626</v>
      </c>
      <c r="E87" s="918">
        <v>0.2</v>
      </c>
      <c r="F87" s="905">
        <v>30</v>
      </c>
    </row>
    <row r="88" spans="1:6" s="901" customFormat="1" ht="36">
      <c r="A88" s="905">
        <v>28</v>
      </c>
      <c r="B88" s="3103"/>
      <c r="C88" s="819" t="s">
        <v>627</v>
      </c>
      <c r="D88" s="819" t="s">
        <v>628</v>
      </c>
      <c r="E88" s="918">
        <v>0.2</v>
      </c>
      <c r="F88" s="905">
        <v>30</v>
      </c>
    </row>
    <row r="89" spans="1:6" s="901" customFormat="1" ht="24">
      <c r="A89" s="905">
        <v>29</v>
      </c>
      <c r="B89" s="3103"/>
      <c r="C89" s="819" t="s">
        <v>629</v>
      </c>
      <c r="D89" s="819" t="s">
        <v>630</v>
      </c>
      <c r="E89" s="918">
        <v>0.2</v>
      </c>
      <c r="F89" s="905">
        <v>30</v>
      </c>
    </row>
    <row r="90" spans="1:6" s="901" customFormat="1" ht="24">
      <c r="A90" s="905">
        <v>30</v>
      </c>
      <c r="B90" s="3103"/>
      <c r="C90" s="819" t="s">
        <v>631</v>
      </c>
      <c r="D90" s="819" t="s">
        <v>632</v>
      </c>
      <c r="E90" s="918">
        <v>0.2</v>
      </c>
      <c r="F90" s="905">
        <v>30</v>
      </c>
    </row>
    <row r="91" spans="1:6" s="901" customFormat="1" ht="36">
      <c r="A91" s="905">
        <v>31</v>
      </c>
      <c r="B91" s="3103"/>
      <c r="C91" s="819" t="s">
        <v>633</v>
      </c>
      <c r="D91" s="819" t="s">
        <v>634</v>
      </c>
      <c r="E91" s="918">
        <v>0.2</v>
      </c>
      <c r="F91" s="905">
        <v>30</v>
      </c>
    </row>
    <row r="92" spans="1:6" s="901" customFormat="1" ht="24">
      <c r="A92" s="905">
        <v>32</v>
      </c>
      <c r="B92" s="3103" t="s">
        <v>635</v>
      </c>
      <c r="C92" s="905" t="s">
        <v>636</v>
      </c>
      <c r="D92" s="819" t="s">
        <v>637</v>
      </c>
      <c r="E92" s="918">
        <v>0.2</v>
      </c>
      <c r="F92" s="905">
        <v>30</v>
      </c>
    </row>
    <row r="93" spans="1:6" s="901" customFormat="1" ht="36">
      <c r="A93" s="905">
        <v>33</v>
      </c>
      <c r="B93" s="3103"/>
      <c r="C93" s="905" t="s">
        <v>638</v>
      </c>
      <c r="D93" s="819" t="s">
        <v>639</v>
      </c>
      <c r="E93" s="918">
        <v>0.2</v>
      </c>
      <c r="F93" s="905">
        <v>30</v>
      </c>
    </row>
    <row r="94" spans="1:6" s="901" customFormat="1" ht="48">
      <c r="A94" s="905">
        <v>34</v>
      </c>
      <c r="B94" s="3103"/>
      <c r="C94" s="905" t="s">
        <v>640</v>
      </c>
      <c r="D94" s="819" t="s">
        <v>641</v>
      </c>
      <c r="E94" s="918">
        <v>0.2</v>
      </c>
      <c r="F94" s="905">
        <v>30</v>
      </c>
    </row>
    <row r="95" spans="1:6" s="901" customFormat="1" ht="36">
      <c r="A95" s="905">
        <v>35</v>
      </c>
      <c r="B95" s="3103"/>
      <c r="C95" s="905" t="s">
        <v>642</v>
      </c>
      <c r="D95" s="819" t="s">
        <v>643</v>
      </c>
      <c r="E95" s="918">
        <v>0.2</v>
      </c>
      <c r="F95" s="905">
        <v>30</v>
      </c>
    </row>
    <row r="96" spans="1:6" s="901" customFormat="1" ht="48">
      <c r="A96" s="905">
        <v>36</v>
      </c>
      <c r="B96" s="3103"/>
      <c r="C96" s="819" t="s">
        <v>644</v>
      </c>
      <c r="D96" s="819" t="s">
        <v>645</v>
      </c>
      <c r="E96" s="918">
        <v>0.2</v>
      </c>
      <c r="F96" s="905">
        <v>30</v>
      </c>
    </row>
    <row r="97" spans="1:6" s="901" customFormat="1" ht="36">
      <c r="A97" s="905">
        <v>37</v>
      </c>
      <c r="B97" s="3103"/>
      <c r="C97" s="905" t="s">
        <v>646</v>
      </c>
      <c r="D97" s="819" t="s">
        <v>647</v>
      </c>
      <c r="E97" s="918">
        <v>0.2</v>
      </c>
      <c r="F97" s="905">
        <v>30</v>
      </c>
    </row>
    <row r="98" spans="1:6" s="901" customFormat="1" ht="36">
      <c r="A98" s="905">
        <v>38</v>
      </c>
      <c r="B98" s="3103"/>
      <c r="C98" s="905" t="s">
        <v>648</v>
      </c>
      <c r="D98" s="819" t="s">
        <v>649</v>
      </c>
      <c r="E98" s="918">
        <v>0.2</v>
      </c>
      <c r="F98" s="905">
        <v>30</v>
      </c>
    </row>
    <row r="99" spans="1:6" s="901" customFormat="1" ht="36">
      <c r="A99" s="905">
        <v>39</v>
      </c>
      <c r="B99" s="3103" t="s">
        <v>650</v>
      </c>
      <c r="C99" s="905" t="s">
        <v>651</v>
      </c>
      <c r="D99" s="819" t="s">
        <v>652</v>
      </c>
      <c r="E99" s="918">
        <v>0.3</v>
      </c>
      <c r="F99" s="905">
        <v>50</v>
      </c>
    </row>
    <row r="100" spans="1:6" s="901" customFormat="1" ht="24">
      <c r="A100" s="905">
        <v>40</v>
      </c>
      <c r="B100" s="3103"/>
      <c r="C100" s="905" t="s">
        <v>653</v>
      </c>
      <c r="D100" s="819" t="s">
        <v>654</v>
      </c>
      <c r="E100" s="918">
        <v>0.2</v>
      </c>
      <c r="F100" s="905">
        <v>30</v>
      </c>
    </row>
    <row r="101" spans="1:6" s="901" customFormat="1" ht="36">
      <c r="A101" s="905">
        <v>41</v>
      </c>
      <c r="B101" s="310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3" t="s">
        <v>665</v>
      </c>
      <c r="C105" s="905" t="s">
        <v>666</v>
      </c>
      <c r="D105" s="819" t="s">
        <v>667</v>
      </c>
      <c r="E105" s="918">
        <v>0.2</v>
      </c>
      <c r="F105" s="905">
        <v>30</v>
      </c>
    </row>
    <row r="106" spans="1:6" s="901" customFormat="1" ht="36">
      <c r="A106" s="905">
        <v>46</v>
      </c>
      <c r="B106" s="3103"/>
      <c r="C106" s="905" t="s">
        <v>668</v>
      </c>
      <c r="D106" s="819" t="s">
        <v>669</v>
      </c>
      <c r="E106" s="918">
        <v>0.2</v>
      </c>
      <c r="F106" s="905">
        <v>30</v>
      </c>
    </row>
    <row r="107" spans="1:6" s="901" customFormat="1" ht="36">
      <c r="A107" s="905">
        <v>47</v>
      </c>
      <c r="B107" s="3103" t="s">
        <v>670</v>
      </c>
      <c r="C107" s="905" t="s">
        <v>671</v>
      </c>
      <c r="D107" s="819" t="s">
        <v>672</v>
      </c>
      <c r="E107" s="918">
        <v>0.3</v>
      </c>
      <c r="F107" s="905">
        <v>50</v>
      </c>
    </row>
    <row r="108" spans="1:6" s="901" customFormat="1" ht="36">
      <c r="A108" s="905">
        <v>48</v>
      </c>
      <c r="B108" s="310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3" t="s">
        <v>681</v>
      </c>
      <c r="C111" s="905" t="s">
        <v>682</v>
      </c>
      <c r="D111" s="819" t="s">
        <v>683</v>
      </c>
      <c r="E111" s="918">
        <v>0.2</v>
      </c>
      <c r="F111" s="905">
        <v>30</v>
      </c>
    </row>
    <row r="112" spans="1:6" s="901" customFormat="1" ht="24">
      <c r="A112" s="905">
        <v>52</v>
      </c>
      <c r="B112" s="3103"/>
      <c r="C112" s="905" t="s">
        <v>684</v>
      </c>
      <c r="D112" s="819" t="s">
        <v>685</v>
      </c>
      <c r="E112" s="918">
        <v>0.2</v>
      </c>
      <c r="F112" s="905">
        <v>30</v>
      </c>
    </row>
    <row r="113" spans="1:6" s="901" customFormat="1" ht="24">
      <c r="A113" s="905">
        <v>53</v>
      </c>
      <c r="B113" s="310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3" t="s">
        <v>694</v>
      </c>
      <c r="C116" s="905" t="s">
        <v>695</v>
      </c>
      <c r="D116" s="819" t="s">
        <v>696</v>
      </c>
      <c r="E116" s="918">
        <v>0.2</v>
      </c>
      <c r="F116" s="905">
        <v>30</v>
      </c>
    </row>
    <row r="117" spans="1:6" ht="36">
      <c r="A117" s="905">
        <v>57</v>
      </c>
      <c r="B117" s="310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09" t="s">
        <v>1033</v>
      </c>
      <c r="C1" s="3109"/>
      <c r="D1" s="3109"/>
      <c r="E1" s="3109"/>
      <c r="F1" s="3109"/>
      <c r="G1" s="3105" t="s">
        <v>1034</v>
      </c>
      <c r="H1" s="3105"/>
      <c r="I1" s="3105"/>
      <c r="J1" s="3105"/>
      <c r="K1" s="3105"/>
      <c r="L1" s="3105"/>
      <c r="N1" s="3105" t="s">
        <v>1035</v>
      </c>
      <c r="O1" s="3105"/>
      <c r="P1" s="3105"/>
      <c r="Q1" s="3105"/>
      <c r="R1" s="1539"/>
      <c r="S1" s="3105" t="s">
        <v>1036</v>
      </c>
      <c r="T1" s="3105"/>
      <c r="U1" s="3105"/>
      <c r="V1" s="3105"/>
      <c r="X1" s="3104" t="s">
        <v>1037</v>
      </c>
      <c r="Y1" s="3105"/>
      <c r="Z1" s="3105"/>
      <c r="AA1" s="3105"/>
      <c r="AB1" s="3105"/>
      <c r="AD1" s="3104" t="s">
        <v>1038</v>
      </c>
      <c r="AE1" s="3105"/>
      <c r="AF1" s="3105"/>
      <c r="AG1" s="3105"/>
      <c r="AH1" s="3105"/>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09" customFormat="1" ht="14.25">
      <c r="A3" s="2720" t="s">
        <v>2809</v>
      </c>
      <c r="B3" s="2710"/>
      <c r="C3" s="2710"/>
      <c r="D3" s="2711"/>
      <c r="E3" s="2711"/>
      <c r="F3" s="2710"/>
      <c r="G3" s="2712"/>
      <c r="H3" s="2713"/>
      <c r="I3" s="2714">
        <f>ROUND(AVERAGE(I4:I20),2)</f>
        <v>2.2599999999999998</v>
      </c>
      <c r="J3" s="2714">
        <f>ROUND(AVERAGE(J4:J20),2)</f>
        <v>1.46</v>
      </c>
      <c r="K3" s="2714">
        <f>ROUND(AVERAGE(K4:K20),2)</f>
        <v>2.5099999999999998</v>
      </c>
      <c r="L3" s="2715">
        <f>ROUND(AVERAGE(L4:L20),2)</f>
        <v>1.45</v>
      </c>
      <c r="N3" s="2712"/>
      <c r="O3" s="2716"/>
      <c r="P3" s="2716"/>
      <c r="Q3" s="2716"/>
      <c r="R3" s="2716"/>
      <c r="S3" s="2712"/>
      <c r="T3" s="2716"/>
      <c r="U3" s="2716"/>
      <c r="V3" s="2716"/>
      <c r="W3" s="2719"/>
      <c r="X3" s="2717">
        <f>ROUND(SUMPRODUCT(PRODUCT(1+N3:N$22)),4)</f>
        <v>1.4733000000000001</v>
      </c>
      <c r="Y3" s="2717">
        <f>ROUND(SUMPRODUCT(PRODUCT(1+O3:O$22)),4)</f>
        <v>1.3052999999999999</v>
      </c>
      <c r="Z3" s="2717">
        <f t="shared" ref="Z3:Z20" si="0">Y3</f>
        <v>1.3052999999999999</v>
      </c>
      <c r="AA3" s="2717">
        <f>ROUND(SUMPRODUCT(PRODUCT(1+P3:P$22)),4)</f>
        <v>1.5306999999999999</v>
      </c>
      <c r="AB3" s="2717">
        <f>ROUND(SUMPRODUCT(PRODUCT(1+Q3:Q$22)),4)</f>
        <v>1.2863</v>
      </c>
      <c r="AD3" s="2718">
        <f>ROUND(AVERAGE(I3:I$23)/100,4)</f>
        <v>2.23E-2</v>
      </c>
      <c r="AE3" s="2718">
        <f>ROUND(AVERAGE(J3:J$23)/100,4)</f>
        <v>1.5299999999999999E-2</v>
      </c>
      <c r="AF3" s="2718">
        <f t="shared" ref="AF3:AF11" si="1">AE3</f>
        <v>1.5299999999999999E-2</v>
      </c>
      <c r="AG3" s="2718">
        <f>ROUND(AVERAGE(K3:K$23)/100,4)</f>
        <v>2.46E-2</v>
      </c>
      <c r="AH3" s="2718">
        <f>ROUND(AVERAGE(L3:L$23)/100,4)</f>
        <v>1.41E-2</v>
      </c>
    </row>
    <row r="4" spans="1:34" s="1546" customFormat="1" ht="14.25">
      <c r="B4" s="1547"/>
      <c r="C4" s="1547"/>
      <c r="D4" s="1548"/>
      <c r="E4" s="1548"/>
      <c r="F4" s="1547"/>
      <c r="G4" s="1549"/>
      <c r="H4" s="1550"/>
      <c r="I4" s="2701"/>
      <c r="J4" s="2701"/>
      <c r="K4" s="2701"/>
      <c r="L4" s="2701"/>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2">
        <v>2018</v>
      </c>
      <c r="H5" s="1812">
        <v>3</v>
      </c>
      <c r="I5" s="2702">
        <v>1.49</v>
      </c>
      <c r="J5" s="2702">
        <v>0.96</v>
      </c>
      <c r="K5" s="2702">
        <v>1.58</v>
      </c>
      <c r="L5" s="2703">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8"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0"/>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0"/>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7">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0"/>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699"/>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0"/>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110">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107"/>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107"/>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108"/>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106">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107"/>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107"/>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108"/>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106">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107"/>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107"/>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108"/>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111">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112"/>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112"/>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113"/>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106">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107"/>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107"/>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108"/>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106">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107">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107">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108">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106">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107">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107">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108">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106">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107">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107">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108">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106">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107">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107">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108">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106">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107">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107">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108">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106">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107">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107">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108">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106">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107">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107">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108">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106">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107">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107">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108">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106">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107">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107">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108">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106">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107">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107">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108">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43328</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2"/>
  <sheetViews>
    <sheetView topLeftCell="A34" workbookViewId="0">
      <selection activeCell="O56" sqref="O56"/>
    </sheetView>
  </sheetViews>
  <sheetFormatPr defaultRowHeight="13.5"/>
  <sheetData>
    <row r="52" spans="1:1">
      <c r="A52" s="2740"/>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0"/>
      <c r="C2" s="2770"/>
      <c r="D2" s="2770"/>
      <c r="E2" s="2770"/>
    </row>
    <row r="3" spans="1:5" ht="13.5" customHeight="1">
      <c r="A3" s="1920"/>
      <c r="B3" s="1920"/>
      <c r="C3" s="1920"/>
      <c r="D3" s="1920"/>
      <c r="E3" s="1920"/>
    </row>
    <row r="4" spans="1:5" ht="19.5" thickBot="1">
      <c r="A4" s="2771" t="str">
        <f>IF(项目基本情况!D5="房地产市场价值","估价结果一览表（市场价值不需本页表格)","估价结果一览表")</f>
        <v>估价结果一览表（市场价值不需本页表格)</v>
      </c>
      <c r="B4" s="2771"/>
      <c r="C4" s="2771"/>
      <c r="D4" s="2771"/>
      <c r="E4" s="2771"/>
    </row>
    <row r="5" spans="1:5" ht="14.25" customHeight="1" thickTop="1">
      <c r="A5" s="1917"/>
      <c r="B5" s="1921" t="s">
        <v>742</v>
      </c>
      <c r="C5" s="2772" t="s">
        <v>783</v>
      </c>
      <c r="D5" s="2773"/>
      <c r="E5" s="1917"/>
    </row>
    <row r="6" spans="1:5" ht="14.25">
      <c r="A6" s="1917"/>
      <c r="B6" s="1922" t="str">
        <f>项目基本情况!I1</f>
        <v>北京市房地产</v>
      </c>
      <c r="C6" s="2774">
        <f>项目基本情况!C12</f>
        <v>87.21</v>
      </c>
      <c r="D6" s="2774"/>
      <c r="E6" s="1917"/>
    </row>
    <row r="7" spans="1:5" ht="14.25">
      <c r="A7" s="1917"/>
      <c r="B7" s="2768" t="s">
        <v>784</v>
      </c>
      <c r="C7" s="1923" t="str">
        <f>IF('数据-取费表'!B3="万元","总价（万元）","总价（元）")</f>
        <v>总价（元）</v>
      </c>
      <c r="D7" s="1924">
        <f ca="1">IF('数据-取费表'!E3="否",结果表!I102,'结果表 (1修多)'!I103)</f>
        <v>3852327</v>
      </c>
      <c r="E7" s="1917"/>
    </row>
    <row r="8" spans="1:5" ht="28.5">
      <c r="A8" s="1917"/>
      <c r="B8" s="2768"/>
      <c r="C8" s="1925" t="s">
        <v>1175</v>
      </c>
      <c r="D8" s="1926" t="str">
        <f ca="1">IF('数据-取费表'!B3="万元",NUMBERSTRING(INT(D7*10000),2)&amp;"元整",NUMBERSTRING(INT(D7),2)&amp;"元整")</f>
        <v>叁佰捌拾伍万贰仟叁佰贰拾柒元整</v>
      </c>
      <c r="E8" s="1917"/>
    </row>
    <row r="9" spans="1:5" ht="14.25">
      <c r="A9" s="1917"/>
      <c r="B9" s="2768"/>
      <c r="C9" s="1927" t="s">
        <v>1273</v>
      </c>
      <c r="D9" s="1924">
        <f ca="1">IF('数据-取费表'!E3="否",结果表!I103,'结果表 (1修多)'!I104)</f>
        <v>44173</v>
      </c>
      <c r="E9" s="1917"/>
    </row>
    <row r="10" spans="1:5" ht="14.25">
      <c r="A10" s="1917"/>
      <c r="B10" s="2775"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75"/>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75" t="str">
        <f>IF('数据-取费表'!E3="否",结果表!F110,'结果表 (1修多)'!F111)</f>
        <v>3.房地产抵押价值</v>
      </c>
      <c r="C15" s="1918" t="str">
        <f>C7</f>
        <v>总价（元）</v>
      </c>
      <c r="D15" s="1924">
        <f ca="1">IF('数据-取费表'!E3="否",结果表!I110,'结果表 (1修多)'!I111)</f>
        <v>3852327</v>
      </c>
      <c r="E15" s="1917"/>
    </row>
    <row r="16" spans="1:5" ht="28.5">
      <c r="A16" s="1917"/>
      <c r="B16" s="2775"/>
      <c r="C16" s="1925" t="s">
        <v>1175</v>
      </c>
      <c r="D16" s="1924" t="str">
        <f ca="1">IF('数据-取费表'!B3="万元",NUMBERSTRING(INT(D15*10000),2)&amp;"元整",NUMBERSTRING(INT(D15),2)&amp;"元整")</f>
        <v>叁佰捌拾伍万贰仟叁佰贰拾柒元整</v>
      </c>
      <c r="E16" s="1917"/>
    </row>
    <row r="17" spans="1:5" ht="14.25">
      <c r="A17" s="1917"/>
      <c r="B17" s="2775"/>
      <c r="C17" s="1927" t="s">
        <v>1273</v>
      </c>
      <c r="D17" s="1924">
        <f ca="1">IF('数据-取费表'!E3="否",结果表!I111,'结果表 (1修多)'!I112)</f>
        <v>44173</v>
      </c>
      <c r="E17" s="1917"/>
    </row>
    <row r="18" spans="1:5" ht="14.25">
      <c r="A18" s="1917"/>
      <c r="B18" s="2775" t="str">
        <f>IF('数据-取费表'!E3="否",结果表!F112,'结果表 (1修多)'!F113)</f>
        <v>——</v>
      </c>
      <c r="C18" s="1918" t="str">
        <f>C7</f>
        <v>总价（元）</v>
      </c>
      <c r="D18" s="1924" t="str">
        <f>IF('数据-取费表'!E3="否",结果表!I112,'结果表 (1修多)'!I113)</f>
        <v>——</v>
      </c>
      <c r="E18" s="1917"/>
    </row>
    <row r="19" spans="1:5" ht="14.25">
      <c r="A19" s="1917"/>
      <c r="B19" s="2775"/>
      <c r="C19" s="1925" t="s">
        <v>1175</v>
      </c>
      <c r="D19" s="1924" t="e">
        <f>IF('数据-取费表'!B3="万元",NUMBERSTRING(INT(D18*10000),2)&amp;"元整",NUMBERSTRING(INT(D18),2)&amp;"元整")</f>
        <v>#VALUE!</v>
      </c>
      <c r="E19" s="1917"/>
    </row>
    <row r="20" spans="1:5" ht="14.25">
      <c r="A20" s="1917"/>
      <c r="B20" s="2775"/>
      <c r="C20" s="1927" t="s">
        <v>1273</v>
      </c>
      <c r="D20" s="1924" t="str">
        <f>IF('数据-取费表'!E3="否",结果表!I113,'结果表 (1修多)'!I114)</f>
        <v>——</v>
      </c>
      <c r="E20" s="1917"/>
    </row>
    <row r="21" spans="1:5" ht="14.25">
      <c r="A21" s="1917"/>
      <c r="B21" s="2768" t="str">
        <f>IF('数据-取费表'!E3="否",结果表!F114,'结果表 (1修多)'!F115)</f>
        <v>——</v>
      </c>
      <c r="C21" s="1923" t="str">
        <f>C7</f>
        <v>总价（元）</v>
      </c>
      <c r="D21" s="1924" t="str">
        <f>IF('数据-取费表'!E3="否",结果表!I114,'结果表 (1修多)'!I115)</f>
        <v>——</v>
      </c>
      <c r="E21" s="1917"/>
    </row>
    <row r="22" spans="1:5" ht="14.25">
      <c r="A22" s="1917"/>
      <c r="B22" s="2768"/>
      <c r="C22" s="1925" t="s">
        <v>1175</v>
      </c>
      <c r="D22" s="1926" t="e">
        <f>IF('数据-取费表'!B3="万元",NUMBERSTRING(INT(D21*10000),2)&amp;"元整",NUMBERSTRING(INT(D21),2)&amp;"元整")</f>
        <v>#VALUE!</v>
      </c>
      <c r="E22" s="1917"/>
    </row>
    <row r="23" spans="1:5" ht="15" thickBot="1">
      <c r="A23" s="1917"/>
      <c r="B23" s="2769"/>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760" t="s">
        <v>1274</v>
      </c>
      <c r="C25" s="2760"/>
      <c r="D25" s="2760"/>
      <c r="E25" s="1917"/>
    </row>
    <row r="26" spans="1:5" ht="18.75" customHeight="1" thickTop="1">
      <c r="A26" s="1917"/>
      <c r="B26" s="2763" t="s">
        <v>1174</v>
      </c>
      <c r="C26" s="2764"/>
      <c r="D26" s="2761" t="s">
        <v>1173</v>
      </c>
      <c r="E26" s="1917"/>
    </row>
    <row r="27" spans="1:5" ht="18.75" customHeight="1">
      <c r="A27" s="1917"/>
      <c r="B27" s="2765"/>
      <c r="C27" s="2766"/>
      <c r="D27" s="2762"/>
      <c r="E27" s="1917"/>
    </row>
    <row r="28" spans="1:5" ht="14.25">
      <c r="A28" s="1917"/>
      <c r="B28" s="2753" t="s">
        <v>784</v>
      </c>
      <c r="C28" s="1934" t="s">
        <v>1176</v>
      </c>
      <c r="D28" s="1935">
        <f ca="1">IF('数据-取费表'!E3="否",结果表!I102,'结果表 (1修多)'!I103)</f>
        <v>3852327</v>
      </c>
      <c r="E28" s="1917"/>
    </row>
    <row r="29" spans="1:5" ht="28.5">
      <c r="A29" s="1917"/>
      <c r="B29" s="2754"/>
      <c r="C29" s="1936" t="s">
        <v>1175</v>
      </c>
      <c r="D29" s="1937" t="str">
        <f ca="1">IF('数据-取费表'!B3="万元",NUMBERSTRING(INT(D28*10000),2)&amp;"元整",NUMBERSTRING(INT(D28),2)&amp;"元整")</f>
        <v>叁佰捌拾伍万贰仟叁佰贰拾柒元整</v>
      </c>
      <c r="E29" s="1917"/>
    </row>
    <row r="30" spans="1:5" ht="14.25">
      <c r="A30" s="1917"/>
      <c r="B30" s="2755"/>
      <c r="C30" s="1927" t="s">
        <v>1178</v>
      </c>
      <c r="D30" s="1938">
        <f ca="1">IF('数据-取费表'!E3="否",结果表!I103,'结果表 (1修多)'!I104)</f>
        <v>44173</v>
      </c>
      <c r="E30" s="1917"/>
    </row>
    <row r="31" spans="1:5" ht="14.25">
      <c r="A31" s="1917"/>
      <c r="B31" s="2758" t="str">
        <f>B10</f>
        <v>2.估价师所知悉的法定优先受偿款</v>
      </c>
      <c r="C31" s="1939" t="s">
        <v>1177</v>
      </c>
      <c r="D31" s="1940">
        <f>IF('数据-取费表'!E3="否",结果表!I105,'结果表 (1修多)'!I106)</f>
        <v>0</v>
      </c>
      <c r="E31" s="1917"/>
    </row>
    <row r="32" spans="1:5" ht="14.25">
      <c r="A32" s="1917"/>
      <c r="B32" s="2767"/>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756" t="str">
        <f>B15</f>
        <v>3.房地产抵押价值</v>
      </c>
      <c r="C36" s="1939" t="str">
        <f>C28</f>
        <v>总价</v>
      </c>
      <c r="D36" s="1940">
        <f ca="1">IF('数据-取费表'!E3="否",结果表!I110,'结果表 (1修多)'!I111)</f>
        <v>3852327</v>
      </c>
      <c r="E36" s="1917"/>
    </row>
    <row r="37" spans="1:5" ht="28.5">
      <c r="A37" s="1917"/>
      <c r="B37" s="2756"/>
      <c r="C37" s="1936" t="s">
        <v>1175</v>
      </c>
      <c r="D37" s="1941" t="str">
        <f ca="1">IF('数据-取费表'!B3="万元",NUMBERSTRING(INT(D36*10000),2)&amp;"元整",NUMBERSTRING(INT(D36),2)&amp;"元整")</f>
        <v>叁佰捌拾伍万贰仟叁佰贰拾柒元整</v>
      </c>
      <c r="E37" s="1917"/>
    </row>
    <row r="38" spans="1:5" ht="14.25">
      <c r="A38" s="1917"/>
      <c r="B38" s="2756"/>
      <c r="C38" s="1927" t="s">
        <v>1179</v>
      </c>
      <c r="D38" s="1938">
        <f ca="1">IF('数据-取费表'!E3="否",结果表!D113,'结果表 (1修多)'!D116)</f>
        <v>44173</v>
      </c>
      <c r="E38" s="1917"/>
    </row>
    <row r="39" spans="1:5" ht="14.25">
      <c r="A39" s="1917"/>
      <c r="B39" s="2757" t="str">
        <f>B18</f>
        <v>——</v>
      </c>
      <c r="C39" s="1939" t="str">
        <f>C28</f>
        <v>总价</v>
      </c>
      <c r="D39" s="1940" t="str">
        <f>IF('数据-取费表'!E3="否",结果表!I112,'结果表 (1修多)'!I113)</f>
        <v>——</v>
      </c>
      <c r="E39" s="1917"/>
    </row>
    <row r="40" spans="1:5" ht="14.25">
      <c r="A40" s="1917"/>
      <c r="B40" s="2757"/>
      <c r="C40" s="1936" t="s">
        <v>1175</v>
      </c>
      <c r="D40" s="1941" t="e">
        <f>IF('数据-取费表'!B3="万元",NUMBERSTRING(INT(D39*10000),2)&amp;"元整",NUMBERSTRING(INT(D39),2)&amp;"元整")</f>
        <v>#VALUE!</v>
      </c>
      <c r="E40" s="1917"/>
    </row>
    <row r="41" spans="1:5" ht="14.25">
      <c r="A41" s="1917"/>
      <c r="B41" s="2757"/>
      <c r="C41" s="1927" t="s">
        <v>1179</v>
      </c>
      <c r="D41" s="1938" t="str">
        <f>IF('数据-取费表'!E3="否",结果表!D115,'结果表 (1修多)'!D118)</f>
        <v>——</v>
      </c>
      <c r="E41" s="1917"/>
    </row>
    <row r="42" spans="1:5" ht="14.25">
      <c r="A42" s="1917"/>
      <c r="B42" s="2756" t="str">
        <f>B21</f>
        <v>——</v>
      </c>
      <c r="C42" s="1939" t="str">
        <f>C28</f>
        <v>总价</v>
      </c>
      <c r="D42" s="1940" t="str">
        <f>IF('数据-取费表'!E3="否",结果表!I114,'结果表 (1修多)'!I115)</f>
        <v>——</v>
      </c>
      <c r="E42" s="1917"/>
    </row>
    <row r="43" spans="1:5" ht="14.25">
      <c r="A43" s="1917"/>
      <c r="B43" s="2758"/>
      <c r="C43" s="1936" t="s">
        <v>1175</v>
      </c>
      <c r="D43" s="1942" t="e">
        <f>IF('数据-取费表'!B3="万元",NUMBERSTRING(INT(D42*10000),2)&amp;"元整",NUMBERSTRING(INT(D42),2)&amp;"元整")</f>
        <v>#VALUE!</v>
      </c>
      <c r="E43" s="1917"/>
    </row>
    <row r="44" spans="1:5" ht="15" thickBot="1">
      <c r="A44" s="1917"/>
      <c r="B44" s="2759"/>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782" t="str">
        <f>IF(项目基本情况!D5="房地产市场价值","估价结果一览表","结果表-2")</f>
        <v>估价结果一览表</v>
      </c>
      <c r="B1" s="2782"/>
      <c r="C1" s="2782"/>
      <c r="D1" s="2782"/>
      <c r="E1" s="2782"/>
      <c r="F1" s="2782"/>
      <c r="G1" s="2782"/>
      <c r="H1" s="2782"/>
      <c r="I1" s="2782"/>
    </row>
    <row r="2" spans="1:9" ht="30" customHeight="1" thickTop="1">
      <c r="A2" s="2783" t="s">
        <v>1275</v>
      </c>
      <c r="B2" s="2783" t="s">
        <v>1276</v>
      </c>
      <c r="C2" s="2783" t="s">
        <v>1277</v>
      </c>
      <c r="D2" s="2783" t="str">
        <f>IF('数据-取费表'!E3="否",结果表!D119,'结果表 (1修多)'!D122)</f>
        <v>出让国有建设用地使用权价值</v>
      </c>
      <c r="E2" s="2783"/>
      <c r="F2" s="2783" t="s">
        <v>1278</v>
      </c>
      <c r="G2" s="2783"/>
      <c r="H2" s="2783" t="s">
        <v>1279</v>
      </c>
      <c r="I2" s="2783"/>
    </row>
    <row r="3" spans="1:9" ht="15">
      <c r="A3" s="2776"/>
      <c r="B3" s="2776"/>
      <c r="C3" s="2776"/>
      <c r="D3" s="1046" t="s">
        <v>1280</v>
      </c>
      <c r="E3" s="1046" t="s">
        <v>1281</v>
      </c>
      <c r="F3" s="1046" t="s">
        <v>1280</v>
      </c>
      <c r="G3" s="1046" t="s">
        <v>1282</v>
      </c>
      <c r="H3" s="1046" t="s">
        <v>1280</v>
      </c>
      <c r="I3" s="1046" t="s">
        <v>1282</v>
      </c>
    </row>
    <row r="4" spans="1:9" ht="46.5" customHeight="1">
      <c r="A4" s="1046" t="str">
        <f>项目基本情况!I1</f>
        <v>北京市房地产</v>
      </c>
      <c r="B4" s="1046">
        <f>结果表!B121</f>
        <v>87.21</v>
      </c>
      <c r="C4" s="1046">
        <f>结果表!C121</f>
        <v>0</v>
      </c>
      <c r="D4" s="1046">
        <f ca="1">IF('数据-取费表'!E3="否",结果表!D121,'结果表 (1修多)'!D124)</f>
        <v>3316858</v>
      </c>
      <c r="E4" s="1046">
        <f ca="1">IF('数据-取费表'!E3="否",结果表!E121,'结果表 (1修多)'!E124)</f>
        <v>38033</v>
      </c>
      <c r="F4" s="1046">
        <f ca="1">IF('数据-取费表'!E3="否",结果表!F121,'结果表 (1修多)'!F124)</f>
        <v>535469</v>
      </c>
      <c r="G4" s="1046">
        <f ca="1">IF('数据-取费表'!E3="否",结果表!G121,'结果表 (1修多)'!G124)</f>
        <v>6140</v>
      </c>
      <c r="H4" s="1046">
        <f ca="1">IF('数据-取费表'!E3="否",结果表!H121,'结果表 (1修多)'!H124)</f>
        <v>3852327</v>
      </c>
      <c r="I4" s="1046">
        <f ca="1">IF('数据-取费表'!E3="否",结果表!I121,'结果表 (1修多)'!I124)</f>
        <v>44173</v>
      </c>
    </row>
    <row r="5" spans="1:9" ht="15">
      <c r="A5" s="2776" t="s">
        <v>1283</v>
      </c>
      <c r="B5" s="2776"/>
      <c r="C5" s="2776"/>
      <c r="D5" s="2777" t="str">
        <f ca="1">IF('数据-取费表'!E3="否",结果表!D122,'结果表 (1修多)'!D125)</f>
        <v>叁佰叁拾壹万陆仟捌佰伍拾捌元整</v>
      </c>
      <c r="E5" s="2777"/>
      <c r="F5" s="2777" t="str">
        <f ca="1">IF('数据-取费表'!E3="否",结果表!F122,'结果表 (1修多)'!F125)</f>
        <v>伍拾叁万伍仟肆佰陆拾玖元整</v>
      </c>
      <c r="G5" s="2777"/>
      <c r="H5" s="2777" t="str">
        <f ca="1">IF('数据-取费表'!E3="否",结果表!H122,'结果表 (1修多)'!H125)</f>
        <v>叁佰捌拾伍万贰仟叁佰贰拾柒元整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6" t="s">
        <v>1283</v>
      </c>
      <c r="B7" s="2776"/>
      <c r="C7" s="2776"/>
      <c r="D7" s="2784">
        <f>IF('数据-取费表'!E3="否",结果表!D124,'结果表 (1修多)'!D127)</f>
        <v>0</v>
      </c>
      <c r="E7" s="2785"/>
      <c r="F7" s="2785"/>
      <c r="G7" s="2785"/>
      <c r="H7" s="2785"/>
      <c r="I7" s="2786"/>
    </row>
    <row r="8" spans="1:9" ht="15.75">
      <c r="A8" s="2778" t="str">
        <f>IF('数据-取费表'!E3="否",结果表!A125,'结果表 (1修多)'!A128)</f>
        <v>——</v>
      </c>
      <c r="B8" s="2778"/>
      <c r="C8" s="2778"/>
      <c r="D8" s="2778">
        <f ca="1">IF('数据-取费表'!E3="否",结果表!D125,'结果表 (1修多)'!D128)</f>
        <v>3852327</v>
      </c>
      <c r="E8" s="2778"/>
      <c r="F8" s="2778"/>
      <c r="G8" s="2778"/>
      <c r="H8" s="2778"/>
      <c r="I8" s="2778"/>
    </row>
    <row r="9" spans="1:9" ht="15">
      <c r="A9" s="2776" t="s">
        <v>1283</v>
      </c>
      <c r="B9" s="2776"/>
      <c r="C9" s="2776"/>
      <c r="D9" s="2777">
        <f ca="1">IF('数据-取费表'!E3="否",结果表!D126,'结果表 (1修多)'!D129)</f>
        <v>44173</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6" t="s">
        <v>1283</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79" t="s">
        <v>1283</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88" t="s">
        <v>1297</v>
      </c>
      <c r="B1" s="2788"/>
      <c r="C1" s="2788"/>
      <c r="D1" s="2788"/>
    </row>
    <row r="2" spans="1:4" ht="18">
      <c r="A2" s="2787" t="s">
        <v>1285</v>
      </c>
      <c r="B2" s="2787"/>
      <c r="C2" s="2787"/>
      <c r="D2" s="2787"/>
    </row>
    <row r="3" spans="1:4" ht="18.75">
      <c r="A3" s="1946" t="s">
        <v>1286</v>
      </c>
      <c r="B3" s="1946" t="s">
        <v>1287</v>
      </c>
      <c r="C3" s="1946" t="s">
        <v>1288</v>
      </c>
      <c r="D3" s="1946" t="s">
        <v>1289</v>
      </c>
    </row>
    <row r="4" spans="1:4" ht="56.25" customHeight="1">
      <c r="A4" s="1947" t="str">
        <f>项目基本情况!B3</f>
        <v>陈颖</v>
      </c>
      <c r="B4" s="1948">
        <f ca="1">项目基本情况!C3</f>
        <v>1120060040</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787" t="s">
        <v>1290</v>
      </c>
      <c r="B7" s="2787"/>
      <c r="C7" s="2787"/>
      <c r="D7" s="2787"/>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789" t="s">
        <v>1299</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1300</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1293</v>
      </c>
      <c r="B20" s="2791"/>
      <c r="C20" s="2791"/>
      <c r="D20" s="2791"/>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797" t="s">
        <v>1379</v>
      </c>
      <c r="B15" s="2792" t="s">
        <v>1380</v>
      </c>
      <c r="C15" s="2793"/>
    </row>
    <row r="16" spans="1:7" ht="14.25">
      <c r="A16" s="2798"/>
      <c r="B16" s="2792" t="s">
        <v>1381</v>
      </c>
      <c r="C16" s="2793"/>
    </row>
    <row r="17" spans="1:3" ht="14.25">
      <c r="A17" s="2798"/>
      <c r="B17" s="2792" t="s">
        <v>1382</v>
      </c>
      <c r="C17" s="2793"/>
    </row>
    <row r="18" spans="1:3" ht="14.25">
      <c r="A18" s="2799"/>
      <c r="B18" s="2794" t="s">
        <v>1383</v>
      </c>
      <c r="C18" s="2793"/>
    </row>
    <row r="19" spans="1:3" ht="14.25">
      <c r="A19" s="1970" t="s">
        <v>1384</v>
      </c>
      <c r="B19" s="1971"/>
      <c r="C19" s="1972"/>
    </row>
    <row r="20" spans="1:3" ht="14.25">
      <c r="A20" s="2795" t="s">
        <v>1385</v>
      </c>
      <c r="B20" s="2794" t="s">
        <v>1386</v>
      </c>
      <c r="C20" s="2793"/>
    </row>
    <row r="21" spans="1:3" ht="14.25">
      <c r="A21" s="2795"/>
      <c r="B21" s="2794" t="s">
        <v>1387</v>
      </c>
      <c r="C21" s="2793"/>
    </row>
    <row r="22" spans="1:3" ht="14.25">
      <c r="A22" s="2795"/>
      <c r="B22" s="2794" t="s">
        <v>1388</v>
      </c>
      <c r="C22" s="2793"/>
    </row>
    <row r="23" spans="1:3" ht="14.25">
      <c r="A23" s="2795"/>
      <c r="B23" s="2796" t="s">
        <v>1389</v>
      </c>
      <c r="C23" s="1973" t="s">
        <v>1390</v>
      </c>
    </row>
    <row r="24" spans="1:3" ht="14.25">
      <c r="A24" s="2795"/>
      <c r="B24" s="2796"/>
      <c r="C24" s="1973" t="s">
        <v>1391</v>
      </c>
    </row>
    <row r="25" spans="1:3" ht="14.25">
      <c r="A25" s="2795"/>
      <c r="B25" s="2796"/>
      <c r="C25" s="1973" t="s">
        <v>1392</v>
      </c>
    </row>
    <row r="26" spans="1:3" ht="14.25">
      <c r="A26" s="2795"/>
      <c r="B26" s="2796"/>
      <c r="C26" s="1973" t="s">
        <v>1393</v>
      </c>
    </row>
    <row r="27" spans="1:3" ht="14.25">
      <c r="A27" s="2795"/>
      <c r="B27" s="2796"/>
      <c r="C27" s="1973" t="s">
        <v>1394</v>
      </c>
    </row>
    <row r="28" spans="1:3" ht="14.25">
      <c r="A28" s="2795"/>
      <c r="B28" s="2796"/>
      <c r="C28" s="1973" t="s">
        <v>1395</v>
      </c>
    </row>
    <row r="29" spans="1:3" ht="14.25">
      <c r="A29" s="2795"/>
      <c r="B29" s="2796"/>
      <c r="C29" s="1973" t="s">
        <v>1396</v>
      </c>
    </row>
    <row r="30" spans="1:3" ht="14.25">
      <c r="A30" s="2795"/>
      <c r="B30" s="2796"/>
      <c r="C30" s="1973" t="s">
        <v>1397</v>
      </c>
    </row>
    <row r="31" spans="1:3" ht="14.25">
      <c r="A31" s="2795"/>
      <c r="B31" s="2796"/>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43356</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f ca="1">IF(C7&lt;B2,"已过期",1120050019)</f>
        <v>1120050019</v>
      </c>
      <c r="C7" s="1802">
        <v>43359</v>
      </c>
      <c r="D7" s="1803" t="str">
        <f t="shared" ca="1" si="0"/>
        <v>王鹏（注册号：1120050019）</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800" t="s">
        <v>768</v>
      </c>
      <c r="B25" s="2800"/>
      <c r="C25" s="2800"/>
      <c r="D25" s="2800"/>
      <c r="E25" s="2800"/>
      <c r="F25" s="2800"/>
      <c r="G25" s="2800"/>
      <c r="H25" s="2800"/>
    </row>
    <row r="26" spans="1:8" s="1031" customFormat="1" ht="24" customHeight="1">
      <c r="A26" s="2801" t="s">
        <v>769</v>
      </c>
      <c r="B26" s="2801"/>
      <c r="C26" s="2801"/>
      <c r="D26" s="1059"/>
      <c r="E26" s="1059"/>
      <c r="F26" s="2801" t="s">
        <v>770</v>
      </c>
      <c r="G26" s="2801"/>
      <c r="H26" s="2801"/>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80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02"/>
      <c r="B54" s="9" t="s">
        <v>1535</v>
      </c>
      <c r="C54" s="9" t="s">
        <v>1536</v>
      </c>
    </row>
    <row r="55" spans="1:4">
      <c r="A55" s="2802"/>
      <c r="B55" s="9" t="s">
        <v>1537</v>
      </c>
      <c r="C55" s="9" t="s">
        <v>1538</v>
      </c>
    </row>
    <row r="56" spans="1:4">
      <c r="A56" s="2802"/>
      <c r="B56" s="9" t="s">
        <v>1539</v>
      </c>
      <c r="C56" s="9" t="s">
        <v>1540</v>
      </c>
    </row>
    <row r="57" spans="1:4">
      <c r="A57" s="2802"/>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2018-09-13T03:28:49Z</dcterms:modified>
</cp:coreProperties>
</file>